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showInkAnnotation="0" codeName="ThisWorkbook" defaultThemeVersion="124226"/>
  <mc:AlternateContent xmlns:mc="http://schemas.openxmlformats.org/markup-compatibility/2006">
    <mc:Choice Requires="x15">
      <x15ac:absPath xmlns:x15ac="http://schemas.microsoft.com/office/spreadsheetml/2010/11/ac" url="Z:\2. ACTIVE PROJECTS\Mike Kelley - San Ramon\CDLAC-CTCAC Folder\2025 CDLAC-CTCAC E-APP ROUND 3\"/>
    </mc:Choice>
  </mc:AlternateContent>
  <xr:revisionPtr revIDLastSave="0" documentId="13_ncr:1_{2C88A5A5-FD88-4FAD-9192-62610BD33647}" xr6:coauthVersionLast="47" xr6:coauthVersionMax="47" xr10:uidLastSave="{00000000-0000-0000-0000-000000000000}"/>
  <bookViews>
    <workbookView xWindow="-120" yWindow="-120" windowWidth="29040" windowHeight="17520" activeTab="2"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4" i="7" l="1"/>
  <c r="I54" i="7" s="1"/>
  <c r="K54" i="7" s="1"/>
  <c r="M54" i="7" s="1"/>
  <c r="O54" i="7" s="1"/>
  <c r="Q54" i="7" s="1"/>
  <c r="S54" i="7" s="1"/>
  <c r="U54" i="7" s="1"/>
  <c r="W54" i="7" s="1"/>
  <c r="Y54" i="7" s="1"/>
  <c r="AA54" i="7" s="1"/>
  <c r="AC54" i="7" s="1"/>
  <c r="AE54" i="7" s="1"/>
  <c r="AG54" i="7" s="1"/>
  <c r="G53" i="7"/>
  <c r="I53" i="7" s="1"/>
  <c r="K53" i="7" s="1"/>
  <c r="M53" i="7" s="1"/>
  <c r="O53" i="7" s="1"/>
  <c r="Q53" i="7" s="1"/>
  <c r="S53" i="7" s="1"/>
  <c r="U53" i="7" s="1"/>
  <c r="W53" i="7" s="1"/>
  <c r="Y53" i="7" s="1"/>
  <c r="AA53" i="7" s="1"/>
  <c r="AC53" i="7" s="1"/>
  <c r="AE53" i="7" s="1"/>
  <c r="AG53" i="7" s="1"/>
  <c r="AD67" i="15"/>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47" i="21" l="1"/>
  <c r="U45" i="21"/>
  <c r="T45" i="21"/>
  <c r="S45" i="21"/>
  <c r="R53" i="21" a="1"/>
  <c r="R53" i="21" s="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C26" i="4"/>
  <c r="G72" i="21"/>
  <c r="G78" i="21" s="1"/>
  <c r="G109"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B26" i="4" s="1"/>
  <c r="D38" i="4"/>
  <c r="D42" i="4"/>
  <c r="D54" i="4"/>
  <c r="D62" i="4"/>
  <c r="D77" i="4"/>
  <c r="D96" i="4"/>
  <c r="D104" i="4"/>
  <c r="E26" i="13"/>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D35" i="11"/>
  <c r="AO18" i="20" l="1"/>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D105" i="11" s="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K58" i="7"/>
  <c r="N188" i="23"/>
  <c r="C27" i="11"/>
  <c r="AB48" i="15"/>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AJ621" i="20" l="1"/>
  <c r="AK794" i="20" s="1"/>
  <c r="T819" i="20" s="1"/>
  <c r="AF819" i="20" s="1"/>
  <c r="BE82" i="3" s="1"/>
  <c r="G94" i="2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4"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31" i="21" l="1"/>
  <c r="P31" i="21" s="1" a="1"/>
  <c r="P31" i="21" s="1"/>
  <c r="S31" i="21" s="1"/>
  <c r="O30" i="21"/>
  <c r="P30" i="21" s="1" a="1"/>
  <c r="P30" i="21" s="1"/>
  <c r="S30" i="21" s="1"/>
  <c r="O29" i="21"/>
  <c r="P29" i="21" s="1" a="1"/>
  <c r="P29" i="21" s="1"/>
  <c r="S29" i="21" s="1"/>
  <c r="O28" i="21"/>
  <c r="P28" i="21" s="1" a="1"/>
  <c r="P28" i="21" s="1"/>
  <c r="S28" i="21" s="1"/>
  <c r="O21" i="21"/>
  <c r="P21" i="21" s="1" a="1"/>
  <c r="P21" i="21" s="1"/>
  <c r="S21" i="21" s="1"/>
  <c r="O25" i="21"/>
  <c r="P25" i="21" s="1" a="1"/>
  <c r="P25" i="21" s="1"/>
  <c r="S25" i="21" s="1"/>
  <c r="O23" i="21"/>
  <c r="P23" i="21" s="1" a="1"/>
  <c r="P23" i="21" s="1"/>
  <c r="S23" i="21" s="1"/>
  <c r="O27" i="21"/>
  <c r="P27" i="21" s="1" a="1"/>
  <c r="P27" i="21" s="1"/>
  <c r="S27" i="21" s="1"/>
  <c r="O22" i="21"/>
  <c r="P22" i="21" s="1" a="1"/>
  <c r="P22" i="21" s="1"/>
  <c r="S22" i="21" s="1"/>
  <c r="O26" i="21"/>
  <c r="P26" i="21" s="1" a="1"/>
  <c r="P26" i="21" s="1"/>
  <c r="S26" i="21" s="1"/>
  <c r="O20" i="21"/>
  <c r="P20" i="21" s="1" a="1"/>
  <c r="P20" i="21" s="1"/>
  <c r="S20" i="21" s="1"/>
  <c r="D64" i="11"/>
  <c r="B105" i="4"/>
  <c r="BE101" i="3"/>
  <c r="AK84" i="20"/>
  <c r="AK191" i="20" s="1"/>
  <c r="T811" i="20" s="1"/>
  <c r="AF811" i="20" s="1"/>
  <c r="BE76" i="3" s="1"/>
  <c r="D13" i="11"/>
  <c r="B97" i="13"/>
  <c r="B97" i="4"/>
  <c r="AZ1046" i="3"/>
  <c r="S105" i="4"/>
  <c r="E97" i="13"/>
  <c r="B105" i="13"/>
  <c r="AG269" i="20"/>
  <c r="O58" i="7"/>
  <c r="T105" i="4"/>
  <c r="H97" i="13"/>
  <c r="P24" i="21" a="1"/>
  <c r="P24" i="21" s="1"/>
  <c r="S24"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AB47" i="15"/>
  <c r="AB49" i="15" s="1"/>
  <c r="AB54" i="15" s="1"/>
  <c r="AB55" i="15" s="1"/>
  <c r="T805" i="20"/>
  <c r="AF805" i="20" s="1"/>
  <c r="BE72" i="3" s="1"/>
  <c r="N185" i="23"/>
  <c r="BE22" i="3"/>
  <c r="S107" i="4"/>
  <c r="E105" i="13"/>
  <c r="BA1056" i="3"/>
  <c r="AZ1051" i="3"/>
  <c r="H105" i="13"/>
  <c r="T107" i="4"/>
  <c r="H107" i="13" s="1"/>
  <c r="Q58" i="7"/>
  <c r="G45" i="21"/>
  <c r="G47" i="21" s="1"/>
  <c r="E10" i="21" s="1"/>
  <c r="E11" i="21"/>
  <c r="AP705" i="20"/>
  <c r="AP706" i="20"/>
  <c r="I4" i="7"/>
  <c r="I5" i="7" s="1"/>
  <c r="K9" i="7"/>
  <c r="E11" i="7"/>
  <c r="E37" i="7" s="1"/>
  <c r="E49" i="7" s="1"/>
  <c r="AJ992" i="3"/>
  <c r="AJ1041" i="3" s="1"/>
  <c r="E138" i="20"/>
  <c r="E139" i="20" s="1"/>
  <c r="AK143" i="20" s="1"/>
  <c r="T807" i="20" s="1"/>
  <c r="AF807" i="20" s="1"/>
  <c r="BE74" i="3" s="1"/>
  <c r="AB991" i="3"/>
  <c r="DU802" i="3"/>
  <c r="U373" i="20" s="1"/>
  <c r="P421" i="3"/>
  <c r="I6" i="7"/>
  <c r="G7" i="7"/>
  <c r="G11" i="7" s="1"/>
  <c r="G37" i="7" s="1"/>
  <c r="M22" i="7"/>
  <c r="M35" i="7" s="1"/>
  <c r="O15" i="7"/>
  <c r="M9" i="7"/>
  <c r="O8" i="7"/>
  <c r="G27" i="21"/>
  <c r="F26" i="21"/>
  <c r="AC456" i="3" l="1"/>
  <c r="AD11" i="15"/>
  <c r="AD23" i="15" s="1"/>
  <c r="AD26" i="15" s="1"/>
  <c r="AD28" i="15" s="1"/>
  <c r="AI11" i="15"/>
  <c r="AI23" i="15" s="1"/>
  <c r="AI26" i="15" s="1"/>
  <c r="AI28" i="15" s="1"/>
  <c r="BE44" i="3"/>
  <c r="F457" i="3"/>
  <c r="BA1055" i="3"/>
  <c r="BA1059" i="3" s="1"/>
  <c r="N196" i="23"/>
  <c r="N186" i="23"/>
  <c r="S58"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U58"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Y64" i="15" l="1"/>
  <c r="Y68" i="15" s="1"/>
  <c r="Y69" i="15" s="1"/>
  <c r="T29" i="15"/>
  <c r="G80" i="21"/>
  <c r="E15" i="21" s="1"/>
  <c r="W58"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Y58" i="7" l="1"/>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A58" i="7" l="1"/>
  <c r="M26" i="3"/>
  <c r="BE19" i="3" s="1"/>
  <c r="U4" i="7"/>
  <c r="S5" i="7"/>
  <c r="M48" i="7"/>
  <c r="M47" i="7"/>
  <c r="M60" i="7"/>
  <c r="O45" i="7"/>
  <c r="O49" i="7"/>
  <c r="K66" i="7"/>
  <c r="K67" i="7"/>
  <c r="K62" i="7"/>
  <c r="Q7" i="7"/>
  <c r="Q11" i="7" s="1"/>
  <c r="Q37" i="7" s="1"/>
  <c r="S6" i="7"/>
  <c r="I70" i="7"/>
  <c r="I72" i="7" s="1"/>
  <c r="W22" i="7"/>
  <c r="W35" i="7" s="1"/>
  <c r="Y15" i="7"/>
  <c r="W9" i="7"/>
  <c r="Y8" i="7"/>
  <c r="AC58" i="7" l="1"/>
  <c r="AB57" i="15"/>
  <c r="P204" i="3"/>
  <c r="U5" i="7"/>
  <c r="W4" i="7"/>
  <c r="Q49" i="7"/>
  <c r="Q45" i="7"/>
  <c r="M62" i="7"/>
  <c r="M67" i="7"/>
  <c r="M66" i="7"/>
  <c r="O47" i="7"/>
  <c r="O48" i="7"/>
  <c r="O60" i="7"/>
  <c r="K70" i="7"/>
  <c r="K72" i="7" s="1"/>
  <c r="S7" i="7"/>
  <c r="S11" i="7" s="1"/>
  <c r="S37" i="7" s="1"/>
  <c r="U6" i="7"/>
  <c r="Y22" i="7"/>
  <c r="Y35" i="7" s="1"/>
  <c r="AA15" i="7"/>
  <c r="Y9" i="7"/>
  <c r="AA8" i="7"/>
  <c r="AG58" i="7" l="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70" i="7" l="1"/>
  <c r="AA72" i="7" s="1"/>
  <c r="AC66" i="7"/>
  <c r="AC67" i="7"/>
  <c r="AE47" i="7"/>
  <c r="AE60" i="7"/>
  <c r="AE48" i="7"/>
  <c r="AG49" i="7"/>
  <c r="AG45" i="7"/>
  <c r="AG48" i="7" l="1"/>
  <c r="AG60" i="7"/>
  <c r="AG47" i="7"/>
  <c r="AE66" i="7"/>
  <c r="AE67" i="7"/>
  <c r="AC70" i="7"/>
  <c r="AC72" i="7" s="1"/>
  <c r="AE70" i="7" l="1"/>
  <c r="AE72" i="7" s="1"/>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<sst xmlns="http://schemas.openxmlformats.org/spreadsheetml/2006/main" count="4999" uniqueCount="2739">
  <si>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</si>
  <si>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</si>
  <si>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</si>
  <si>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</si>
  <si>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</si>
  <si>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</si>
  <si>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</si>
  <si>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</si>
  <si>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</si>
  <si>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</si>
  <si>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</si>
  <si>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</si>
  <si>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</si>
  <si>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</si>
  <si>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</si>
  <si>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</si>
  <si>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</si>
  <si>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</si>
  <si>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</si>
  <si>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</si>
  <si>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</si>
  <si>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</si>
  <si>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</si>
  <si>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</si>
  <si>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</si>
  <si>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</si>
  <si>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</si>
  <si>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</si>
  <si>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</si>
  <si>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</si>
  <si>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</si>
  <si>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</si>
  <si>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</si>
  <si>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</si>
  <si>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</si>
  <si>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</si>
  <si>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</si>
  <si>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</si>
  <si>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</si>
  <si>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</si>
  <si>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</si>
  <si>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</si>
  <si>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</si>
  <si>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</si>
  <si>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</si>
  <si>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</si>
  <si>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</si>
  <si>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</si>
  <si>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</si>
  <si>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</si>
  <si>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</si>
  <si>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</si>
  <si>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</si>
  <si>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</si>
  <si>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</si>
  <si>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</si>
  <si>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</si>
  <si>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</si>
  <si>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</si>
  <si>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</si>
  <si>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</si>
  <si>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</si>
  <si>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</si>
  <si>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</si>
  <si>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</si>
  <si>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</si>
  <si>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</si>
  <si>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</si>
  <si>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</si>
  <si>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</si>
  <si>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</si>
  <si>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</si>
  <si>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</si>
  <si>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</si>
  <si>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</si>
  <si>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</si>
  <si>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</si>
  <si>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</si>
  <si>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</si>
  <si>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</si>
  <si>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</si>
  <si>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</si>
  <si>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</si>
  <si>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</si>
  <si>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</si>
  <si>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</si>
  <si>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</si>
  <si>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</si>
  <si>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</si>
  <si>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</si>
  <si>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</si>
  <si>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</si>
  <si>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</si>
  <si>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</si>
  <si>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</si>
  <si>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</si>
  <si>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</si>
  <si>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</si>
  <si>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</si>
  <si>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</si>
  <si>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</si>
  <si>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</si>
  <si>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</si>
  <si>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</si>
  <si>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</si>
  <si>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</si>
  <si>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</si>
  <si>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</si>
  <si>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</si>
  <si>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</si>
  <si>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</si>
  <si>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</si>
  <si>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</si>
  <si>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</si>
  <si>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</si>
  <si>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</si>
  <si>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</si>
  <si>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</si>
  <si>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</si>
  <si>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</si>
  <si>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</si>
  <si>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</si>
  <si>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</si>
  <si>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</si>
  <si>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</si>
  <si>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</si>
  <si>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</si>
  <si>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</si>
  <si>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</si>
  <si>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</si>
  <si>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</si>
  <si>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</si>
  <si>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</si>
  <si>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</si>
  <si>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</si>
  <si>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</si>
  <si>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</si>
  <si>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</si>
  <si>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</si>
  <si>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</si>
  <si>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</si>
  <si>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</si>
  <si>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</si>
  <si>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</si>
  <si>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</si>
  <si>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</si>
  <si>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</si>
  <si>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</si>
  <si>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</si>
  <si>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</si>
  <si>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</si>
  <si>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</si>
  <si>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</si>
  <si>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</si>
  <si>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</si>
  <si>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</si>
  <si>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</si>
  <si>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</si>
  <si>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</si>
  <si>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</si>
  <si>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</si>
  <si>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</si>
  <si>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</si>
  <si>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</si>
  <si>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</si>
  <si>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</si>
  <si>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</si>
  <si>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</si>
  <si>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</si>
  <si>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</si>
  <si>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</si>
  <si>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</si>
  <si>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</si>
  <si>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</si>
  <si>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</si>
  <si>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</si>
  <si>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</si>
  <si>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</si>
  <si>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</si>
  <si>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</si>
  <si>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</si>
  <si>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</si>
  <si>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</si>
  <si>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</si>
  <si>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</si>
  <si>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</si>
  <si>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</si>
  <si>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</si>
  <si>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</si>
  <si>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</si>
  <si>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</si>
  <si>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</si>
  <si>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</si>
  <si>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</si>
  <si>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</si>
  <si>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</si>
  <si>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</si>
  <si>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</si>
  <si>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</si>
  <si>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</si>
  <si>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</si>
  <si>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</si>
  <si>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</si>
  <si>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</si>
  <si>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</si>
  <si>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</si>
  <si>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</si>
  <si>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</si>
  <si>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</si>
  <si>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</si>
  <si>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</si>
  <si>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</si>
  <si>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</si>
  <si>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</si>
  <si>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</si>
  <si>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</si>
  <si>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</si>
  <si>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</si>
  <si>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</si>
  <si>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</si>
  <si>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</si>
  <si>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</si>
  <si>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</si>
  <si>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</si>
  <si>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</si>
  <si>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</si>
  <si>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</si>
  <si>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</si>
  <si>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</si>
  <si>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</si>
  <si>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</si>
  <si>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</si>
  <si>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</si>
  <si>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</si>
  <si>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</si>
  <si>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</si>
  <si>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</si>
  <si>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</si>
  <si>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</si>
  <si>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</si>
  <si>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</si>
  <si>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</si>
  <si>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</si>
  <si>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</si>
  <si>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</si>
  <si>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</si>
  <si>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</si>
  <si>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</si>
  <si>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</si>
  <si>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</si>
  <si>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</si>
  <si>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</si>
  <si>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</si>
  <si>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</si>
  <si>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</si>
  <si>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</si>
  <si>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</si>
  <si>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</si>
  <si>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</si>
  <si>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</si>
  <si>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</si>
  <si>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</si>
  <si>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</si>
  <si>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</si>
  <si>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</si>
  <si>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</si>
  <si>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</si>
  <si>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</si>
  <si>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</si>
  <si>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</si>
  <si>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</si>
  <si>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</si>
  <si>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</si>
  <si>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</si>
  <si>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</si>
  <si>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</si>
  <si>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</si>
  <si>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</si>
  <si>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</si>
  <si>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</si>
  <si>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</si>
  <si>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</si>
  <si>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</si>
  <si>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</si>
  <si>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</si>
  <si>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</si>
  <si>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</si>
  <si>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</si>
  <si>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</si>
  <si>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</si>
  <si>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</si>
  <si>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</si>
  <si>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</si>
  <si>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</si>
  <si>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</si>
  <si>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</si>
  <si>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</si>
  <si>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</si>
  <si>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</si>
  <si>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</si>
  <si>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</si>
  <si>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</si>
  <si>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</si>
  <si>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</si>
  <si>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</si>
  <si>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</si>
  <si>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</si>
  <si>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</si>
  <si>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</si>
  <si>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</si>
  <si>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</si>
  <si>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</si>
  <si>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</si>
  <si>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</si>
  <si>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</si>
  <si>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</si>
  <si>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</si>
  <si>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</si>
  <si>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</si>
  <si>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</si>
  <si>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</si>
  <si>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</si>
  <si>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</si>
  <si>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</si>
  <si>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</si>
  <si>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</si>
  <si>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</si>
  <si>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</si>
  <si>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</si>
  <si>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</si>
  <si>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</si>
  <si>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</si>
  <si>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</si>
  <si>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</si>
  <si>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</si>
  <si>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</si>
  <si>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</si>
  <si>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</si>
  <si>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</si>
  <si>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</si>
  <si>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</si>
  <si>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</si>
  <si>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</si>
  <si>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</si>
  <si>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</si>
  <si>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</si>
  <si>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</si>
  <si>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</si>
  <si>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</si>
  <si>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</si>
  <si>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</si>
  <si>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</si>
  <si>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</si>
  <si>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</si>
  <si>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</si>
  <si>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</si>
  <si>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</si>
  <si>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</si>
  <si>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</si>
  <si>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</si>
  <si>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</si>
  <si>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</si>
  <si>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</si>
  <si>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</si>
  <si>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</si>
  <si>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</si>
  <si>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</si>
  <si>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</si>
  <si>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</si>
  <si>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</si>
  <si>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</si>
  <si>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</si>
  <si>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</si>
  <si>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</si>
  <si>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</si>
  <si>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</si>
  <si>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</si>
  <si>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</si>
  <si>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</si>
  <si>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</si>
  <si>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</si>
  <si>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</si>
  <si>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</si>
  <si>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</si>
  <si>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</si>
  <si>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</si>
  <si>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</si>
  <si>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</si>
  <si>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</si>
  <si>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</si>
  <si>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</si>
  <si>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</si>
  <si>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</si>
  <si>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</si>
  <si>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</si>
  <si>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</si>
  <si>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</si>
  <si>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</si>
  <si>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</si>
  <si>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</si>
  <si>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</si>
  <si>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</si>
  <si>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</si>
  <si>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</si>
  <si>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</si>
  <si>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</si>
  <si>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</si>
  <si>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</si>
  <si>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</si>
  <si>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</si>
  <si>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</si>
  <si>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</si>
  <si>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</si>
  <si>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</si>
  <si>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</si>
  <si>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</si>
  <si>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</si>
  <si>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</si>
  <si>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</si>
  <si>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</si>
  <si>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</si>
  <si>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</si>
  <si>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</si>
  <si>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</si>
  <si>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</si>
  <si>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</si>
  <si>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</si>
  <si>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</si>
  <si>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</si>
  <si>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</si>
  <si>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</si>
  <si>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</si>
  <si>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</si>
  <si>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</si>
  <si>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</si>
  <si>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</si>
  <si>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</si>
  <si>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</si>
  <si>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</si>
  <si>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</si>
  <si>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</si>
  <si>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</si>
  <si>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</si>
  <si>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</si>
  <si>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</si>
  <si>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</si>
  <si>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</si>
  <si>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</si>
  <si>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</si>
  <si>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</si>
  <si>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</si>
  <si>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</si>
  <si>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</si>
  <si>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</si>
  <si>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</si>
  <si>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</si>
  <si>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</si>
  <si>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</si>
  <si>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</si>
  <si>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</si>
  <si>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</si>
  <si>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</si>
  <si>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</si>
  <si>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</si>
  <si>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</si>
  <si>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</si>
  <si>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</si>
  <si>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</si>
  <si>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</si>
  <si>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</si>
  <si>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</si>
  <si>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</si>
  <si>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</si>
  <si>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</si>
  <si>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</si>
  <si>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</si>
  <si>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</si>
  <si>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</si>
  <si>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</si>
  <si>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</si>
  <si>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</si>
  <si>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</si>
  <si>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</si>
  <si>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</si>
  <si>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</si>
  <si>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</si>
  <si>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</si>
  <si>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</si>
  <si>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</si>
  <si>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</si>
  <si>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</si>
  <si>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</si>
  <si>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</si>
  <si>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</si>
  <si>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</si>
  <si>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</si>
  <si>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</si>
  <si>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</si>
  <si>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</si>
  <si>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</si>
  <si>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</si>
  <si>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</si>
  <si>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</si>
  <si>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</si>
  <si>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</si>
  <si>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</si>
  <si>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</si>
  <si>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</si>
  <si>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</si>
  <si>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</si>
  <si>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</si>
  <si>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</si>
  <si>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</si>
  <si>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</si>
  <si>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</si>
  <si>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</si>
  <si>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</si>
  <si>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</si>
  <si>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</si>
  <si>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</si>
  <si>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</si>
  <si>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</si>
  <si>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</si>
  <si>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</si>
  <si>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</si>
  <si>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</si>
  <si>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</si>
  <si>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</si>
  <si>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</si>
  <si>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</si>
  <si>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</si>
  <si>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</si>
  <si>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</si>
  <si>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</si>
  <si>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</si>
  <si>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</si>
  <si>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</si>
  <si>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</si>
  <si>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</si>
  <si>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</si>
  <si>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</si>
  <si>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</si>
  <si>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</si>
  <si>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</si>
  <si>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</si>
  <si>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</si>
  <si>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</si>
  <si>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</si>
  <si>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</si>
  <si>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</si>
  <si>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</si>
  <si>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</si>
  <si>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</si>
  <si>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</si>
  <si>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</si>
  <si>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</si>
  <si>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</si>
  <si>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</si>
  <si>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</si>
  <si>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</si>
  <si>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</si>
  <si>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</si>
  <si>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</si>
  <si>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</si>
  <si>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</si>
  <si>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</si>
  <si>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</si>
  <si>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</si>
  <si>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</si>
  <si>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</si>
  <si>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</si>
  <si>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</si>
  <si>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</si>
  <si>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</si>
  <si>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</si>
  <si>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</si>
  <si>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</si>
  <si>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</si>
  <si>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</si>
  <si>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</si>
  <si>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</si>
  <si>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</si>
  <si>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</si>
  <si>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</si>
  <si>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</si>
  <si>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</si>
  <si>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</si>
  <si>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</si>
  <si>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</si>
  <si>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</si>
  <si>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</si>
  <si>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</si>
  <si>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</si>
  <si>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</si>
  <si>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</si>
  <si>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</si>
  <si>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</si>
  <si>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</si>
  <si>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</si>
  <si>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</si>
  <si>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</si>
  <si>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</si>
  <si>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</si>
  <si>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</si>
  <si>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</si>
  <si>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</si>
  <si>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</si>
  <si>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</si>
  <si>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</si>
  <si>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</si>
  <si>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</si>
  <si>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</si>
  <si>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</si>
  <si>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</si>
  <si>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</si>
  <si>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</si>
  <si>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</si>
  <si>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</si>
  <si>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</si>
  <si>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</si>
  <si>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</si>
  <si>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</si>
  <si>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</si>
  <si>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</si>
  <si>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</si>
  <si>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</si>
  <si>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</si>
  <si>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</si>
  <si>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</si>
  <si>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</si>
  <si>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</si>
  <si>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</si>
  <si>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</si>
  <si>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</si>
  <si>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</si>
  <si>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</si>
  <si>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</si>
  <si>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</si>
  <si>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</si>
  <si>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</si>
  <si>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</si>
  <si>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</si>
  <si>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</si>
  <si>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</si>
  <si>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</si>
  <si>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</si>
  <si>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</si>
  <si>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</si>
  <si>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</si>
  <si>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</si>
  <si>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</si>
  <si>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</si>
  <si>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</si>
  <si>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</si>
  <si>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</si>
  <si>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</si>
  <si>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</si>
  <si>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</si>
  <si>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</si>
  <si>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</si>
  <si>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</si>
  <si>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</si>
  <si>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</si>
  <si>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</si>
  <si>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</si>
  <si>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</si>
  <si>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</si>
  <si>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</si>
  <si>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</si>
  <si>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</si>
  <si>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</si>
  <si>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</si>
  <si>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</si>
  <si>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</si>
  <si>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</si>
  <si>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</si>
  <si>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</si>
  <si>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</si>
  <si>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</si>
  <si>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</si>
  <si>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</si>
  <si>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</si>
  <si>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</si>
  <si>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</si>
  <si>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</si>
  <si>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</si>
  <si>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</si>
  <si>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</si>
  <si>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</si>
  <si>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</si>
  <si>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</si>
  <si>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</si>
  <si>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</si>
  <si>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</si>
  <si>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</si>
  <si>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</si>
  <si>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</si>
  <si>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</si>
  <si>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</si>
  <si>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</si>
  <si>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</si>
  <si>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</si>
  <si>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</si>
  <si>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</si>
  <si>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</si>
  <si>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</si>
  <si>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</si>
  <si>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</si>
  <si>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</si>
  <si>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</si>
  <si>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</si>
  <si>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</si>
  <si>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</si>
  <si>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</si>
  <si>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</si>
  <si>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</si>
  <si>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</si>
  <si>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</si>
  <si>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</si>
  <si>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</si>
  <si>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</si>
  <si>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</si>
  <si>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</si>
  <si>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</si>
  <si>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</si>
  <si>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</si>
  <si>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</si>
  <si>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</si>
  <si>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</si>
  <si>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</si>
  <si>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</si>
  <si>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</si>
  <si>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</si>
  <si>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</si>
  <si>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</si>
  <si>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</si>
  <si>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</si>
  <si>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</si>
  <si>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</si>
  <si>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</si>
  <si>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</si>
  <si>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</si>
  <si>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</si>
  <si>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</si>
  <si>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</si>
  <si>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</si>
  <si>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</si>
  <si>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</si>
  <si>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</si>
  <si>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</si>
  <si>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</si>
  <si>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</si>
  <si>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</si>
  <si>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</si>
  <si>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</si>
  <si>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</si>
  <si>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</si>
  <si>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</si>
  <si>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</si>
  <si>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</si>
  <si>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</si>
  <si>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</si>
  <si>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</si>
  <si>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</si>
  <si>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</si>
  <si>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</si>
  <si>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</si>
  <si>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</si>
  <si>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</si>
  <si>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</si>
  <si>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</si>
  <si>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</si>
  <si>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</si>
  <si>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</si>
  <si>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</si>
  <si>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</si>
  <si>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</si>
  <si>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</si>
  <si>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</si>
  <si>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</si>
  <si>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</si>
  <si>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</si>
  <si>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</si>
  <si>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</si>
  <si>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</si>
  <si>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</si>
  <si>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</si>
  <si>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</si>
  <si>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</si>
  <si>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</si>
  <si>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</si>
  <si>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</si>
  <si>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</si>
  <si>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</si>
  <si>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</si>
  <si>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</si>
  <si>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</si>
  <si>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</si>
  <si>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</si>
  <si>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</si>
  <si>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</si>
  <si>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</si>
  <si>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</si>
  <si>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</si>
  <si>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</si>
  <si>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</si>
  <si>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</si>
  <si>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</si>
  <si>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</si>
  <si>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</si>
  <si>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</si>
  <si>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</si>
  <si>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</si>
  <si>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</si>
  <si>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</si>
  <si>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</si>
  <si>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</si>
  <si>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</si>
  <si>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</si>
  <si>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</si>
  <si>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</si>
  <si>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</si>
  <si>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</si>
  <si>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</si>
  <si>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</si>
  <si>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</si>
  <si>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</si>
  <si>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</si>
  <si>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</si>
  <si>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</si>
  <si>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</si>
  <si>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</si>
  <si>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</si>
  <si>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</si>
  <si>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</si>
  <si>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</si>
  <si>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</si>
  <si>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</si>
  <si>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</si>
  <si>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</si>
  <si>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</si>
  <si>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</si>
  <si>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</si>
  <si>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</si>
  <si>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</si>
  <si>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</si>
  <si>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</si>
  <si>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</si>
  <si>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</si>
  <si>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</si>
  <si>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</si>
  <si>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</si>
  <si>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</si>
  <si>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</si>
  <si>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</si>
  <si>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</si>
  <si>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</si>
  <si>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</si>
  <si>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</si>
  <si>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</si>
  <si>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</si>
  <si>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</si>
  <si>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</si>
  <si>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</si>
  <si>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</si>
  <si>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</si>
  <si>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</si>
  <si>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</si>
  <si>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</si>
  <si>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</si>
  <si>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</si>
  <si>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</si>
  <si>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</si>
  <si>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</si>
  <si>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</si>
  <si>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</si>
  <si>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</si>
  <si>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</si>
  <si>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</si>
  <si>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</si>
  <si>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</si>
  <si>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</si>
  <si>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</si>
  <si>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</si>
  <si>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</si>
  <si>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</si>
  <si>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</si>
  <si>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</si>
  <si>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</si>
  <si>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</si>
  <si>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</si>
  <si>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</si>
  <si>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</si>
  <si>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</si>
  <si>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</si>
  <si>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</si>
  <si>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</si>
  <si>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</si>
  <si>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</si>
  <si>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</si>
  <si>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</si>
  <si>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</si>
  <si>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</si>
  <si>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</si>
  <si>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</si>
  <si>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</si>
  <si>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</si>
  <si>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</si>
  <si>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</si>
  <si>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</si>
  <si>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</si>
  <si>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</si>
  <si>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</si>
  <si>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</si>
  <si>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</si>
  <si>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</si>
  <si>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</si>
  <si>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</si>
  <si>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</si>
  <si>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</si>
  <si>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</si>
  <si>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</si>
  <si>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</si>
  <si>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</si>
  <si>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</si>
  <si>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</si>
  <si>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</si>
  <si>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</si>
  <si>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</si>
  <si>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</si>
  <si>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</si>
  <si>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</si>
  <si>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</si>
  <si>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</si>
  <si>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</si>
  <si>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</si>
  <si>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</si>
  <si>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</si>
  <si>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</si>
  <si>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</si>
  <si>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</si>
  <si>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</si>
  <si>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</si>
  <si>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</si>
  <si>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</si>
  <si>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</si>
  <si>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</si>
  <si>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</si>
  <si>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</si>
  <si>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</si>
  <si>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</si>
  <si>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</si>
  <si>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</si>
  <si>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</si>
  <si>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</si>
  <si>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</si>
  <si>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</si>
  <si>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</si>
  <si>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</si>
  <si>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</si>
  <si>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</si>
  <si>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</si>
  <si>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</si>
  <si>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</si>
  <si>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</si>
  <si>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</si>
  <si>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</si>
  <si>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</si>
  <si>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</si>
  <si>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</si>
  <si>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</si>
  <si>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</si>
  <si>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</si>
  <si>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</si>
  <si>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</si>
  <si>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</si>
  <si>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</si>
  <si>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</si>
  <si>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</si>
  <si>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</si>
  <si>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</si>
  <si>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</si>
  <si>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</si>
  <si>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</si>
  <si>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</si>
  <si>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</si>
  <si>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</si>
  <si>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</si>
  <si>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</si>
  <si>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</si>
  <si>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</si>
  <si>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</si>
  <si>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</si>
  <si>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</si>
  <si>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</si>
  <si>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</si>
  <si>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</si>
  <si>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</si>
  <si>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</si>
  <si>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</si>
  <si>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</si>
  <si>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</si>
  <si>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</si>
  <si>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</si>
  <si>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</si>
  <si>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</si>
  <si>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</si>
  <si>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</si>
  <si>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</si>
  <si>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</si>
  <si>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</si>
  <si>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</si>
  <si>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</si>
  <si>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</si>
  <si>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</si>
  <si>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</si>
  <si>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</si>
  <si>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</si>
  <si>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</si>
  <si>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</si>
  <si>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</si>
  <si>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</si>
  <si>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</si>
  <si>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</si>
  <si>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</si>
  <si>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</si>
  <si>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</si>
  <si>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</si>
  <si>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</si>
  <si>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</si>
  <si>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</si>
  <si>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</si>
  <si>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</si>
  <si>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</si>
  <si>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</si>
  <si>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</si>
  <si>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</si>
  <si>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</si>
  <si>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</si>
  <si>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</si>
  <si>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</si>
  <si>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</si>
  <si>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</si>
  <si>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</si>
  <si>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</si>
  <si>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</si>
  <si>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</si>
  <si>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</si>
  <si>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</si>
  <si>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</si>
  <si>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</si>
  <si>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</si>
  <si>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</si>
  <si>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</si>
  <si>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</si>
  <si>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</si>
  <si>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</si>
  <si>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</si>
  <si>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</si>
  <si>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</si>
  <si>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</si>
  <si>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</si>
  <si>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</si>
  <si>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</si>
  <si>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</si>
  <si>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</si>
  <si>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</si>
  <si>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</si>
  <si>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</si>
  <si>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</si>
  <si>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</si>
  <si>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</si>
  <si>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</si>
  <si>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</si>
  <si>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</si>
  <si>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</si>
  <si>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</si>
  <si>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</si>
  <si>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</si>
  <si>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</si>
  <si>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</si>
  <si>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</si>
  <si>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</si>
  <si>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</si>
  <si>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</si>
  <si>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</si>
  <si>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</si>
  <si>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</si>
  <si>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</si>
  <si>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</si>
  <si>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</si>
  <si>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</si>
  <si>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</si>
  <si>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</si>
  <si>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</si>
  <si>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</si>
  <si>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</si>
  <si>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</si>
  <si>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</si>
  <si>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</si>
  <si>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</si>
  <si>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</si>
  <si>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</si>
  <si>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</si>
  <si>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</si>
  <si>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</si>
  <si>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</si>
  <si>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</si>
  <si>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</si>
  <si>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</si>
  <si>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</si>
  <si>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</si>
  <si>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</si>
  <si>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</si>
  <si>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</si>
  <si>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</si>
  <si>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</si>
  <si>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</si>
  <si>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</si>
  <si>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</si>
  <si>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</si>
  <si>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</si>
  <si>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</si>
  <si>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</si>
  <si>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</si>
  <si>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</si>
  <si>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</si>
  <si>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</si>
  <si>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</si>
  <si>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</si>
  <si>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</si>
  <si>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</si>
  <si>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</si>
  <si>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</si>
  <si>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</si>
  <si>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</si>
  <si>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</si>
  <si>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</si>
  <si>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</si>
  <si>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</si>
  <si>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</si>
  <si>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</si>
  <si>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</si>
  <si>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</si>
  <si>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</si>
  <si>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</si>
  <si>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</si>
  <si>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</si>
  <si>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</si>
  <si>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</si>
  <si>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</si>
  <si>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</si>
  <si>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</si>
  <si>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</si>
  <si>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</si>
  <si>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</si>
  <si>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</si>
  <si>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</si>
  <si>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</si>
  <si>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</si>
  <si>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</si>
  <si>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</si>
  <si>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</si>
  <si>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</si>
  <si>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</si>
  <si>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</si>
  <si>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</si>
  <si>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</si>
  <si>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</si>
  <si>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</si>
  <si>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</si>
  <si>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</si>
  <si>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</si>
  <si>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</si>
  <si>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</si>
  <si>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</si>
  <si>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</si>
  <si>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</si>
  <si>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</si>
  <si>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</si>
  <si>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</si>
  <si>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</si>
  <si>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</si>
  <si>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</si>
  <si>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</si>
  <si>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</si>
  <si>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</si>
  <si>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</si>
  <si>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</si>
  <si>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</si>
  <si>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</si>
  <si>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</si>
  <si>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</si>
  <si>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</si>
  <si>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</si>
  <si>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</si>
  <si>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</si>
  <si>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</si>
  <si>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</si>
  <si>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</si>
  <si>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</si>
  <si>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</si>
  <si>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</si>
  <si>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</si>
  <si>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</si>
  <si>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</si>
  <si>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</si>
  <si>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</si>
  <si>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</si>
  <si>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</si>
  <si>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</si>
  <si>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</si>
  <si>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</si>
  <si>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</si>
  <si>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</si>
  <si>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</si>
  <si>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</si>
  <si>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</si>
  <si>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</si>
  <si>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</si>
  <si>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</si>
  <si>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</si>
  <si>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</si>
  <si>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(Select)</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</si>
  <si>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</si>
  <si>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</si>
  <si>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</si>
  <si>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</si>
  <si>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</si>
  <si>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</si>
  <si>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</si>
  <si>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</si>
  <si>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</si>
  <si>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</si>
  <si>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</si>
  <si>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</si>
  <si>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</si>
  <si>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</si>
  <si>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</si>
  <si>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</si>
  <si>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</si>
  <si>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</si>
  <si>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</si>
  <si>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</si>
  <si>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</si>
  <si>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</si>
  <si>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</si>
  <si>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</si>
  <si>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</si>
  <si>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</si>
  <si>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</si>
  <si>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</si>
  <si>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</si>
  <si>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</si>
  <si>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</si>
  <si>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</si>
  <si>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</si>
  <si>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</si>
  <si>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</si>
  <si>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</si>
  <si>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</si>
  <si>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</si>
  <si>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</si>
  <si>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</si>
  <si>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</si>
  <si>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</si>
  <si>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</si>
  <si>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</si>
  <si>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</si>
  <si>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</si>
  <si>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</si>
  <si>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</si>
  <si>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</si>
  <si>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</si>
  <si>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</si>
  <si>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</si>
  <si>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</si>
  <si>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</si>
  <si>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</si>
  <si>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</si>
  <si>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</si>
  <si>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</si>
  <si>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</si>
  <si>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</si>
  <si>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</si>
  <si>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</si>
  <si>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</si>
  <si>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</si>
  <si>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</si>
  <si>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</si>
  <si>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</si>
  <si>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</si>
  <si>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</si>
  <si>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</si>
  <si>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</si>
  <si>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</si>
  <si>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</si>
  <si>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</si>
  <si>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</si>
  <si>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</si>
  <si>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</si>
  <si>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</si>
  <si>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</si>
  <si>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</si>
  <si>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</si>
  <si>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</si>
  <si>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</si>
  <si>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</si>
  <si>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</si>
  <si>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</si>
  <si>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</si>
  <si>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</si>
  <si>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</si>
  <si>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</si>
  <si>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</si>
  <si>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</si>
  <si>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</si>
  <si>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</si>
  <si>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</si>
  <si>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</si>
  <si>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</si>
  <si>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</si>
  <si>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</si>
  <si>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</si>
  <si>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</si>
  <si>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</si>
  <si>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</si>
  <si>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</si>
  <si>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</si>
  <si>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</si>
  <si>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</si>
  <si>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</si>
  <si>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</si>
  <si>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</si>
  <si>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</si>
  <si>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</si>
  <si>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</si>
  <si>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</si>
  <si>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</si>
  <si>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</si>
  <si>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</si>
  <si>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</si>
  <si>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</si>
  <si>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</si>
  <si>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</si>
  <si>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</si>
  <si>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</si>
  <si>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</si>
  <si>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</si>
  <si>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</si>
  <si>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</si>
  <si>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</si>
  <si>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</si>
  <si>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</si>
  <si>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</si>
  <si>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</si>
  <si>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</si>
  <si>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</si>
  <si>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</si>
  <si>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</si>
  <si>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</si>
  <si>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</si>
  <si>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</si>
  <si>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</si>
  <si>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</si>
  <si>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</si>
  <si>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</si>
  <si>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</si>
  <si>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</si>
  <si>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</si>
  <si>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</si>
  <si>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</si>
  <si>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</si>
  <si>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</si>
  <si>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</si>
  <si>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</si>
  <si>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</si>
  <si>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</si>
  <si>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</si>
  <si>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</si>
  <si>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</si>
  <si>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</si>
  <si>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</si>
  <si>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</si>
  <si>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</si>
  <si>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</si>
  <si>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</si>
  <si>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</si>
  <si>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</si>
  <si>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</si>
  <si>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</si>
  <si>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</si>
  <si>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</si>
  <si>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</si>
  <si>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</si>
  <si>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</si>
  <si>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</si>
  <si>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</si>
  <si>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</si>
  <si>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</si>
  <si>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</si>
  <si>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</si>
  <si>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</si>
  <si>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</si>
  <si>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</si>
  <si>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</si>
  <si>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</si>
  <si>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</si>
  <si>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</si>
  <si>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</si>
  <si>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</si>
  <si>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</si>
  <si>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</si>
  <si>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</si>
  <si>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</si>
  <si>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</si>
  <si>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</si>
  <si>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</si>
  <si>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</si>
  <si>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</si>
  <si>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</si>
  <si>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</si>
  <si>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</si>
  <si>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</si>
  <si>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</si>
  <si>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</si>
  <si>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</si>
  <si>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</si>
  <si>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</si>
  <si>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</si>
  <si>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</si>
  <si>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</si>
  <si>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</si>
  <si>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</si>
  <si>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</si>
  <si>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</si>
  <si>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</si>
  <si>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</si>
  <si>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</si>
  <si>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</si>
  <si>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</si>
  <si>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</si>
  <si>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</si>
  <si>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</si>
  <si>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</si>
  <si>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</si>
  <si>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</si>
  <si>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</si>
  <si>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</si>
  <si>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</si>
  <si>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</si>
  <si>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</si>
  <si>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</si>
  <si>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</si>
  <si>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</si>
  <si>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</si>
  <si>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</si>
  <si>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</si>
  <si>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</si>
  <si>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</si>
  <si>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</si>
  <si>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</si>
  <si>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</si>
  <si>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</si>
  <si>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</si>
  <si>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</si>
  <si>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</si>
  <si>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</si>
  <si>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</si>
  <si>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</si>
  <si>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</si>
  <si>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</si>
  <si>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</si>
  <si>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</si>
  <si>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</si>
  <si>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</si>
  <si>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</si>
  <si>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</si>
  <si>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</si>
  <si>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</si>
  <si>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</si>
  <si>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</si>
  <si>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</si>
  <si>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</si>
  <si>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</si>
  <si>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</si>
  <si>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</si>
  <si>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</si>
  <si>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</si>
  <si>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</si>
  <si>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</si>
  <si>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</si>
  <si>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</si>
  <si>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</si>
  <si>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</si>
  <si>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</si>
  <si>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</si>
  <si>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</si>
  <si>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</si>
  <si>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</si>
  <si>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</si>
  <si>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</si>
  <si>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</si>
  <si>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</si>
  <si>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</si>
  <si>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</si>
  <si>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</si>
  <si>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</si>
  <si>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</si>
  <si>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</si>
  <si>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</si>
  <si>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</si>
  <si>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</si>
  <si>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</si>
  <si>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</si>
  <si>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</si>
  <si>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</si>
  <si>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</si>
  <si>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</si>
  <si>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</si>
  <si>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</si>
  <si>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</si>
  <si>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</si>
  <si>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</si>
  <si>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</si>
  <si>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</si>
  <si>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</si>
  <si>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</si>
  <si>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</si>
  <si>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</si>
  <si>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</si>
  <si>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</si>
  <si>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</si>
  <si>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</si>
  <si>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</si>
  <si>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</si>
  <si>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</si>
  <si>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</si>
  <si>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</si>
  <si>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</si>
  <si>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</si>
  <si>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</si>
  <si>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</si>
  <si>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</si>
  <si>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</si>
  <si>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</si>
  <si>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</si>
  <si>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</si>
  <si>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</si>
  <si>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</si>
  <si>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</si>
  <si>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</si>
  <si>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</si>
  <si>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</si>
  <si>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</si>
  <si>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</si>
  <si>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</si>
  <si>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</si>
  <si>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</si>
  <si>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</si>
  <si>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</si>
  <si>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</si>
  <si>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</si>
  <si>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</si>
  <si>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</si>
  <si>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</si>
  <si>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</si>
  <si>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</si>
  <si>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</si>
  <si>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</si>
  <si>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</si>
  <si>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</si>
  <si>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</si>
  <si>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</si>
  <si>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</si>
  <si>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</si>
  <si>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</si>
  <si>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</si>
  <si>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</si>
  <si>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</si>
  <si>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</si>
  <si>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</si>
  <si>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</si>
  <si>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</si>
  <si>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</si>
  <si>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</si>
  <si>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</si>
  <si>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</si>
  <si>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</si>
  <si>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</si>
  <si>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</si>
  <si>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</si>
  <si>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</si>
  <si>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</si>
  <si>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</si>
  <si>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</si>
  <si>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</si>
  <si>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</si>
  <si>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</si>
  <si>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</si>
  <si>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</si>
  <si>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</si>
  <si>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</si>
  <si>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</si>
  <si>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</si>
  <si>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</si>
  <si>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</si>
  <si>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</si>
  <si>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</si>
  <si>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</si>
  <si>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</si>
  <si>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</si>
  <si>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</si>
  <si>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</si>
  <si>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</si>
  <si>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</si>
  <si>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</si>
  <si>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</si>
  <si>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</si>
  <si>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</si>
  <si>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</si>
  <si>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</si>
  <si>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</si>
  <si>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</si>
  <si>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</si>
  <si>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</si>
  <si>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</si>
  <si>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</si>
  <si>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</si>
  <si>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</si>
  <si>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</si>
  <si>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</si>
  <si>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</si>
  <si>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</si>
  <si>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</si>
  <si>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</si>
  <si>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</si>
  <si>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</si>
  <si>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</si>
  <si>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</si>
  <si>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</si>
  <si>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</si>
  <si>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</si>
  <si>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</si>
  <si>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</si>
  <si>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</si>
  <si>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</si>
  <si>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</si>
  <si>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</si>
  <si>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</si>
  <si>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</si>
  <si>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</si>
  <si>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</si>
  <si>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</si>
  <si>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</si>
  <si>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</si>
  <si>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</si>
  <si>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</si>
  <si>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</si>
  <si>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</si>
  <si>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</si>
  <si>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</si>
  <si>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</si>
  <si>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</si>
  <si>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</si>
  <si>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</si>
  <si>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</si>
  <si>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</si>
  <si>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</si>
  <si>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</si>
  <si>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</si>
  <si>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</si>
  <si>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</si>
  <si>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</si>
  <si>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</si>
  <si>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</si>
  <si>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</si>
  <si>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</si>
  <si>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</si>
  <si>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</si>
  <si>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</si>
  <si>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</si>
  <si>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</si>
  <si>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</si>
  <si>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</si>
  <si>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</si>
  <si>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</si>
  <si>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</si>
  <si>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</si>
  <si>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</si>
  <si>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</si>
  <si>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</si>
  <si>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</si>
  <si>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</si>
  <si>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</si>
  <si>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</si>
  <si>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</si>
  <si>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</si>
  <si>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</si>
  <si>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</si>
  <si>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</si>
  <si>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</si>
  <si>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</si>
  <si>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</si>
  <si>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</si>
  <si>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</si>
  <si>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</si>
  <si>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</si>
  <si>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</si>
  <si>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</si>
  <si>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</si>
  <si>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</si>
  <si>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</si>
  <si>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</si>
  <si>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</si>
  <si>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</si>
  <si>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</si>
  <si>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</si>
  <si>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</si>
  <si>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</si>
  <si>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</si>
  <si>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</si>
  <si>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</si>
  <si>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</si>
  <si>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</si>
  <si>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</si>
  <si>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</si>
  <si>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</si>
  <si>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</si>
  <si>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</si>
  <si>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</si>
  <si>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</si>
  <si>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</si>
  <si>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</si>
  <si>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</si>
  <si>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</si>
  <si>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</si>
  <si>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</si>
  <si>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</si>
  <si>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</si>
  <si>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</si>
  <si>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</si>
  <si>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</si>
  <si>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</si>
  <si>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</si>
  <si>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</si>
  <si>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</si>
  <si>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</si>
  <si>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</si>
  <si>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</si>
  <si>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</si>
  <si>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</si>
  <si>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</si>
  <si>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</si>
  <si>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</si>
  <si>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</si>
  <si>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</si>
  <si>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</si>
  <si>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</si>
  <si>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</si>
  <si>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</si>
  <si>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</si>
  <si>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</si>
  <si>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</si>
  <si>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</si>
  <si>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</si>
  <si>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</si>
  <si>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</si>
  <si>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</si>
  <si>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</si>
  <si>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</si>
  <si>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</si>
  <si>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</si>
  <si>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</si>
  <si>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</si>
  <si>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</si>
  <si>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</si>
  <si>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</si>
  <si>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</si>
  <si>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</si>
  <si>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</si>
  <si>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</si>
  <si>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</si>
  <si>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</si>
  <si>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</si>
  <si>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</si>
  <si>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</si>
  <si>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</si>
  <si>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</si>
  <si>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</si>
  <si>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</si>
  <si>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</si>
  <si>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</si>
  <si>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</si>
  <si>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</si>
  <si>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</si>
  <si>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</si>
  <si>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</si>
  <si>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</si>
  <si>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</si>
  <si>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</si>
  <si>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</si>
  <si>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</si>
  <si>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</si>
  <si>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</si>
  <si>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</si>
  <si>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</si>
  <si>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</si>
  <si>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</si>
  <si>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</si>
  <si>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</si>
  <si>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</si>
  <si>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</si>
  <si>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</si>
  <si>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</si>
  <si>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</si>
  <si>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</si>
  <si>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</si>
  <si>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</si>
  <si>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</si>
  <si>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</si>
  <si>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</si>
  <si>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</si>
  <si>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</si>
  <si>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</si>
  <si>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</si>
  <si>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</si>
  <si>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</si>
  <si>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</si>
  <si>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</si>
  <si>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</si>
  <si>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</si>
  <si>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</si>
  <si>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</si>
  <si>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</si>
  <si>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</si>
  <si>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</si>
  <si>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</si>
  <si>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</si>
  <si>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</si>
  <si>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</si>
  <si>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</si>
  <si>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</si>
  <si>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</si>
  <si>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</si>
  <si>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</si>
  <si>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</si>
  <si>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</si>
  <si>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</si>
  <si>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</si>
  <si>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</si>
  <si>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</si>
  <si>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</si>
  <si>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</si>
  <si>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</si>
  <si>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</si>
  <si>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</si>
  <si>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</si>
  <si>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</si>
  <si>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</si>
  <si>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</si>
  <si>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</si>
  <si>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</si>
  <si>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</si>
  <si>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</si>
  <si>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</si>
  <si>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</si>
  <si>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</si>
  <si>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</si>
  <si>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</si>
  <si>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</si>
  <si>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</si>
  <si>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</si>
  <si>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</si>
  <si>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</si>
  <si>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</si>
  <si>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</si>
  <si>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</si>
  <si>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</si>
  <si>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</si>
  <si>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</si>
  <si>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</si>
  <si>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</si>
  <si>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</si>
  <si>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</si>
  <si>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</si>
  <si>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</si>
  <si>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</si>
  <si>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</si>
  <si>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</si>
  <si>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</si>
  <si>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</si>
  <si>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</si>
  <si>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</si>
  <si>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</si>
  <si>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</si>
  <si>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</si>
  <si>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</si>
  <si>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</si>
  <si>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</si>
  <si>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</si>
  <si>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</si>
  <si>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</si>
  <si>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</si>
  <si>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</si>
  <si>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</si>
  <si>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</si>
  <si>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</si>
  <si>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</si>
  <si>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</si>
  <si>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</si>
  <si>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</si>
  <si>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</si>
  <si>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</si>
  <si>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</si>
  <si>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</si>
  <si>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</si>
  <si>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</si>
  <si>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</si>
  <si>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</si>
  <si>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</si>
  <si>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</si>
  <si>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</si>
  <si>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</si>
  <si>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</si>
  <si>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</si>
  <si>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</si>
  <si>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</si>
  <si>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</si>
  <si>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</si>
  <si>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</si>
  <si>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</si>
  <si>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</si>
  <si>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</si>
  <si>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</si>
  <si>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</si>
  <si>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</si>
  <si>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</si>
  <si>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</si>
  <si>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</si>
  <si>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</si>
  <si>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</si>
  <si>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</si>
  <si>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</si>
  <si>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</si>
  <si>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</si>
  <si>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</si>
  <si>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</si>
  <si>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</si>
  <si>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</si>
  <si>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</si>
  <si>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</si>
  <si>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</si>
  <si>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</si>
  <si>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</si>
  <si>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</si>
  <si>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</si>
  <si>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</si>
  <si>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</si>
  <si>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</si>
  <si>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</si>
  <si>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</si>
  <si>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</si>
  <si>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</si>
  <si>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</si>
  <si>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</si>
  <si>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</si>
  <si>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</si>
  <si>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</si>
  <si>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</si>
  <si>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</si>
  <si>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</si>
  <si>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</si>
  <si>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</si>
  <si>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</si>
  <si>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</si>
  <si>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</si>
  <si>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</si>
  <si>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</si>
  <si>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</si>
  <si>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</si>
  <si>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</si>
  <si>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</si>
  <si>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</si>
  <si>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</si>
  <si>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</si>
  <si>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</si>
  <si>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</si>
  <si>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</si>
  <si>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</si>
  <si>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</si>
  <si>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</si>
  <si>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</si>
  <si>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</si>
  <si>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</si>
  <si>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</si>
  <si>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</si>
  <si>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</si>
  <si>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</si>
  <si>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</si>
  <si>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</si>
  <si>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</si>
  <si>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</si>
  <si>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</si>
  <si>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</si>
  <si>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</si>
  <si>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</si>
  <si>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</si>
  <si>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</si>
  <si>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</si>
  <si>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</si>
  <si>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</si>
  <si>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</si>
  <si>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</si>
  <si>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</si>
  <si>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</si>
  <si>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</si>
  <si>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</si>
  <si>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</si>
  <si>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</si>
  <si>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</si>
  <si>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</si>
  <si>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</si>
  <si>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</si>
  <si>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</si>
  <si>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</si>
  <si>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</si>
  <si>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</si>
  <si>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</si>
  <si>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</si>
  <si>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</si>
  <si>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</si>
  <si>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</si>
  <si>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</si>
  <si>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</si>
  <si>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</si>
  <si>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</si>
  <si>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</si>
  <si>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</si>
  <si>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</si>
  <si>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</si>
  <si>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</si>
  <si>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</si>
  <si>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</si>
  <si>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</si>
  <si>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</si>
  <si>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</si>
  <si>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</si>
  <si>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</si>
  <si>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</si>
  <si>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</si>
  <si>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</si>
  <si>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</si>
  <si>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</si>
  <si>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</si>
  <si>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</si>
  <si>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</si>
  <si>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</si>
  <si>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</si>
  <si>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</si>
  <si>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</si>
  <si>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</si>
  <si>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</si>
  <si>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</si>
  <si>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</si>
  <si>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</si>
  <si>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</si>
  <si>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</si>
  <si>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</si>
  <si>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</si>
  <si>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</si>
  <si>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</si>
  <si>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</si>
  <si>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</si>
  <si>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</si>
  <si>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</si>
  <si>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</si>
  <si>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</si>
  <si>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</si>
  <si>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</si>
  <si>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</si>
  <si>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</si>
  <si>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</si>
  <si>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</si>
  <si>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</si>
  <si>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</si>
  <si>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</si>
  <si>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</si>
  <si>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</si>
  <si>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</si>
  <si>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</si>
  <si>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</si>
  <si>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</si>
  <si>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</si>
  <si>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</si>
  <si>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</si>
  <si>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</si>
  <si>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</si>
  <si>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</si>
  <si>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</si>
  <si>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</si>
  <si>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</si>
  <si>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</si>
  <si>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</si>
  <si>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</si>
  <si>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</si>
  <si>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</si>
  <si>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</si>
  <si>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</si>
  <si>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</si>
  <si>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</si>
  <si>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</si>
  <si>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</si>
  <si>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</si>
  <si>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</si>
  <si>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</si>
  <si>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</si>
  <si>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</si>
  <si>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</si>
  <si>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</si>
  <si>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</si>
  <si>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</si>
  <si>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</si>
  <si>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</si>
  <si>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</si>
  <si>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</si>
  <si>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</si>
  <si>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</si>
  <si>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</si>
  <si>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</si>
  <si>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</si>
  <si>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</si>
  <si>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</si>
  <si>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</si>
  <si>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</si>
  <si>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</si>
  <si>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</si>
  <si>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</si>
  <si>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</si>
  <si>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</si>
  <si>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</si>
  <si>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</si>
  <si>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</si>
  <si>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</si>
  <si>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</si>
  <si>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</si>
  <si>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</si>
  <si>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</si>
  <si>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</si>
  <si>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</si>
  <si>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</si>
  <si>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</si>
  <si>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</si>
  <si>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</si>
  <si>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</si>
  <si>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</si>
  <si>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</si>
  <si>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</si>
  <si>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</si>
  <si>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</si>
  <si>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</si>
  <si>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</si>
  <si>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</si>
  <si>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</si>
  <si>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</si>
  <si>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</si>
  <si>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</si>
  <si>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</si>
  <si>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</si>
  <si>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</si>
  <si>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</si>
  <si>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</si>
  <si>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</si>
  <si>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</si>
  <si>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</si>
  <si>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</si>
  <si>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</si>
  <si>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</si>
  <si>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</si>
  <si>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</si>
  <si>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</si>
  <si>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</si>
  <si>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</si>
  <si>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</si>
  <si>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</si>
  <si>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</si>
  <si>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</si>
  <si>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</si>
  <si>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</si>
  <si>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</si>
  <si>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</si>
  <si>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</si>
  <si>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</si>
  <si>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</si>
  <si>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</si>
  <si>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</si>
  <si>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</si>
  <si>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</si>
  <si>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</si>
  <si>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</si>
  <si>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</si>
  <si>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</si>
  <si>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</si>
  <si>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</si>
  <si>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</si>
  <si>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</si>
  <si>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</si>
  <si>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</si>
  <si>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</si>
  <si>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</si>
  <si>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</si>
  <si>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</si>
  <si>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</si>
  <si>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</si>
  <si>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</si>
  <si>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</si>
  <si>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</si>
  <si>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</si>
  <si>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</si>
  <si>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</si>
  <si>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</si>
  <si>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</si>
  <si>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</si>
  <si>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</si>
  <si>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</si>
  <si>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</si>
  <si>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</si>
  <si>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</si>
  <si>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</si>
  <si>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</si>
  <si>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</si>
  <si>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</si>
  <si>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</si>
  <si>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</si>
  <si>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</si>
  <si>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</si>
  <si>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</si>
  <si>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</si>
  <si>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</si>
  <si>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</si>
  <si>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</si>
  <si>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</si>
  <si>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</si>
  <si>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</si>
  <si>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</si>
  <si>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</si>
  <si>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</si>
  <si>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</si>
  <si>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</si>
  <si>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</si>
  <si>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</si>
  <si>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</si>
  <si>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</si>
  <si>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</si>
  <si>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</si>
  <si>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</si>
  <si>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</si>
  <si>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</si>
  <si>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</si>
  <si>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</si>
  <si>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</si>
  <si>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</si>
  <si>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</si>
  <si>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</si>
  <si>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</si>
  <si>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</si>
  <si>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</si>
  <si>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</si>
  <si>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</si>
  <si>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</si>
  <si>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</si>
  <si>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</si>
  <si>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</si>
  <si>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</si>
  <si>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</si>
  <si>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</si>
  <si>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</si>
  <si>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</si>
  <si>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</si>
  <si>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</si>
  <si>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</si>
  <si>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</si>
  <si>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</si>
  <si>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</si>
  <si>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</si>
  <si>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</si>
  <si>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</si>
  <si>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</si>
  <si>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</si>
  <si>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</si>
  <si>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</si>
  <si>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</si>
  <si>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</si>
  <si>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</si>
  <si>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</si>
  <si>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</si>
  <si>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</si>
  <si>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</si>
  <si>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</si>
  <si>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</si>
  <si>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</si>
  <si>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</si>
  <si>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</si>
  <si>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</si>
  <si>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</si>
  <si>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</si>
  <si>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</si>
  <si>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</si>
  <si>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</si>
  <si>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</si>
  <si>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</si>
  <si>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</si>
  <si>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</si>
  <si>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</si>
  <si>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</si>
  <si>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</si>
  <si>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</si>
  <si>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</si>
  <si>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</si>
  <si>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</si>
  <si>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</si>
  <si>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</si>
  <si>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</si>
  <si>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</si>
  <si>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</si>
  <si>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</si>
  <si>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</si>
  <si>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</si>
  <si>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</si>
  <si>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</si>
  <si>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</si>
  <si>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</si>
  <si>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</si>
  <si>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</si>
  <si>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</si>
  <si>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</si>
  <si>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</si>
  <si>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</si>
  <si>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</si>
  <si>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</si>
  <si>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</si>
  <si>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</si>
  <si>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</si>
  <si>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</si>
  <si>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</si>
  <si>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</si>
  <si>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</si>
  <si>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</si>
  <si>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</si>
  <si>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</si>
  <si>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</si>
  <si>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</si>
  <si>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</si>
  <si>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</si>
  <si>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</si>
  <si>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</si>
  <si>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</si>
  <si>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</si>
  <si>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</si>
  <si>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</si>
  <si>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</si>
  <si>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</si>
  <si>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</si>
  <si>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</si>
  <si>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</si>
  <si>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</si>
  <si>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</si>
  <si>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</si>
  <si>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</si>
  <si>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</si>
  <si>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</si>
  <si>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</si>
  <si>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</si>
  <si>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</si>
  <si>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</si>
  <si>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</si>
  <si>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</si>
  <si>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</si>
  <si>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</si>
  <si>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</si>
  <si>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</si>
  <si>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</si>
  <si>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</si>
  <si>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</si>
  <si>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</si>
  <si>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</si>
  <si>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</si>
  <si>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</si>
  <si>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</si>
  <si>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</si>
  <si>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</si>
  <si>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</si>
  <si>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</si>
  <si>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</si>
  <si>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</si>
  <si>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</si>
  <si>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</si>
  <si>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</si>
  <si>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</si>
  <si>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</si>
  <si>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</si>
  <si>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</si>
  <si>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</si>
  <si>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</si>
  <si>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</si>
  <si>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</si>
  <si>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</si>
  <si>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</si>
  <si>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</si>
  <si>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</si>
  <si>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</si>
  <si>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</si>
  <si>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</si>
  <si>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</si>
  <si>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</si>
  <si>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</si>
  <si>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</si>
  <si>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</si>
  <si>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</si>
  <si>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</si>
  <si>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</si>
  <si>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</si>
  <si>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</si>
  <si>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</si>
  <si>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</si>
  <si>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</si>
  <si>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</si>
  <si>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</si>
  <si>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</si>
  <si>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</si>
  <si>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</si>
  <si>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</si>
  <si>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</si>
  <si>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</si>
  <si>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</si>
  <si>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</si>
  <si>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</si>
  <si>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</si>
  <si>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</si>
  <si>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</si>
  <si>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</si>
  <si>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</si>
  <si>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</si>
  <si>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</si>
  <si>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</si>
  <si>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</si>
  <si>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</si>
  <si>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</si>
  <si>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</si>
  <si>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</si>
  <si>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</si>
  <si>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</si>
  <si>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</si>
  <si>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</si>
  <si>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</si>
  <si>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</si>
  <si>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</si>
  <si>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</si>
  <si>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</si>
  <si>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</si>
  <si>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</si>
  <si>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</si>
  <si>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</si>
  <si>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</si>
  <si>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</si>
  <si>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</si>
  <si>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</si>
  <si>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</si>
  <si>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</si>
  <si>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</si>
  <si>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</si>
  <si>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</si>
  <si>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</si>
  <si>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</si>
  <si>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</si>
  <si>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</si>
  <si>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</si>
  <si>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</si>
  <si>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</si>
  <si>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</si>
  <si>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</si>
  <si>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</si>
  <si>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</si>
  <si>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</si>
  <si>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</si>
  <si>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</si>
  <si>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</si>
  <si>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</si>
  <si>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</si>
  <si>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</si>
  <si>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</si>
  <si>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</si>
  <si>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</si>
  <si>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</si>
  <si>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</si>
  <si>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</si>
  <si>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</si>
  <si>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</si>
  <si>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</si>
  <si>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</si>
  <si>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</si>
  <si>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</si>
  <si>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</si>
  <si>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</si>
  <si>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</si>
  <si>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</si>
  <si>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</si>
  <si>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</si>
  <si>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</si>
  <si>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</si>
  <si>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</si>
  <si>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</si>
  <si>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</si>
  <si>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</si>
  <si>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</si>
  <si>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</si>
  <si>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</si>
  <si>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</si>
  <si>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</si>
  <si>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</si>
  <si>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</si>
  <si>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</si>
  <si>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</si>
  <si>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</si>
  <si>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</si>
  <si>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</si>
  <si>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</si>
  <si>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</si>
  <si>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</si>
  <si>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</si>
  <si>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</si>
  <si>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</si>
  <si>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</si>
  <si>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</si>
  <si>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</si>
  <si>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</si>
  <si>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</si>
  <si>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</si>
  <si>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</si>
  <si>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</si>
  <si>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</si>
  <si>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</si>
  <si>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</si>
  <si>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</si>
  <si>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</si>
  <si>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</si>
  <si>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</si>
  <si>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</si>
  <si>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</si>
  <si>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</si>
  <si>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</si>
  <si>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</si>
  <si>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</si>
  <si>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</si>
  <si>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</si>
  <si>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</si>
  <si>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</si>
  <si>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</si>
  <si>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</si>
  <si>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</si>
  <si>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</si>
  <si>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</si>
  <si>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</si>
  <si>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</si>
  <si>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</si>
  <si>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</si>
  <si>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</si>
  <si>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</si>
  <si>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</si>
  <si>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</si>
  <si>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</si>
  <si>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</si>
  <si>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</si>
  <si>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</si>
  <si>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</si>
  <si>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</si>
  <si>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</si>
  <si>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</si>
  <si>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</si>
  <si>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</si>
  <si>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</si>
  <si>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</si>
  <si>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</si>
  <si>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</si>
  <si>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</si>
  <si>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</si>
  <si>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</si>
  <si>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</si>
  <si>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</si>
  <si>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</si>
  <si>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</si>
  <si>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</si>
  <si>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</si>
  <si>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</si>
  <si>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</si>
  <si>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</si>
  <si>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</si>
  <si>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</si>
  <si>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</si>
  <si>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</si>
  <si>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</si>
  <si>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</si>
  <si>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</si>
  <si>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</si>
  <si>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</si>
  <si>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</si>
  <si>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</si>
  <si>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</si>
  <si>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</si>
  <si>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</si>
  <si>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</si>
  <si>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</si>
  <si>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 xml:space="preserve">Bella Village Apartments </t>
  </si>
  <si>
    <t xml:space="preserve">City of San Ramon </t>
  </si>
  <si>
    <t>San Ramon</t>
  </si>
  <si>
    <t>208-260-052-5; 208-260-036-8</t>
  </si>
  <si>
    <t>40%/60% Average Income</t>
  </si>
  <si>
    <t xml:space="preserve">Sabelhaus &amp; Strain PC </t>
  </si>
  <si>
    <t>1724 10th Street, Suite 110</t>
  </si>
  <si>
    <t>CA</t>
  </si>
  <si>
    <t xml:space="preserve">Stephen Strain </t>
  </si>
  <si>
    <t>916-444-0286</t>
  </si>
  <si>
    <t>sstrain@sabelhauslaw.com</t>
  </si>
  <si>
    <t>Garden Style with tuckunder garages (Type 3 and Type 5 construction). Two are 5-story, elevator served, and one building is 3-story walk up.</t>
  </si>
  <si>
    <t>Village Center Mixed Use</t>
  </si>
  <si>
    <t>Village Center Mixed Use, 30-35 units per acre</t>
  </si>
  <si>
    <t xml:space="preserve">The commercial requirement was removed </t>
  </si>
  <si>
    <t xml:space="preserve">Yes - State Density Bonus </t>
  </si>
  <si>
    <t>60 feet</t>
  </si>
  <si>
    <t>1.25 per unit and .2 for guest</t>
  </si>
  <si>
    <t>JSA 2233, LLC and JSA Properties, Inc,</t>
  </si>
  <si>
    <t>Mark Staats</t>
  </si>
  <si>
    <t>412 Sycamore Circle, Danville, CA 94583</t>
  </si>
  <si>
    <t xml:space="preserve">Mark Staats </t>
  </si>
  <si>
    <t>Manager</t>
  </si>
  <si>
    <t>Administrative GP</t>
  </si>
  <si>
    <t xml:space="preserve">LIHTC Advisors, LLC </t>
  </si>
  <si>
    <t>Central Valley Coalition for Affordable Housing</t>
  </si>
  <si>
    <t>Managing GP</t>
  </si>
  <si>
    <t>3351 M Street, Suite 150</t>
  </si>
  <si>
    <t>Christina Alley</t>
  </si>
  <si>
    <t>(209) 388-0782</t>
  </si>
  <si>
    <t>chris@centralvalleycoalition.com</t>
  </si>
  <si>
    <t>Sacramento, CA 95811</t>
  </si>
  <si>
    <t>(916) 444-0286</t>
  </si>
  <si>
    <t xml:space="preserve">Bernard E. Rea, CPA </t>
  </si>
  <si>
    <t>P.O. Box 492</t>
  </si>
  <si>
    <t>Aubrey, TX 76227</t>
  </si>
  <si>
    <t xml:space="preserve">Bernie Rea </t>
  </si>
  <si>
    <t>(209) 933-9113</t>
  </si>
  <si>
    <t>breacpa@aol.com</t>
  </si>
  <si>
    <t xml:space="preserve">23231 South Pointe Drive </t>
  </si>
  <si>
    <t>Laguna Hills, CA 92653</t>
  </si>
  <si>
    <t>Chris Weimholt</t>
  </si>
  <si>
    <t>(949) 267-1660</t>
  </si>
  <si>
    <t>cweimholt@adcollaborative.com</t>
  </si>
  <si>
    <t xml:space="preserve">4509 W Salix Drive </t>
  </si>
  <si>
    <t>Meridian</t>
  </si>
  <si>
    <t>ID</t>
  </si>
  <si>
    <t xml:space="preserve">John Nicolas </t>
  </si>
  <si>
    <t xml:space="preserve">Meridian </t>
  </si>
  <si>
    <t xml:space="preserve">ID </t>
  </si>
  <si>
    <t>john@lihtcadv.com</t>
  </si>
  <si>
    <t>John Nicolas</t>
  </si>
  <si>
    <t xml:space="preserve">4509 Salix Drive </t>
  </si>
  <si>
    <t>Meridian, ID 83646</t>
  </si>
  <si>
    <t xml:space="preserve">CONAM Management Corporation </t>
  </si>
  <si>
    <t>3990 Ruffin Road #100</t>
  </si>
  <si>
    <t>San Diego, CA 92123</t>
  </si>
  <si>
    <t xml:space="preserve">Michelle Sites </t>
  </si>
  <si>
    <t>(858) 614-7200</t>
  </si>
  <si>
    <t>Limited Liability Company</t>
  </si>
  <si>
    <t>September</t>
  </si>
  <si>
    <t xml:space="preserve">San Ramon </t>
  </si>
  <si>
    <t>Chief Executive Officer of Central Valley</t>
  </si>
  <si>
    <t>Brooke Litman</t>
  </si>
  <si>
    <t>Housing Programs Manager</t>
  </si>
  <si>
    <t xml:space="preserve">2222 Camino Ramon </t>
  </si>
  <si>
    <t>925-973-2573</t>
  </si>
  <si>
    <t>925-275-0854</t>
  </si>
  <si>
    <t>blittman@sanramon.ca.gov</t>
  </si>
  <si>
    <t>805-804-7778</t>
  </si>
  <si>
    <t>Attorney / Consultant</t>
  </si>
  <si>
    <t>Boston Financial</t>
  </si>
  <si>
    <t>225 Franklin Street</t>
  </si>
  <si>
    <t>Boston, MA 02110</t>
  </si>
  <si>
    <t>Laura Surdel</t>
  </si>
  <si>
    <t>774-567-5693</t>
  </si>
  <si>
    <t>laura.surdel@bfim.com</t>
  </si>
  <si>
    <t>Kinetic Valuation Group, Inc.</t>
  </si>
  <si>
    <t>3901 S 147th Street, Suite 144</t>
  </si>
  <si>
    <t>Omaha, NE 68144</t>
  </si>
  <si>
    <t>Jay Wortmann, MAI</t>
  </si>
  <si>
    <t>402-202-0771</t>
  </si>
  <si>
    <t>jay@kvgteam.com</t>
  </si>
  <si>
    <t>California Municipal Finance Authority</t>
  </si>
  <si>
    <t>2111 Palomar Airport Road, Suite 320</t>
  </si>
  <si>
    <t>Carlsbad, CA 92011</t>
  </si>
  <si>
    <t>Anthony Stubbs</t>
  </si>
  <si>
    <t>760-930-1333</t>
  </si>
  <si>
    <t>760-683-3390</t>
  </si>
  <si>
    <t>astubbs@cmfa-ca.com</t>
  </si>
  <si>
    <t>VCA Green</t>
  </si>
  <si>
    <t>Burke Boydell</t>
  </si>
  <si>
    <t>714-363-4700</t>
  </si>
  <si>
    <t>bboydell@vca-green.com</t>
  </si>
  <si>
    <t>1845 W Orangewood Ave., Ste. 310</t>
  </si>
  <si>
    <t>Orange, CA 92868</t>
  </si>
  <si>
    <t>TBD</t>
  </si>
  <si>
    <t>2233 San Ramon Valley Blvd</t>
  </si>
  <si>
    <t>RESI Architecture</t>
  </si>
  <si>
    <t>Citibank, N.A.</t>
  </si>
  <si>
    <t>LIHTC Advisors, LLC</t>
  </si>
  <si>
    <t>CUAC</t>
  </si>
  <si>
    <t>Air Conditioning</t>
  </si>
  <si>
    <t>CMFA Recycled Bonds</t>
  </si>
  <si>
    <t>Office</t>
  </si>
  <si>
    <t>Taxes &amp; Benefits</t>
  </si>
  <si>
    <t>Supplies</t>
  </si>
  <si>
    <t>Recycled Bonds</t>
  </si>
  <si>
    <t>P&amp;P Bonds</t>
  </si>
  <si>
    <t>Costs of Issuance</t>
  </si>
  <si>
    <t>Borrower Attorney</t>
  </si>
  <si>
    <t>Fixed</t>
  </si>
  <si>
    <t>325 E. Hillcrest Drive, Suite 160</t>
  </si>
  <si>
    <t>Thousand Oaks</t>
  </si>
  <si>
    <t>Mike Hemmens</t>
  </si>
  <si>
    <t>Tax Exempt Construction Loan</t>
  </si>
  <si>
    <t>Recycled Bond Construction Loan</t>
  </si>
  <si>
    <t>Taxable Construction Loan</t>
  </si>
  <si>
    <t>4509 Salix Drive</t>
  </si>
  <si>
    <t>Meridian, ID</t>
  </si>
  <si>
    <t>Deferred Reserves</t>
  </si>
  <si>
    <t>Boston, MA</t>
  </si>
  <si>
    <t>LIHTC Equity</t>
  </si>
  <si>
    <t>Permanent Loan</t>
  </si>
  <si>
    <t>Above residual receipts line for cash flow</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</si>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</sst>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25632">
    <xf numFmtId="0" fontId="0" fillId="0" borderId="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8" fillId="36" borderId="18" applyNumberFormat="0" applyAlignment="0" applyProtection="0"/>
    <xf numFmtId="0" fontId="88" fillId="36" borderId="18" applyNumberFormat="0" applyAlignment="0" applyProtection="0"/>
    <xf numFmtId="0" fontId="89" fillId="37" borderId="19" applyNumberFormat="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1" fillId="0" borderId="0" applyFont="0" applyFill="0" applyBorder="0" applyAlignment="0" applyProtection="0"/>
    <xf numFmtId="43" fontId="26" fillId="0" borderId="0" applyFont="0" applyFill="0" applyBorder="0" applyAlignment="0" applyProtection="0"/>
    <xf numFmtId="43" fontId="61" fillId="0" borderId="0" applyFont="0" applyFill="0" applyBorder="0" applyAlignment="0" applyProtection="0"/>
    <xf numFmtId="44" fontId="78"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78" fillId="0" borderId="0" applyFont="0" applyFill="0" applyBorder="0" applyAlignment="0" applyProtection="0"/>
    <xf numFmtId="44" fontId="26" fillId="0" borderId="0" applyFont="0" applyFill="0" applyBorder="0" applyAlignment="0" applyProtection="0"/>
    <xf numFmtId="44" fontId="80"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alignment vertical="top"/>
    </xf>
    <xf numFmtId="44" fontId="26"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1" fillId="0" borderId="0" applyFont="0" applyFill="0" applyBorder="0" applyAlignment="0" applyProtection="0"/>
    <xf numFmtId="44" fontId="70"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26" fillId="0" borderId="0" applyFont="0" applyFill="0" applyBorder="0" applyAlignment="0" applyProtection="0"/>
    <xf numFmtId="44" fontId="71" fillId="0" borderId="0" applyFont="0" applyFill="0" applyBorder="0" applyAlignment="0" applyProtection="0"/>
    <xf numFmtId="44" fontId="26"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26" fillId="0" borderId="0" applyFont="0" applyFill="0" applyBorder="0" applyAlignment="0" applyProtection="0"/>
    <xf numFmtId="44" fontId="72"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76" fillId="0" borderId="0" applyFont="0" applyFill="0" applyBorder="0" applyAlignment="0" applyProtection="0"/>
    <xf numFmtId="44" fontId="26" fillId="0" borderId="0" applyFont="0" applyFill="0" applyBorder="0" applyAlignment="0" applyProtection="0"/>
    <xf numFmtId="0" fontId="90" fillId="0" borderId="0" applyNumberFormat="0" applyFill="0" applyBorder="0" applyAlignment="0" applyProtection="0"/>
    <xf numFmtId="0" fontId="91" fillId="38" borderId="0" applyNumberFormat="0" applyBorder="0" applyAlignment="0" applyProtection="0"/>
    <xf numFmtId="0" fontId="92" fillId="0" borderId="20" applyNumberFormat="0" applyFill="0" applyAlignment="0" applyProtection="0"/>
    <xf numFmtId="0" fontId="92" fillId="0" borderId="20" applyNumberFormat="0" applyFill="0" applyAlignment="0" applyProtection="0"/>
    <xf numFmtId="0" fontId="93" fillId="0" borderId="21" applyNumberFormat="0" applyFill="0" applyAlignment="0" applyProtection="0"/>
    <xf numFmtId="0" fontId="93" fillId="0" borderId="21" applyNumberFormat="0" applyFill="0" applyAlignment="0" applyProtection="0"/>
    <xf numFmtId="0" fontId="94" fillId="0" borderId="22" applyNumberFormat="0" applyFill="0" applyAlignment="0" applyProtection="0"/>
    <xf numFmtId="0" fontId="94" fillId="0" borderId="22"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2" fillId="0" borderId="0" applyNumberFormat="0" applyFill="0" applyBorder="0" applyAlignment="0" applyProtection="0">
      <alignment vertical="top"/>
      <protection locked="0"/>
    </xf>
    <xf numFmtId="0" fontId="95" fillId="39" borderId="18" applyNumberFormat="0" applyAlignment="0" applyProtection="0"/>
    <xf numFmtId="0" fontId="19" fillId="0" borderId="0" applyNumberFormat="0" applyBorder="0"/>
    <xf numFmtId="0" fontId="20" fillId="0" borderId="0" applyBorder="0" applyAlignment="0"/>
    <xf numFmtId="0" fontId="21" fillId="0" borderId="0" applyFill="0" applyBorder="0" applyAlignment="0"/>
    <xf numFmtId="0" fontId="96" fillId="0" borderId="23" applyNumberFormat="0" applyFill="0" applyAlignment="0" applyProtection="0"/>
    <xf numFmtId="0" fontId="97" fillId="40" borderId="0" applyNumberFormat="0" applyBorder="0" applyAlignment="0" applyProtection="0"/>
    <xf numFmtId="0" fontId="98" fillId="0" borderId="0"/>
    <xf numFmtId="0" fontId="61" fillId="0" borderId="0"/>
    <xf numFmtId="0" fontId="98" fillId="0" borderId="0"/>
    <xf numFmtId="0" fontId="61" fillId="0" borderId="0"/>
    <xf numFmtId="0" fontId="61"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1" fillId="0" borderId="0"/>
    <xf numFmtId="169" fontId="62" fillId="0" borderId="0"/>
    <xf numFmtId="0" fontId="85" fillId="0" borderId="0"/>
    <xf numFmtId="0" fontId="26" fillId="0" borderId="0"/>
    <xf numFmtId="0" fontId="26" fillId="0" borderId="0"/>
    <xf numFmtId="0" fontId="67" fillId="0" borderId="0"/>
    <xf numFmtId="0" fontId="61" fillId="0" borderId="0"/>
    <xf numFmtId="0" fontId="67" fillId="0" borderId="0"/>
    <xf numFmtId="0" fontId="61" fillId="0" borderId="0"/>
    <xf numFmtId="0" fontId="73" fillId="0" borderId="0"/>
    <xf numFmtId="0" fontId="61"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3" fillId="0" borderId="0"/>
    <xf numFmtId="0" fontId="85" fillId="0" borderId="0"/>
    <xf numFmtId="0" fontId="85" fillId="0" borderId="0"/>
    <xf numFmtId="0" fontId="85"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85" fillId="0" borderId="0"/>
    <xf numFmtId="0" fontId="85" fillId="0" borderId="0"/>
    <xf numFmtId="0" fontId="85" fillId="0" borderId="0"/>
    <xf numFmtId="0" fontId="85" fillId="0" borderId="0"/>
    <xf numFmtId="0" fontId="73" fillId="0" borderId="0"/>
    <xf numFmtId="0" fontId="61" fillId="0" borderId="0">
      <alignment vertical="top"/>
    </xf>
    <xf numFmtId="0" fontId="85" fillId="0" borderId="0"/>
    <xf numFmtId="0" fontId="85" fillId="0" borderId="0"/>
    <xf numFmtId="0" fontId="85" fillId="0" borderId="0"/>
    <xf numFmtId="0" fontId="85" fillId="0" borderId="0"/>
    <xf numFmtId="0" fontId="73" fillId="0" borderId="0"/>
    <xf numFmtId="0" fontId="26" fillId="0" borderId="0"/>
    <xf numFmtId="0" fontId="85" fillId="0" borderId="0"/>
    <xf numFmtId="0" fontId="26" fillId="0" borderId="0"/>
    <xf numFmtId="0" fontId="85" fillId="0" borderId="0"/>
    <xf numFmtId="0" fontId="85" fillId="0" borderId="0"/>
    <xf numFmtId="0" fontId="85" fillId="0" borderId="0"/>
    <xf numFmtId="0" fontId="85" fillId="0" borderId="0"/>
    <xf numFmtId="0" fontId="67" fillId="0" borderId="0"/>
    <xf numFmtId="0" fontId="61" fillId="0" borderId="0">
      <alignment vertical="top"/>
    </xf>
    <xf numFmtId="0" fontId="67" fillId="0" borderId="0"/>
    <xf numFmtId="0" fontId="61" fillId="0" borderId="0">
      <alignment vertical="top"/>
    </xf>
    <xf numFmtId="0" fontId="61" fillId="0" borderId="0">
      <alignment vertical="top"/>
    </xf>
    <xf numFmtId="0" fontId="85" fillId="0" borderId="0"/>
    <xf numFmtId="0" fontId="67"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61" fillId="0" borderId="0">
      <alignment vertical="top"/>
    </xf>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61" fillId="0" borderId="0">
      <alignment vertical="top"/>
    </xf>
    <xf numFmtId="0" fontId="61" fillId="0" borderId="0">
      <alignment vertical="top"/>
    </xf>
    <xf numFmtId="0" fontId="61" fillId="0" borderId="0"/>
    <xf numFmtId="0" fontId="61" fillId="0" borderId="0">
      <alignment vertical="top"/>
    </xf>
    <xf numFmtId="0" fontId="61" fillId="0" borderId="0"/>
    <xf numFmtId="0" fontId="61"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17" fillId="0" borderId="0" applyProtection="0">
      <protection locked="0"/>
    </xf>
    <xf numFmtId="0" fontId="26" fillId="0" borderId="0" applyProtection="0">
      <protection locked="0"/>
    </xf>
    <xf numFmtId="0" fontId="26" fillId="0" borderId="0" applyProtection="0">
      <protection locked="0"/>
    </xf>
    <xf numFmtId="0" fontId="62" fillId="0" borderId="0"/>
    <xf numFmtId="0" fontId="17" fillId="0" borderId="0"/>
    <xf numFmtId="0" fontId="77"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77"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100" fillId="36" borderId="25" applyNumberFormat="0" applyAlignment="0" applyProtection="0"/>
    <xf numFmtId="0" fontId="100" fillId="36" borderId="25" applyNumberFormat="0" applyAlignment="0" applyProtection="0"/>
    <xf numFmtId="0" fontId="22" fillId="0" borderId="0" applyNumberFormat="0" applyFill="0" applyBorder="0">
      <alignment horizontal="left"/>
    </xf>
    <xf numFmtId="0" fontId="101" fillId="0" borderId="0" applyNumberFormat="0" applyFill="0" applyBorder="0" applyAlignment="0" applyProtection="0"/>
    <xf numFmtId="0" fontId="102" fillId="0" borderId="26" applyNumberFormat="0" applyFill="0" applyAlignment="0" applyProtection="0"/>
    <xf numFmtId="0" fontId="102" fillId="0" borderId="26" applyNumberFormat="0" applyFill="0" applyAlignment="0" applyProtection="0"/>
    <xf numFmtId="0" fontId="103" fillId="0" borderId="0" applyNumberFormat="0" applyFill="0" applyBorder="0" applyAlignment="0" applyProtection="0"/>
    <xf numFmtId="0" fontId="17" fillId="0" borderId="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9" fontId="17"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8"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4" fontId="110"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111"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01"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4" fontId="17" fillId="0" borderId="0" applyFont="0" applyFill="0" applyBorder="0" applyAlignment="0" applyProtection="0"/>
    <xf numFmtId="9" fontId="120" fillId="0" borderId="0" applyFont="0" applyFill="0" applyBorder="0" applyAlignment="0" applyProtection="0"/>
    <xf numFmtId="0" fontId="120" fillId="0" borderId="0"/>
    <xf numFmtId="0" fontId="11" fillId="0" borderId="0"/>
    <xf numFmtId="0" fontId="17" fillId="0" borderId="0"/>
    <xf numFmtId="43" fontId="11" fillId="0" borderId="0" applyFont="0" applyFill="0" applyBorder="0" applyAlignment="0" applyProtection="0"/>
    <xf numFmtId="9" fontId="11"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43" fontId="148"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44" fontId="150"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0" fontId="3" fillId="0" borderId="0"/>
    <xf numFmtId="0" fontId="17" fillId="0" borderId="0" applyBorder="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7"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7"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6">
    <xf numFmtId="0" fontId="0" fillId="0" borderId="0" xfId="0"/>
    <xf numFmtId="0" fontId="0" fillId="0" borderId="0" xfId="0" applyAlignment="1">
      <alignment horizontal="center"/>
    </xf>
    <xf numFmtId="0" fontId="24" fillId="0" borderId="0" xfId="0" applyFont="1"/>
    <xf numFmtId="0" fontId="17" fillId="0" borderId="0" xfId="0" applyFont="1"/>
    <xf numFmtId="0" fontId="26" fillId="0" borderId="0" xfId="0" applyFont="1"/>
    <xf numFmtId="0" fontId="0" fillId="0" borderId="4" xfId="0" applyBorder="1"/>
    <xf numFmtId="0" fontId="26" fillId="0" borderId="0" xfId="0" applyFont="1" applyAlignment="1">
      <alignment horizontal="center"/>
    </xf>
    <xf numFmtId="0" fontId="17"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4" fillId="0" borderId="4" xfId="0" applyFont="1" applyBorder="1"/>
    <xf numFmtId="164" fontId="0" fillId="0" borderId="0" xfId="0" applyNumberFormat="1" applyAlignment="1">
      <alignment horizontal="right"/>
    </xf>
    <xf numFmtId="0" fontId="24" fillId="0" borderId="0" xfId="0" applyFont="1" applyAlignment="1">
      <alignment horizontal="center"/>
    </xf>
    <xf numFmtId="0" fontId="17" fillId="0" borderId="0" xfId="543"/>
    <xf numFmtId="0" fontId="26" fillId="0" borderId="0" xfId="0" applyFont="1" applyAlignment="1">
      <alignment horizontal="left" vertical="top" wrapText="1"/>
    </xf>
    <xf numFmtId="0" fontId="32" fillId="0" borderId="0" xfId="0" applyFont="1"/>
    <xf numFmtId="0" fontId="25" fillId="0" borderId="0" xfId="0" applyFont="1" applyAlignment="1">
      <alignment vertical="top"/>
    </xf>
    <xf numFmtId="0" fontId="25" fillId="0" borderId="0" xfId="0" applyFont="1" applyAlignment="1">
      <alignment vertical="top" wrapText="1"/>
    </xf>
    <xf numFmtId="0" fontId="26" fillId="0" borderId="0" xfId="0" applyFont="1" applyAlignment="1">
      <alignment horizontal="left" indent="4"/>
    </xf>
    <xf numFmtId="0" fontId="25" fillId="0" borderId="0" xfId="0" applyFont="1" applyAlignment="1">
      <alignment horizontal="left" vertical="top"/>
    </xf>
    <xf numFmtId="0" fontId="25" fillId="0" borderId="0" xfId="0" applyFont="1" applyAlignment="1">
      <alignment horizontal="left"/>
    </xf>
    <xf numFmtId="0" fontId="25" fillId="0" borderId="0" xfId="0" applyFont="1"/>
    <xf numFmtId="0" fontId="37" fillId="0" borderId="0" xfId="543" applyFont="1"/>
    <xf numFmtId="1" fontId="25" fillId="0" borderId="0" xfId="0" applyNumberFormat="1" applyFont="1" applyAlignment="1">
      <alignment horizontal="left"/>
    </xf>
    <xf numFmtId="0" fontId="27" fillId="0" borderId="0" xfId="0" applyFont="1"/>
    <xf numFmtId="1" fontId="25" fillId="0" borderId="0" xfId="0" applyNumberFormat="1" applyFont="1" applyAlignment="1">
      <alignment horizontal="right"/>
    </xf>
    <xf numFmtId="0" fontId="0" fillId="0" borderId="0" xfId="0" applyAlignment="1">
      <alignment horizontal="right"/>
    </xf>
    <xf numFmtId="0" fontId="36" fillId="0" borderId="0" xfId="0" applyFont="1"/>
    <xf numFmtId="0" fontId="29" fillId="0" borderId="0" xfId="0" applyFont="1"/>
    <xf numFmtId="172" fontId="17" fillId="0" borderId="0" xfId="543" applyNumberFormat="1"/>
    <xf numFmtId="9" fontId="17" fillId="0" borderId="0" xfId="543" applyNumberFormat="1" applyAlignment="1">
      <alignment horizontal="left"/>
    </xf>
    <xf numFmtId="168" fontId="17" fillId="0" borderId="0" xfId="543" applyNumberFormat="1"/>
    <xf numFmtId="0" fontId="26" fillId="0" borderId="0" xfId="0" applyFont="1" applyAlignment="1">
      <alignment horizontal="right"/>
    </xf>
    <xf numFmtId="0" fontId="40" fillId="0" borderId="0" xfId="0" applyFont="1"/>
    <xf numFmtId="0" fontId="26" fillId="0" borderId="0" xfId="0" applyFont="1" applyAlignment="1">
      <alignment horizontal="left"/>
    </xf>
    <xf numFmtId="0" fontId="28" fillId="0" borderId="0" xfId="0" applyFont="1"/>
    <xf numFmtId="0" fontId="30" fillId="0" borderId="0" xfId="0" applyFont="1"/>
    <xf numFmtId="0" fontId="24"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4" fillId="0" borderId="1" xfId="0" applyFont="1" applyBorder="1" applyAlignment="1">
      <alignment horizontal="center" wrapText="1"/>
    </xf>
    <xf numFmtId="0" fontId="24"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4" fillId="0" borderId="4" xfId="0" applyFont="1" applyBorder="1" applyAlignment="1">
      <alignment horizontal="center"/>
    </xf>
    <xf numFmtId="0" fontId="33" fillId="0" borderId="3" xfId="0" applyFont="1" applyBorder="1" applyAlignment="1">
      <alignment horizontal="left"/>
    </xf>
    <xf numFmtId="0" fontId="33" fillId="0" borderId="9" xfId="0" applyFont="1" applyBorder="1" applyAlignment="1">
      <alignment horizontal="left"/>
    </xf>
    <xf numFmtId="0" fontId="24" fillId="0" borderId="4" xfId="0" applyFont="1" applyBorder="1" applyAlignment="1">
      <alignment horizontal="right"/>
    </xf>
    <xf numFmtId="0" fontId="24" fillId="0" borderId="5" xfId="0" applyFont="1" applyBorder="1" applyAlignment="1">
      <alignment horizontal="right"/>
    </xf>
    <xf numFmtId="0" fontId="33" fillId="0" borderId="0" xfId="0" applyFont="1" applyAlignment="1">
      <alignment horizontal="left"/>
    </xf>
    <xf numFmtId="0" fontId="24" fillId="0" borderId="0" xfId="0" applyFont="1" applyAlignment="1">
      <alignment horizontal="right"/>
    </xf>
    <xf numFmtId="0" fontId="24"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6" fillId="0" borderId="11" xfId="0" applyFont="1" applyBorder="1" applyAlignment="1">
      <alignment horizontal="left"/>
    </xf>
    <xf numFmtId="0" fontId="24" fillId="0" borderId="9" xfId="0" applyFont="1" applyBorder="1"/>
    <xf numFmtId="164" fontId="0" fillId="0" borderId="0" xfId="0" applyNumberFormat="1" applyAlignment="1">
      <alignment horizontal="center"/>
    </xf>
    <xf numFmtId="0" fontId="0" fillId="0" borderId="12" xfId="0" applyBorder="1"/>
    <xf numFmtId="0" fontId="26" fillId="0" borderId="3" xfId="0" applyFont="1" applyBorder="1"/>
    <xf numFmtId="0" fontId="26" fillId="0" borderId="0" xfId="543" applyFont="1"/>
    <xf numFmtId="0" fontId="42" fillId="0" borderId="0" xfId="543" applyFont="1"/>
    <xf numFmtId="49" fontId="17" fillId="0" borderId="0" xfId="543" applyNumberFormat="1"/>
    <xf numFmtId="0" fontId="40" fillId="0" borderId="0" xfId="543" applyFont="1"/>
    <xf numFmtId="168" fontId="37" fillId="0" borderId="6" xfId="543" applyNumberFormat="1" applyFont="1" applyBorder="1" applyAlignment="1">
      <alignment horizontal="left"/>
    </xf>
    <xf numFmtId="168" fontId="37" fillId="0" borderId="6" xfId="543" applyNumberFormat="1" applyFont="1" applyBorder="1" applyAlignment="1">
      <alignment horizontal="center"/>
    </xf>
    <xf numFmtId="0" fontId="17" fillId="0" borderId="8" xfId="543" applyBorder="1"/>
    <xf numFmtId="0" fontId="37" fillId="0" borderId="0" xfId="543" applyFont="1" applyAlignment="1">
      <alignment horizontal="center"/>
    </xf>
    <xf numFmtId="0" fontId="36" fillId="0" borderId="9" xfId="543" applyFont="1" applyBorder="1" applyAlignment="1">
      <alignment horizontal="left" vertical="top" wrapText="1"/>
    </xf>
    <xf numFmtId="0" fontId="36" fillId="0" borderId="6" xfId="543" applyFont="1" applyBorder="1" applyAlignment="1">
      <alignment horizontal="center" vertical="top" wrapText="1"/>
    </xf>
    <xf numFmtId="0" fontId="17" fillId="0" borderId="9" xfId="543" applyBorder="1"/>
    <xf numFmtId="0" fontId="17" fillId="0" borderId="10" xfId="543" applyBorder="1"/>
    <xf numFmtId="0" fontId="17" fillId="0" borderId="1" xfId="543" applyBorder="1"/>
    <xf numFmtId="0" fontId="37" fillId="0" borderId="2" xfId="543" applyFont="1" applyBorder="1" applyAlignment="1">
      <alignment horizontal="center"/>
    </xf>
    <xf numFmtId="0" fontId="39" fillId="0" borderId="8" xfId="543" applyFont="1" applyBorder="1" applyAlignment="1">
      <alignment horizontal="left" vertical="top" wrapText="1"/>
    </xf>
    <xf numFmtId="0" fontId="36" fillId="0" borderId="0" xfId="543" applyFont="1" applyAlignment="1">
      <alignment horizontal="center" vertical="top" wrapText="1"/>
    </xf>
    <xf numFmtId="0" fontId="17" fillId="0" borderId="12" xfId="543" applyBorder="1"/>
    <xf numFmtId="0" fontId="39" fillId="0" borderId="0" xfId="543" applyFont="1" applyAlignment="1">
      <alignment horizontal="center" vertical="top" wrapText="1"/>
    </xf>
    <xf numFmtId="0" fontId="39" fillId="0" borderId="9" xfId="543" applyFont="1" applyBorder="1" applyAlignment="1">
      <alignment horizontal="left" vertical="top" wrapText="1"/>
    </xf>
    <xf numFmtId="0" fontId="17" fillId="0" borderId="2" xfId="543" applyBorder="1"/>
    <xf numFmtId="0" fontId="17" fillId="0" borderId="7" xfId="543" applyBorder="1"/>
    <xf numFmtId="0" fontId="36" fillId="0" borderId="0" xfId="543" applyFont="1"/>
    <xf numFmtId="0" fontId="17" fillId="0" borderId="0" xfId="543" applyAlignment="1">
      <alignment horizontal="center"/>
    </xf>
    <xf numFmtId="0" fontId="25" fillId="0" borderId="6" xfId="543" applyFont="1" applyBorder="1" applyAlignment="1">
      <alignment vertical="top" wrapText="1"/>
    </xf>
    <xf numFmtId="0" fontId="26" fillId="0" borderId="0" xfId="0" applyFont="1" applyAlignment="1">
      <alignment horizontal="left" vertical="top"/>
    </xf>
    <xf numFmtId="0" fontId="0" fillId="2" borderId="2" xfId="0" applyFill="1" applyBorder="1"/>
    <xf numFmtId="0" fontId="0" fillId="2" borderId="7" xfId="0" applyFill="1" applyBorder="1"/>
    <xf numFmtId="0" fontId="24" fillId="0" borderId="6" xfId="0" applyFont="1" applyBorder="1" applyAlignment="1">
      <alignment horizontal="right"/>
    </xf>
    <xf numFmtId="0" fontId="23" fillId="0" borderId="0" xfId="0" applyFont="1" applyAlignment="1">
      <alignment horizontal="center" vertical="center"/>
    </xf>
    <xf numFmtId="0" fontId="24" fillId="0" borderId="0" xfId="0" applyFont="1" applyAlignment="1">
      <alignment vertical="top"/>
    </xf>
    <xf numFmtId="166" fontId="0" fillId="0" borderId="0" xfId="0" applyNumberFormat="1" applyAlignment="1">
      <alignment horizontal="right"/>
    </xf>
    <xf numFmtId="0" fontId="47" fillId="0" borderId="0" xfId="0" applyFont="1"/>
    <xf numFmtId="0" fontId="34" fillId="0" borderId="0" xfId="0" applyFont="1"/>
    <xf numFmtId="0" fontId="18" fillId="0" borderId="0" xfId="244" applyBorder="1" applyProtection="1"/>
    <xf numFmtId="0" fontId="18" fillId="0" borderId="0" xfId="244" applyFill="1" applyBorder="1" applyAlignment="1">
      <alignment horizontal="center" vertical="center"/>
    </xf>
    <xf numFmtId="0" fontId="17" fillId="0" borderId="3" xfId="543" applyBorder="1"/>
    <xf numFmtId="0" fontId="39" fillId="0" borderId="4" xfId="543" applyFont="1" applyBorder="1" applyAlignment="1">
      <alignment horizontal="right" vertical="top" wrapText="1"/>
    </xf>
    <xf numFmtId="0" fontId="26" fillId="0" borderId="6" xfId="0" applyFont="1" applyBorder="1"/>
    <xf numFmtId="0" fontId="26" fillId="0" borderId="2" xfId="0" applyFont="1" applyBorder="1"/>
    <xf numFmtId="0" fontId="26" fillId="0" borderId="7" xfId="0" applyFont="1" applyBorder="1"/>
    <xf numFmtId="0" fontId="26" fillId="0" borderId="12" xfId="0" applyFont="1" applyBorder="1"/>
    <xf numFmtId="0" fontId="26" fillId="0" borderId="9" xfId="0" applyFont="1" applyBorder="1"/>
    <xf numFmtId="0" fontId="26" fillId="0" borderId="10" xfId="0" applyFont="1" applyBorder="1"/>
    <xf numFmtId="0" fontId="31" fillId="0" borderId="6" xfId="0" applyFont="1" applyBorder="1" applyAlignment="1">
      <alignment vertical="top" wrapText="1"/>
    </xf>
    <xf numFmtId="0" fontId="31" fillId="0" borderId="5" xfId="0" applyFont="1" applyBorder="1" applyAlignment="1">
      <alignment vertical="top" wrapText="1"/>
    </xf>
    <xf numFmtId="0" fontId="31" fillId="0" borderId="4" xfId="0" applyFont="1" applyBorder="1" applyAlignment="1">
      <alignment vertical="top" wrapText="1"/>
    </xf>
    <xf numFmtId="0" fontId="31" fillId="2" borderId="6" xfId="0" applyFont="1" applyFill="1" applyBorder="1" applyAlignment="1">
      <alignment vertical="top" wrapText="1"/>
    </xf>
    <xf numFmtId="0" fontId="0" fillId="0" borderId="8" xfId="0" applyBorder="1"/>
    <xf numFmtId="0" fontId="24" fillId="0" borderId="2" xfId="0" applyFont="1" applyBorder="1"/>
    <xf numFmtId="0" fontId="26" fillId="0" borderId="0" xfId="0" applyFont="1" applyAlignment="1">
      <alignment vertical="top"/>
    </xf>
    <xf numFmtId="0" fontId="26" fillId="0" borderId="0" xfId="0" applyFont="1" applyAlignment="1">
      <alignment vertical="top" wrapText="1"/>
    </xf>
    <xf numFmtId="0" fontId="17" fillId="0" borderId="0" xfId="0" applyFont="1" applyAlignment="1">
      <alignment horizontal="left"/>
    </xf>
    <xf numFmtId="0" fontId="17" fillId="0" borderId="0" xfId="0" applyFont="1" applyAlignment="1">
      <alignment vertical="top"/>
    </xf>
    <xf numFmtId="0" fontId="46" fillId="0" borderId="0" xfId="0" applyFont="1"/>
    <xf numFmtId="0" fontId="17" fillId="0" borderId="3" xfId="0" applyFont="1" applyBorder="1"/>
    <xf numFmtId="0" fontId="17"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1" fillId="3" borderId="4" xfId="0" applyFont="1" applyFill="1" applyBorder="1" applyAlignment="1">
      <alignment vertical="top" wrapText="1"/>
    </xf>
    <xf numFmtId="0" fontId="31" fillId="3" borderId="5" xfId="0" applyFont="1" applyFill="1" applyBorder="1" applyAlignment="1">
      <alignment vertical="top" wrapText="1"/>
    </xf>
    <xf numFmtId="0" fontId="49" fillId="0" borderId="0" xfId="0" applyFont="1"/>
    <xf numFmtId="0" fontId="26" fillId="0" borderId="4" xfId="0" applyFont="1" applyBorder="1"/>
    <xf numFmtId="0" fontId="24" fillId="0" borderId="2" xfId="0" applyFont="1" applyBorder="1" applyAlignment="1">
      <alignment horizontal="center"/>
    </xf>
    <xf numFmtId="0" fontId="24" fillId="0" borderId="0" xfId="0" applyFont="1" applyAlignment="1">
      <alignment horizontal="center" vertical="center" wrapText="1"/>
    </xf>
    <xf numFmtId="0" fontId="24" fillId="0" borderId="7" xfId="543" applyFont="1" applyBorder="1" applyAlignment="1">
      <alignment horizontal="right"/>
    </xf>
    <xf numFmtId="0" fontId="25" fillId="0" borderId="9" xfId="543" applyFont="1" applyBorder="1"/>
    <xf numFmtId="0" fontId="26" fillId="0" borderId="6" xfId="543" applyFont="1" applyBorder="1"/>
    <xf numFmtId="0" fontId="25" fillId="0" borderId="6" xfId="543" applyFont="1" applyBorder="1" applyAlignment="1">
      <alignment horizontal="right"/>
    </xf>
    <xf numFmtId="0" fontId="24" fillId="0" borderId="0" xfId="0" applyFont="1" applyAlignment="1">
      <alignment horizontal="center" vertical="center"/>
    </xf>
    <xf numFmtId="0" fontId="26" fillId="0" borderId="0" xfId="0" applyFont="1" applyAlignment="1">
      <alignment horizontal="left" vertical="center"/>
    </xf>
    <xf numFmtId="0" fontId="54" fillId="0" borderId="3" xfId="0" applyFont="1" applyBorder="1" applyAlignment="1">
      <alignment horizontal="left" vertical="top"/>
    </xf>
    <xf numFmtId="0" fontId="54" fillId="0" borderId="13" xfId="0" applyFont="1" applyBorder="1" applyAlignment="1">
      <alignment horizontal="center" wrapText="1"/>
    </xf>
    <xf numFmtId="0" fontId="54" fillId="0" borderId="13" xfId="0" applyFont="1" applyBorder="1" applyAlignment="1">
      <alignment horizontal="center" vertical="top" wrapText="1"/>
    </xf>
    <xf numFmtId="0" fontId="54" fillId="2" borderId="13" xfId="0" applyFont="1" applyFill="1" applyBorder="1" applyAlignment="1">
      <alignment horizontal="center" wrapText="1"/>
    </xf>
    <xf numFmtId="0" fontId="55" fillId="2" borderId="11" xfId="0" applyFont="1" applyFill="1" applyBorder="1" applyAlignment="1">
      <alignment horizontal="left" vertical="top" wrapText="1"/>
    </xf>
    <xf numFmtId="0" fontId="56" fillId="4" borderId="11" xfId="0" applyFont="1" applyFill="1" applyBorder="1" applyAlignment="1">
      <alignment vertical="top" wrapText="1"/>
    </xf>
    <xf numFmtId="0" fontId="56" fillId="2" borderId="11" xfId="0" applyFont="1" applyFill="1" applyBorder="1" applyAlignment="1">
      <alignment vertical="top" wrapText="1"/>
    </xf>
    <xf numFmtId="0" fontId="56" fillId="0" borderId="11" xfId="0" applyFont="1" applyBorder="1" applyAlignment="1">
      <alignment vertical="top" wrapText="1"/>
    </xf>
    <xf numFmtId="0" fontId="56" fillId="0" borderId="11" xfId="0" applyFont="1" applyBorder="1" applyAlignment="1">
      <alignment horizontal="right" vertical="top" wrapText="1"/>
    </xf>
    <xf numFmtId="168" fontId="56" fillId="0" borderId="11" xfId="0" applyNumberFormat="1" applyFont="1" applyBorder="1" applyAlignment="1">
      <alignment vertical="top" wrapText="1"/>
    </xf>
    <xf numFmtId="168" fontId="56" fillId="5" borderId="11" xfId="0" applyNumberFormat="1" applyFont="1" applyFill="1" applyBorder="1" applyAlignment="1" applyProtection="1">
      <alignment vertical="top" wrapText="1"/>
      <protection locked="0"/>
    </xf>
    <xf numFmtId="168" fontId="56" fillId="6" borderId="11" xfId="0" applyNumberFormat="1" applyFont="1" applyFill="1" applyBorder="1" applyAlignment="1">
      <alignment horizontal="center" vertical="top" wrapText="1"/>
    </xf>
    <xf numFmtId="0" fontId="54" fillId="0" borderId="11" xfId="0" applyFont="1" applyBorder="1" applyAlignment="1">
      <alignment horizontal="right" vertical="top" wrapText="1"/>
    </xf>
    <xf numFmtId="168" fontId="54" fillId="0" borderId="11" xfId="0" applyNumberFormat="1" applyFont="1" applyBorder="1" applyAlignment="1">
      <alignment vertical="top" wrapText="1"/>
    </xf>
    <xf numFmtId="168" fontId="56" fillId="4" borderId="11" xfId="0" applyNumberFormat="1" applyFont="1" applyFill="1" applyBorder="1" applyAlignment="1">
      <alignment vertical="top" wrapText="1"/>
    </xf>
    <xf numFmtId="0" fontId="54" fillId="2" borderId="11" xfId="0" applyFont="1" applyFill="1" applyBorder="1" applyAlignment="1">
      <alignment vertical="top" wrapText="1"/>
    </xf>
    <xf numFmtId="0" fontId="54" fillId="0" borderId="11" xfId="0" applyFont="1" applyBorder="1" applyAlignment="1">
      <alignment vertical="top" wrapText="1"/>
    </xf>
    <xf numFmtId="0" fontId="20" fillId="0" borderId="11" xfId="0" applyFont="1" applyBorder="1" applyAlignment="1">
      <alignment horizontal="right" vertical="top" wrapText="1"/>
    </xf>
    <xf numFmtId="0" fontId="56" fillId="0" borderId="11" xfId="0" applyFont="1" applyBorder="1" applyAlignment="1" applyProtection="1">
      <alignment horizontal="right" vertical="top" wrapText="1"/>
      <protection locked="0"/>
    </xf>
    <xf numFmtId="0" fontId="54" fillId="0" borderId="0" xfId="0" applyFont="1" applyAlignment="1">
      <alignment horizontal="left" vertical="top"/>
    </xf>
    <xf numFmtId="0" fontId="56" fillId="0" borderId="0" xfId="0" applyFont="1" applyAlignment="1">
      <alignment horizontal="left" vertical="top"/>
    </xf>
    <xf numFmtId="0" fontId="56" fillId="0" borderId="0" xfId="0" applyFont="1" applyAlignment="1">
      <alignment vertical="top" wrapText="1"/>
    </xf>
    <xf numFmtId="0" fontId="56" fillId="0" borderId="0" xfId="0" applyFont="1" applyAlignment="1">
      <alignment vertical="top"/>
    </xf>
    <xf numFmtId="0" fontId="54" fillId="0" borderId="0" xfId="0" applyFont="1" applyAlignment="1">
      <alignment horizontal="right" vertical="top"/>
    </xf>
    <xf numFmtId="0" fontId="56" fillId="2" borderId="0" xfId="0" applyFont="1" applyFill="1" applyAlignment="1">
      <alignment vertical="top" wrapText="1"/>
    </xf>
    <xf numFmtId="0" fontId="54" fillId="0" borderId="0" xfId="0" applyFont="1" applyAlignment="1">
      <alignment vertical="top"/>
    </xf>
    <xf numFmtId="166" fontId="26" fillId="0" borderId="0" xfId="0" applyNumberFormat="1" applyFont="1" applyAlignment="1">
      <alignment horizontal="left"/>
    </xf>
    <xf numFmtId="0" fontId="57" fillId="0" borderId="0" xfId="0" applyFont="1"/>
    <xf numFmtId="0" fontId="17" fillId="0" borderId="0" xfId="244" applyFont="1" applyFill="1" applyBorder="1" applyAlignment="1" applyProtection="1">
      <alignment horizontal="left"/>
    </xf>
    <xf numFmtId="0" fontId="48" fillId="0" borderId="0" xfId="0" applyFont="1"/>
    <xf numFmtId="0" fontId="48" fillId="0" borderId="0" xfId="244" applyFont="1" applyFill="1" applyBorder="1" applyAlignment="1" applyProtection="1">
      <alignment horizontal="left"/>
    </xf>
    <xf numFmtId="0" fontId="23" fillId="3" borderId="11" xfId="0" applyFont="1" applyFill="1" applyBorder="1" applyAlignment="1">
      <alignment vertical="top"/>
    </xf>
    <xf numFmtId="0" fontId="0" fillId="7" borderId="0" xfId="0" applyFill="1"/>
    <xf numFmtId="0" fontId="37" fillId="0" borderId="0" xfId="0" applyFont="1"/>
    <xf numFmtId="0" fontId="59" fillId="0" borderId="0" xfId="0" applyFont="1"/>
    <xf numFmtId="0" fontId="35" fillId="0" borderId="0" xfId="0" applyFont="1" applyAlignment="1">
      <alignment horizontal="center"/>
    </xf>
    <xf numFmtId="0" fontId="35" fillId="0" borderId="0" xfId="0" applyFont="1" applyAlignment="1">
      <alignment horizontal="left"/>
    </xf>
    <xf numFmtId="49" fontId="24" fillId="0" borderId="0" xfId="0" applyNumberFormat="1" applyFont="1" applyAlignment="1">
      <alignment horizontal="center"/>
    </xf>
    <xf numFmtId="0" fontId="51" fillId="0" borderId="0" xfId="0" applyFont="1" applyAlignment="1">
      <alignment horizontal="center"/>
    </xf>
    <xf numFmtId="168" fontId="26" fillId="0" borderId="0" xfId="0" applyNumberFormat="1" applyFont="1" applyAlignment="1">
      <alignment horizontal="center"/>
    </xf>
    <xf numFmtId="168" fontId="36" fillId="0" borderId="0" xfId="0" applyNumberFormat="1" applyFont="1" applyAlignment="1">
      <alignment horizontal="left" vertical="top" wrapText="1"/>
    </xf>
    <xf numFmtId="0" fontId="53" fillId="0" borderId="3" xfId="0" applyFont="1" applyBorder="1"/>
    <xf numFmtId="168" fontId="0" fillId="0" borderId="0" xfId="0" applyNumberFormat="1" applyAlignment="1">
      <alignment horizontal="center"/>
    </xf>
    <xf numFmtId="0" fontId="37" fillId="0" borderId="0" xfId="0" applyFont="1" applyAlignment="1">
      <alignment vertical="top" wrapText="1"/>
    </xf>
    <xf numFmtId="0" fontId="54" fillId="0" borderId="4" xfId="0" applyFont="1" applyBorder="1" applyAlignment="1">
      <alignment horizontal="right"/>
    </xf>
    <xf numFmtId="0" fontId="61" fillId="0" borderId="0" xfId="0" applyFont="1"/>
    <xf numFmtId="3" fontId="26" fillId="0" borderId="0" xfId="0" applyNumberFormat="1" applyFont="1" applyAlignment="1">
      <alignment horizontal="center"/>
    </xf>
    <xf numFmtId="168" fontId="17" fillId="0" borderId="0" xfId="0" applyNumberFormat="1" applyFont="1" applyAlignment="1">
      <alignment horizontal="left" vertical="top"/>
    </xf>
    <xf numFmtId="168" fontId="26" fillId="0" borderId="0" xfId="0" applyNumberFormat="1" applyFont="1" applyAlignment="1">
      <alignment horizontal="left" vertical="top"/>
    </xf>
    <xf numFmtId="0" fontId="56" fillId="0" borderId="11" xfId="0" applyFont="1" applyBorder="1" applyAlignment="1">
      <alignment horizontal="right" vertical="top"/>
    </xf>
    <xf numFmtId="0" fontId="56" fillId="0" borderId="0" xfId="0" applyFont="1" applyAlignment="1">
      <alignment horizontal="right" vertical="top" wrapText="1"/>
    </xf>
    <xf numFmtId="0" fontId="56" fillId="2" borderId="12" xfId="0" applyFont="1" applyFill="1" applyBorder="1" applyAlignment="1">
      <alignment vertical="top" wrapText="1"/>
    </xf>
    <xf numFmtId="0" fontId="56" fillId="0" borderId="14" xfId="0" applyFont="1" applyBorder="1" applyAlignment="1">
      <alignment vertical="top" wrapText="1"/>
    </xf>
    <xf numFmtId="168" fontId="56" fillId="5" borderId="11" xfId="0" applyNumberFormat="1" applyFont="1" applyFill="1" applyBorder="1" applyAlignment="1" applyProtection="1">
      <alignment vertical="top"/>
      <protection locked="0"/>
    </xf>
    <xf numFmtId="0" fontId="56" fillId="2" borderId="11" xfId="0" applyFont="1" applyFill="1" applyBorder="1" applyAlignment="1" applyProtection="1">
      <alignment vertical="top"/>
      <protection locked="0"/>
    </xf>
    <xf numFmtId="0" fontId="56" fillId="0" borderId="11" xfId="0" applyFont="1" applyBorder="1" applyAlignment="1" applyProtection="1">
      <alignment vertical="top"/>
      <protection locked="0"/>
    </xf>
    <xf numFmtId="168" fontId="56" fillId="0" borderId="11" xfId="0" applyNumberFormat="1" applyFont="1" applyBorder="1" applyAlignment="1">
      <alignment vertical="top"/>
    </xf>
    <xf numFmtId="168" fontId="56" fillId="6" borderId="11" xfId="0" applyNumberFormat="1" applyFont="1" applyFill="1" applyBorder="1" applyAlignment="1">
      <alignment horizontal="center" vertical="top"/>
    </xf>
    <xf numFmtId="0" fontId="24" fillId="0" borderId="0" xfId="542" applyFont="1" applyProtection="1">
      <protection locked="0"/>
    </xf>
    <xf numFmtId="0" fontId="17" fillId="0" borderId="0" xfId="539" applyProtection="1"/>
    <xf numFmtId="0" fontId="37" fillId="8" borderId="0" xfId="539" applyFont="1" applyFill="1" applyAlignment="1" applyProtection="1">
      <alignment horizontal="centerContinuous"/>
    </xf>
    <xf numFmtId="0" fontId="24" fillId="0" borderId="0" xfId="543" applyFont="1"/>
    <xf numFmtId="0" fontId="26" fillId="0" borderId="0" xfId="543" applyFont="1" applyAlignment="1">
      <alignment horizontal="left"/>
    </xf>
    <xf numFmtId="0" fontId="26" fillId="0" borderId="15" xfId="0" applyFont="1" applyBorder="1"/>
    <xf numFmtId="2" fontId="40" fillId="0" borderId="11" xfId="0" applyNumberFormat="1" applyFont="1" applyBorder="1"/>
    <xf numFmtId="0" fontId="17" fillId="0" borderId="0" xfId="0" applyFont="1" applyProtection="1">
      <protection locked="0"/>
    </xf>
    <xf numFmtId="0" fontId="64" fillId="0" borderId="0" xfId="0" applyFont="1" applyAlignment="1">
      <alignment horizontal="center"/>
    </xf>
    <xf numFmtId="0" fontId="26" fillId="0" borderId="0" xfId="271"/>
    <xf numFmtId="0" fontId="24" fillId="0" borderId="0" xfId="271" applyFont="1"/>
    <xf numFmtId="0" fontId="26" fillId="0" borderId="0" xfId="271" applyAlignment="1">
      <alignment horizontal="left"/>
    </xf>
    <xf numFmtId="168" fontId="24" fillId="0" borderId="2" xfId="543" applyNumberFormat="1" applyFont="1" applyBorder="1" applyAlignment="1">
      <alignment horizontal="center" vertical="center"/>
    </xf>
    <xf numFmtId="0" fontId="39" fillId="0" borderId="0" xfId="543" applyFont="1" applyAlignment="1">
      <alignment horizontal="right" vertical="top" wrapText="1"/>
    </xf>
    <xf numFmtId="0" fontId="37" fillId="0" borderId="2" xfId="543" applyFont="1" applyBorder="1" applyAlignment="1">
      <alignment horizontal="right" vertical="top" wrapText="1"/>
    </xf>
    <xf numFmtId="0" fontId="22" fillId="0" borderId="0" xfId="0" applyFont="1"/>
    <xf numFmtId="0" fontId="66" fillId="0" borderId="0" xfId="0" applyFont="1"/>
    <xf numFmtId="0" fontId="64" fillId="0" borderId="0" xfId="0" applyFont="1"/>
    <xf numFmtId="0" fontId="37"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4" fillId="0" borderId="0" xfId="0" applyNumberFormat="1" applyFont="1" applyAlignment="1">
      <alignment horizontal="center"/>
    </xf>
    <xf numFmtId="3" fontId="26" fillId="0" borderId="0" xfId="0" applyNumberFormat="1" applyFont="1"/>
    <xf numFmtId="0" fontId="65" fillId="0" borderId="0" xfId="0" applyFont="1"/>
    <xf numFmtId="168" fontId="22" fillId="0" borderId="0" xfId="0" applyNumberFormat="1" applyFont="1"/>
    <xf numFmtId="10" fontId="22" fillId="0" borderId="0" xfId="0" applyNumberFormat="1" applyFont="1" applyAlignment="1">
      <alignment horizontal="center"/>
    </xf>
    <xf numFmtId="3" fontId="68" fillId="0" borderId="0" xfId="0" applyNumberFormat="1" applyFont="1"/>
    <xf numFmtId="3" fontId="22" fillId="0" borderId="0" xfId="0" applyNumberFormat="1" applyFont="1"/>
    <xf numFmtId="168" fontId="65" fillId="0" borderId="0" xfId="0" applyNumberFormat="1" applyFont="1"/>
    <xf numFmtId="168" fontId="65" fillId="0" borderId="0" xfId="0" applyNumberFormat="1" applyFont="1" applyAlignment="1">
      <alignment horizontal="center"/>
    </xf>
    <xf numFmtId="0" fontId="22" fillId="5" borderId="0" xfId="0" applyFont="1" applyFill="1" applyAlignment="1">
      <alignment horizontal="left"/>
    </xf>
    <xf numFmtId="0" fontId="22" fillId="5" borderId="0" xfId="0" applyFont="1" applyFill="1"/>
    <xf numFmtId="10" fontId="22" fillId="0" borderId="0" xfId="0" applyNumberFormat="1" applyFont="1"/>
    <xf numFmtId="172" fontId="22" fillId="0" borderId="0" xfId="0" applyNumberFormat="1" applyFont="1"/>
    <xf numFmtId="172" fontId="22" fillId="0" borderId="0" xfId="0" applyNumberFormat="1" applyFont="1" applyAlignment="1">
      <alignment horizontal="center"/>
    </xf>
    <xf numFmtId="0" fontId="22" fillId="0" borderId="6" xfId="0" applyFont="1" applyBorder="1"/>
    <xf numFmtId="10" fontId="22" fillId="0" borderId="6" xfId="0" applyNumberFormat="1" applyFont="1" applyBorder="1" applyAlignment="1">
      <alignment horizontal="center"/>
    </xf>
    <xf numFmtId="3" fontId="22" fillId="0" borderId="6" xfId="0" applyNumberFormat="1" applyFont="1" applyBorder="1"/>
    <xf numFmtId="10" fontId="26" fillId="0" borderId="0" xfId="0" applyNumberFormat="1" applyFont="1" applyAlignment="1">
      <alignment horizontal="center"/>
    </xf>
    <xf numFmtId="3" fontId="26" fillId="0" borderId="0" xfId="0" applyNumberFormat="1" applyFont="1" applyAlignment="1">
      <alignment vertical="top"/>
    </xf>
    <xf numFmtId="10" fontId="24" fillId="0" borderId="0" xfId="0" applyNumberFormat="1" applyFont="1" applyAlignment="1">
      <alignment horizontal="center"/>
    </xf>
    <xf numFmtId="0" fontId="64" fillId="0" borderId="6" xfId="0" applyFont="1" applyBorder="1" applyAlignment="1">
      <alignment horizontal="center"/>
    </xf>
    <xf numFmtId="172" fontId="26" fillId="0" borderId="0" xfId="0" applyNumberFormat="1" applyFont="1" applyAlignment="1">
      <alignment horizontal="center"/>
    </xf>
    <xf numFmtId="10" fontId="69" fillId="0" borderId="0" xfId="0" applyNumberFormat="1" applyFont="1" applyAlignment="1">
      <alignment horizontal="center"/>
    </xf>
    <xf numFmtId="0" fontId="26" fillId="9" borderId="6" xfId="0" applyFont="1" applyFill="1" applyBorder="1"/>
    <xf numFmtId="0" fontId="26" fillId="0" borderId="4" xfId="271" applyBorder="1"/>
    <xf numFmtId="0" fontId="26" fillId="0" borderId="6" xfId="271" applyBorder="1"/>
    <xf numFmtId="0" fontId="26" fillId="0" borderId="1" xfId="0" applyFont="1" applyBorder="1"/>
    <xf numFmtId="168" fontId="26" fillId="0" borderId="3" xfId="0" applyNumberFormat="1" applyFont="1" applyBorder="1" applyAlignment="1">
      <alignment vertical="top"/>
    </xf>
    <xf numFmtId="168" fontId="26" fillId="0" borderId="4" xfId="0" applyNumberFormat="1" applyFont="1" applyBorder="1" applyAlignment="1">
      <alignment vertical="top"/>
    </xf>
    <xf numFmtId="168" fontId="26" fillId="0" borderId="5" xfId="0" applyNumberFormat="1" applyFont="1" applyBorder="1" applyAlignment="1">
      <alignment vertical="top"/>
    </xf>
    <xf numFmtId="168" fontId="26" fillId="0" borderId="8" xfId="0" applyNumberFormat="1" applyFont="1" applyBorder="1" applyAlignment="1">
      <alignment vertical="top"/>
    </xf>
    <xf numFmtId="168" fontId="26" fillId="0" borderId="0" xfId="0" applyNumberFormat="1" applyFont="1" applyAlignment="1">
      <alignment vertical="top"/>
    </xf>
    <xf numFmtId="0" fontId="26" fillId="0" borderId="0" xfId="0" applyFont="1" applyAlignment="1">
      <alignment horizontal="right" vertical="top"/>
    </xf>
    <xf numFmtId="0" fontId="26"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6" fillId="5" borderId="4" xfId="0" applyFont="1" applyFill="1" applyBorder="1" applyAlignment="1" applyProtection="1">
      <alignment horizontal="left" vertical="top"/>
      <protection locked="0"/>
    </xf>
    <xf numFmtId="0" fontId="26" fillId="5" borderId="5" xfId="0" applyFont="1" applyFill="1" applyBorder="1" applyAlignment="1" applyProtection="1">
      <alignment horizontal="left" vertical="top"/>
      <protection locked="0"/>
    </xf>
    <xf numFmtId="4" fontId="51" fillId="0" borderId="0" xfId="0" applyNumberFormat="1" applyFont="1" applyAlignment="1">
      <alignment horizontal="center"/>
    </xf>
    <xf numFmtId="0" fontId="36" fillId="0" borderId="1" xfId="543" applyFont="1" applyBorder="1" applyAlignment="1">
      <alignment horizontal="left" vertical="top" wrapText="1"/>
    </xf>
    <xf numFmtId="0" fontId="36" fillId="0" borderId="12" xfId="543" applyFont="1" applyBorder="1" applyAlignment="1">
      <alignment horizontal="center" vertical="top" wrapText="1"/>
    </xf>
    <xf numFmtId="0" fontId="36" fillId="0" borderId="8" xfId="543" applyFont="1" applyBorder="1" applyAlignment="1">
      <alignment horizontal="left" vertical="top" wrapText="1"/>
    </xf>
    <xf numFmtId="0" fontId="31" fillId="3" borderId="4" xfId="271" applyFont="1" applyFill="1" applyBorder="1" applyAlignment="1">
      <alignment vertical="top" wrapText="1"/>
    </xf>
    <xf numFmtId="0" fontId="23" fillId="3" borderId="11" xfId="271" applyFont="1" applyFill="1" applyBorder="1" applyAlignment="1">
      <alignment vertical="top"/>
    </xf>
    <xf numFmtId="0" fontId="24" fillId="0" borderId="9" xfId="271" applyFont="1" applyBorder="1" applyAlignment="1">
      <alignment horizontal="center" wrapText="1"/>
    </xf>
    <xf numFmtId="0" fontId="31" fillId="3" borderId="4" xfId="271" applyFont="1" applyFill="1" applyBorder="1" applyAlignment="1" applyProtection="1">
      <alignment vertical="top" wrapText="1"/>
      <protection locked="0"/>
    </xf>
    <xf numFmtId="0" fontId="31" fillId="3" borderId="5" xfId="271" applyFont="1" applyFill="1" applyBorder="1" applyAlignment="1" applyProtection="1">
      <alignment vertical="top" wrapText="1"/>
      <protection locked="0"/>
    </xf>
    <xf numFmtId="0" fontId="24" fillId="0" borderId="13" xfId="271" applyFont="1" applyBorder="1" applyAlignment="1">
      <alignment horizontal="center" wrapText="1"/>
    </xf>
    <xf numFmtId="0" fontId="49" fillId="2" borderId="11" xfId="271" applyFont="1" applyFill="1" applyBorder="1" applyAlignment="1">
      <alignment horizontal="left" vertical="top" wrapText="1"/>
    </xf>
    <xf numFmtId="0" fontId="26" fillId="0" borderId="11" xfId="271" applyBorder="1" applyAlignment="1" applyProtection="1">
      <alignment vertical="top" wrapText="1"/>
      <protection locked="0"/>
    </xf>
    <xf numFmtId="168" fontId="26" fillId="5" borderId="11" xfId="271" applyNumberFormat="1" applyFill="1" applyBorder="1" applyAlignment="1" applyProtection="1">
      <alignment vertical="top" wrapText="1"/>
      <protection locked="0"/>
    </xf>
    <xf numFmtId="0" fontId="26" fillId="5" borderId="3" xfId="271" applyFill="1" applyBorder="1" applyAlignment="1" applyProtection="1">
      <alignment vertical="top" wrapText="1"/>
      <protection locked="0"/>
    </xf>
    <xf numFmtId="0" fontId="26" fillId="5" borderId="11" xfId="271" applyFill="1" applyBorder="1" applyAlignment="1" applyProtection="1">
      <alignment vertical="top" wrapText="1"/>
      <protection locked="0"/>
    </xf>
    <xf numFmtId="0" fontId="26" fillId="0" borderId="11" xfId="271" applyBorder="1" applyAlignment="1">
      <alignment horizontal="right" vertical="top" wrapText="1"/>
    </xf>
    <xf numFmtId="168" fontId="26" fillId="0" borderId="11" xfId="271" applyNumberFormat="1" applyBorder="1" applyAlignment="1">
      <alignment vertical="top" wrapText="1"/>
    </xf>
    <xf numFmtId="0" fontId="24" fillId="0" borderId="11" xfId="271" applyFont="1" applyBorder="1" applyAlignment="1">
      <alignment horizontal="right" vertical="top" wrapText="1"/>
    </xf>
    <xf numFmtId="0" fontId="26" fillId="5" borderId="11" xfId="271" applyFill="1" applyBorder="1" applyAlignment="1" applyProtection="1">
      <alignment horizontal="right" vertical="top" wrapText="1"/>
      <protection locked="0"/>
    </xf>
    <xf numFmtId="168" fontId="24" fillId="0" borderId="11" xfId="271" applyNumberFormat="1" applyFont="1" applyBorder="1" applyAlignment="1">
      <alignment vertical="top" wrapText="1"/>
    </xf>
    <xf numFmtId="0" fontId="34" fillId="0" borderId="11" xfId="271" applyFont="1" applyBorder="1" applyAlignment="1">
      <alignment horizontal="right" vertical="top" wrapText="1"/>
    </xf>
    <xf numFmtId="0" fontId="31" fillId="0" borderId="0" xfId="271" applyFont="1" applyAlignment="1" applyProtection="1">
      <alignment vertical="top" wrapText="1"/>
      <protection locked="0"/>
    </xf>
    <xf numFmtId="0" fontId="26" fillId="0" borderId="5" xfId="271" applyBorder="1" applyAlignment="1" applyProtection="1">
      <alignment vertical="top" wrapText="1"/>
      <protection locked="0"/>
    </xf>
    <xf numFmtId="0" fontId="24" fillId="0" borderId="3" xfId="271" applyFont="1" applyBorder="1" applyAlignment="1">
      <alignment horizontal="left" vertical="top"/>
    </xf>
    <xf numFmtId="0" fontId="26" fillId="0" borderId="4" xfId="271" applyBorder="1" applyAlignment="1" applyProtection="1">
      <alignment horizontal="left" vertical="top"/>
      <protection locked="0"/>
    </xf>
    <xf numFmtId="0" fontId="26" fillId="0" borderId="4" xfId="271" applyBorder="1" applyAlignment="1" applyProtection="1">
      <alignment vertical="top" wrapText="1"/>
      <protection locked="0"/>
    </xf>
    <xf numFmtId="0" fontId="31" fillId="0" borderId="0" xfId="271" applyFont="1" applyAlignment="1">
      <alignment vertical="top" wrapText="1"/>
    </xf>
    <xf numFmtId="0" fontId="26" fillId="0" borderId="4" xfId="271" applyBorder="1" applyAlignment="1">
      <alignment vertical="top" wrapText="1"/>
    </xf>
    <xf numFmtId="0" fontId="49" fillId="2" borderId="11" xfId="271" applyFont="1" applyFill="1" applyBorder="1" applyAlignment="1" applyProtection="1">
      <alignment horizontal="left" vertical="top" wrapText="1"/>
      <protection locked="0"/>
    </xf>
    <xf numFmtId="0" fontId="53" fillId="0" borderId="11" xfId="0" applyFont="1" applyBorder="1" applyAlignment="1">
      <alignment horizontal="right" vertical="top" wrapText="1"/>
    </xf>
    <xf numFmtId="0" fontId="26" fillId="8" borderId="0" xfId="542" quotePrefix="1" applyFont="1" applyFill="1" applyAlignment="1">
      <alignment horizontal="left"/>
    </xf>
    <xf numFmtId="0" fontId="26" fillId="8" borderId="0" xfId="542" applyFont="1" applyFill="1"/>
    <xf numFmtId="0" fontId="34" fillId="8" borderId="0" xfId="542" applyFont="1" applyFill="1"/>
    <xf numFmtId="0" fontId="53" fillId="0" borderId="11" xfId="271" applyFont="1" applyBorder="1" applyAlignment="1">
      <alignment horizontal="right" vertical="top"/>
    </xf>
    <xf numFmtId="0" fontId="53" fillId="0" borderId="11" xfId="271" applyFont="1" applyBorder="1" applyAlignment="1">
      <alignment horizontal="right" vertical="top" wrapText="1"/>
    </xf>
    <xf numFmtId="0" fontId="26" fillId="0" borderId="0" xfId="271" applyAlignment="1">
      <alignment horizontal="left" vertical="top"/>
    </xf>
    <xf numFmtId="0" fontId="24" fillId="0" borderId="0" xfId="271" applyFont="1" applyAlignment="1">
      <alignment horizontal="right"/>
    </xf>
    <xf numFmtId="0" fontId="25" fillId="0" borderId="0" xfId="271" applyFont="1" applyAlignment="1">
      <alignment horizontal="center"/>
    </xf>
    <xf numFmtId="5" fontId="26" fillId="0" borderId="0" xfId="542" applyNumberFormat="1" applyFont="1"/>
    <xf numFmtId="1" fontId="26" fillId="0" borderId="15" xfId="271" applyNumberFormat="1" applyBorder="1"/>
    <xf numFmtId="1" fontId="26" fillId="0" borderId="14" xfId="271" applyNumberFormat="1" applyBorder="1"/>
    <xf numFmtId="0" fontId="25" fillId="0" borderId="6" xfId="271" applyFont="1" applyBorder="1" applyAlignment="1">
      <alignment horizontal="left"/>
    </xf>
    <xf numFmtId="0" fontId="25" fillId="0" borderId="6" xfId="271" applyFont="1" applyBorder="1" applyAlignment="1">
      <alignment horizontal="right"/>
    </xf>
    <xf numFmtId="165" fontId="26" fillId="0" borderId="0" xfId="271" applyNumberFormat="1"/>
    <xf numFmtId="170" fontId="26" fillId="0" borderId="14" xfId="271" applyNumberFormat="1" applyBorder="1"/>
    <xf numFmtId="1" fontId="24" fillId="0" borderId="11" xfId="271" applyNumberFormat="1" applyFont="1" applyBorder="1"/>
    <xf numFmtId="165" fontId="24" fillId="0" borderId="11" xfId="271" applyNumberFormat="1" applyFont="1" applyBorder="1"/>
    <xf numFmtId="3" fontId="56" fillId="0" borderId="11" xfId="0" applyNumberFormat="1" applyFont="1" applyBorder="1" applyAlignment="1">
      <alignment vertical="top" wrapText="1"/>
    </xf>
    <xf numFmtId="166" fontId="26" fillId="0" borderId="0" xfId="0" applyNumberFormat="1" applyFont="1"/>
    <xf numFmtId="0" fontId="0" fillId="0" borderId="0" xfId="0" applyProtection="1">
      <protection locked="0"/>
    </xf>
    <xf numFmtId="0" fontId="22" fillId="0" borderId="0" xfId="0" applyFont="1" applyProtection="1">
      <protection locked="0"/>
    </xf>
    <xf numFmtId="0" fontId="22" fillId="0" borderId="0" xfId="271" applyFont="1" applyProtection="1">
      <protection locked="0"/>
    </xf>
    <xf numFmtId="168" fontId="22" fillId="0" borderId="0" xfId="271" applyNumberFormat="1" applyFont="1" applyProtection="1">
      <protection locked="0"/>
    </xf>
    <xf numFmtId="0" fontId="30" fillId="0" borderId="1" xfId="0" applyFont="1" applyBorder="1"/>
    <xf numFmtId="0" fontId="17" fillId="0" borderId="2" xfId="0" applyFont="1" applyBorder="1" applyAlignment="1">
      <alignment horizontal="left"/>
    </xf>
    <xf numFmtId="0" fontId="17" fillId="0" borderId="2" xfId="0" applyFont="1" applyBorder="1"/>
    <xf numFmtId="0" fontId="30" fillId="0" borderId="8" xfId="0" applyFont="1" applyBorder="1"/>
    <xf numFmtId="0" fontId="30" fillId="0" borderId="9" xfId="0" applyFont="1" applyBorder="1"/>
    <xf numFmtId="0" fontId="24" fillId="0" borderId="0" xfId="0" applyFont="1" applyAlignment="1">
      <alignment horizontal="left" vertical="top"/>
    </xf>
    <xf numFmtId="0" fontId="74" fillId="0" borderId="0" xfId="0" applyFont="1" applyAlignment="1">
      <alignment vertical="center" wrapText="1"/>
    </xf>
    <xf numFmtId="0" fontId="74" fillId="0" borderId="0" xfId="0" applyFont="1" applyAlignment="1">
      <alignment vertical="center"/>
    </xf>
    <xf numFmtId="0" fontId="74" fillId="0" borderId="0" xfId="0" applyFont="1" applyAlignment="1">
      <alignment horizontal="left" vertical="center" indent="1"/>
    </xf>
    <xf numFmtId="172" fontId="26" fillId="5" borderId="0" xfId="0" applyNumberFormat="1" applyFont="1" applyFill="1" applyAlignment="1">
      <alignment horizontal="center"/>
    </xf>
    <xf numFmtId="0" fontId="75" fillId="0" borderId="0" xfId="0" applyFont="1" applyAlignment="1">
      <alignment horizontal="left" vertical="center"/>
    </xf>
    <xf numFmtId="0" fontId="36" fillId="0" borderId="2" xfId="543" applyFont="1" applyBorder="1" applyAlignment="1">
      <alignment horizontal="center" vertical="top" wrapText="1"/>
    </xf>
    <xf numFmtId="49" fontId="47" fillId="0" borderId="0" xfId="0" applyNumberFormat="1" applyFont="1" applyAlignment="1">
      <alignment horizontal="center"/>
    </xf>
    <xf numFmtId="0" fontId="53" fillId="0" borderId="0" xfId="0" applyFont="1"/>
    <xf numFmtId="5" fontId="79" fillId="0" borderId="11" xfId="541" applyNumberFormat="1" applyFont="1" applyBorder="1" applyAlignment="1" applyProtection="1">
      <alignment horizontal="center"/>
    </xf>
    <xf numFmtId="5" fontId="79" fillId="42" borderId="11" xfId="541" applyNumberFormat="1" applyFont="1" applyFill="1" applyBorder="1" applyAlignment="1" applyProtection="1">
      <alignment horizontal="center"/>
    </xf>
    <xf numFmtId="5" fontId="79" fillId="2" borderId="11" xfId="541" applyNumberFormat="1" applyFont="1" applyFill="1" applyBorder="1" applyAlignment="1" applyProtection="1">
      <alignment horizontal="center"/>
    </xf>
    <xf numFmtId="0" fontId="53" fillId="0" borderId="0" xfId="0" applyFont="1" applyAlignment="1">
      <alignment vertical="top" wrapText="1"/>
    </xf>
    <xf numFmtId="0" fontId="53" fillId="0" borderId="0" xfId="0" applyFont="1" applyAlignment="1">
      <alignment vertical="top"/>
    </xf>
    <xf numFmtId="0" fontId="53" fillId="2" borderId="0" xfId="0" applyFont="1" applyFill="1" applyAlignment="1">
      <alignment vertical="top" wrapText="1"/>
    </xf>
    <xf numFmtId="0" fontId="81" fillId="0" borderId="13" xfId="0" applyFont="1" applyBorder="1" applyAlignment="1">
      <alignment vertical="top" wrapText="1"/>
    </xf>
    <xf numFmtId="0" fontId="31" fillId="0" borderId="0" xfId="0" applyFont="1" applyAlignment="1">
      <alignment vertical="top" wrapText="1"/>
    </xf>
    <xf numFmtId="0" fontId="81" fillId="2" borderId="13" xfId="0" applyFont="1" applyFill="1" applyBorder="1" applyAlignment="1">
      <alignment vertical="top" wrapText="1"/>
    </xf>
    <xf numFmtId="0" fontId="81" fillId="0" borderId="0" xfId="0" applyFont="1" applyAlignment="1">
      <alignment vertical="top" wrapText="1"/>
    </xf>
    <xf numFmtId="0" fontId="81" fillId="2" borderId="0" xfId="0" applyFont="1" applyFill="1" applyAlignment="1">
      <alignment vertical="top" wrapText="1"/>
    </xf>
    <xf numFmtId="0" fontId="53" fillId="0" borderId="0" xfId="0" applyFont="1" applyAlignment="1">
      <alignment horizontal="right" vertical="top" wrapText="1"/>
    </xf>
    <xf numFmtId="168" fontId="53" fillId="5" borderId="6" xfId="0" applyNumberFormat="1" applyFont="1" applyFill="1" applyBorder="1" applyAlignment="1" applyProtection="1">
      <alignment horizontal="right" vertical="top" wrapText="1"/>
      <protection locked="0"/>
    </xf>
    <xf numFmtId="168" fontId="53" fillId="0" borderId="6" xfId="0" applyNumberFormat="1" applyFont="1" applyBorder="1" applyAlignment="1">
      <alignment horizontal="right" vertical="top" wrapText="1"/>
    </xf>
    <xf numFmtId="0" fontId="24" fillId="0" borderId="0" xfId="0" applyFont="1" applyAlignment="1">
      <alignment horizontal="left" vertical="top" wrapText="1"/>
    </xf>
    <xf numFmtId="0" fontId="26" fillId="0" borderId="0" xfId="0" applyFont="1" applyAlignment="1">
      <alignment horizontal="right" vertical="top" wrapText="1"/>
    </xf>
    <xf numFmtId="10" fontId="26" fillId="5" borderId="6" xfId="0" applyNumberFormat="1" applyFont="1" applyFill="1" applyBorder="1" applyAlignment="1" applyProtection="1">
      <alignment horizontal="center" vertical="top" wrapText="1"/>
      <protection locked="0"/>
    </xf>
    <xf numFmtId="0" fontId="64" fillId="0" borderId="0" xfId="0" applyFont="1" applyAlignment="1">
      <alignment horizontal="left" vertical="center"/>
    </xf>
    <xf numFmtId="0" fontId="24" fillId="0" borderId="2" xfId="543" applyFont="1" applyBorder="1" applyAlignment="1">
      <alignment horizontal="center"/>
    </xf>
    <xf numFmtId="0" fontId="0" fillId="0" borderId="0" xfId="543" applyFont="1"/>
    <xf numFmtId="0" fontId="18" fillId="0" borderId="0" xfId="244" quotePrefix="1" applyAlignment="1" applyProtection="1">
      <alignment horizontal="left"/>
    </xf>
    <xf numFmtId="168" fontId="53"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105" fillId="0" borderId="0" xfId="0" applyFont="1" applyAlignment="1">
      <alignment horizontal="left" vertical="top"/>
    </xf>
    <xf numFmtId="0" fontId="106" fillId="0" borderId="0" xfId="0" applyFont="1" applyAlignment="1">
      <alignment horizontal="left" vertical="top"/>
    </xf>
    <xf numFmtId="0" fontId="74" fillId="0" borderId="0" xfId="0" applyFont="1"/>
    <xf numFmtId="0" fontId="24" fillId="8" borderId="11" xfId="542" applyFont="1" applyFill="1" applyBorder="1" applyAlignment="1">
      <alignment horizontal="left"/>
    </xf>
    <xf numFmtId="0" fontId="24" fillId="8" borderId="11" xfId="542" applyFont="1" applyFill="1" applyBorder="1" applyAlignment="1">
      <alignment horizontal="center"/>
    </xf>
    <xf numFmtId="0" fontId="63" fillId="8" borderId="11" xfId="542" applyFont="1" applyFill="1" applyBorder="1" applyAlignment="1">
      <alignment horizontal="left"/>
    </xf>
    <xf numFmtId="0" fontId="63" fillId="0" borderId="11" xfId="542" applyFont="1" applyBorder="1" applyAlignment="1">
      <alignment horizontal="left"/>
    </xf>
    <xf numFmtId="0" fontId="24" fillId="0" borderId="0" xfId="271" applyFont="1" applyAlignment="1" applyProtection="1">
      <alignment horizontal="center" wrapText="1"/>
      <protection locked="0"/>
    </xf>
    <xf numFmtId="0" fontId="26" fillId="0" borderId="0" xfId="271" applyAlignment="1" applyProtection="1">
      <alignment vertical="top" wrapText="1"/>
      <protection locked="0"/>
    </xf>
    <xf numFmtId="0" fontId="24" fillId="0" borderId="0" xfId="271" applyFont="1" applyAlignment="1" applyProtection="1">
      <alignment vertical="top" wrapText="1"/>
      <protection locked="0"/>
    </xf>
    <xf numFmtId="0" fontId="17" fillId="0" borderId="0" xfId="0" applyFont="1" applyAlignment="1">
      <alignment horizontal="center"/>
    </xf>
    <xf numFmtId="0" fontId="31" fillId="0" borderId="8" xfId="569" applyFont="1" applyBorder="1" applyAlignment="1">
      <alignment vertical="top" wrapText="1"/>
    </xf>
    <xf numFmtId="0" fontId="31" fillId="0" borderId="0" xfId="569" applyFont="1" applyAlignment="1">
      <alignment vertical="top" wrapText="1"/>
    </xf>
    <xf numFmtId="0" fontId="55" fillId="2" borderId="11" xfId="569" applyFont="1" applyFill="1" applyBorder="1" applyAlignment="1">
      <alignment horizontal="left" vertical="top" wrapText="1"/>
    </xf>
    <xf numFmtId="6" fontId="53" fillId="4" borderId="11" xfId="569" applyNumberFormat="1" applyFont="1" applyFill="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6" fontId="53" fillId="0" borderId="11" xfId="569" applyNumberFormat="1" applyFont="1" applyBorder="1" applyAlignment="1">
      <alignment vertical="top" wrapText="1"/>
    </xf>
    <xf numFmtId="6" fontId="53" fillId="5" borderId="11" xfId="569" applyNumberFormat="1" applyFont="1" applyFill="1" applyBorder="1" applyAlignment="1" applyProtection="1">
      <alignment vertical="top" wrapText="1"/>
      <protection locked="0"/>
    </xf>
    <xf numFmtId="6" fontId="53" fillId="6" borderId="11" xfId="569" applyNumberFormat="1" applyFont="1" applyFill="1" applyBorder="1" applyAlignment="1">
      <alignment horizontal="center" vertical="top" wrapText="1"/>
    </xf>
    <xf numFmtId="0" fontId="53" fillId="0" borderId="11" xfId="569" applyFont="1" applyBorder="1" applyAlignment="1">
      <alignment horizontal="right" vertical="top" wrapText="1"/>
    </xf>
    <xf numFmtId="0" fontId="54" fillId="0" borderId="11" xfId="569" applyFont="1" applyBorder="1" applyAlignment="1">
      <alignment horizontal="right" vertical="top" wrapText="1"/>
    </xf>
    <xf numFmtId="0" fontId="53" fillId="0" borderId="11" xfId="569" applyFont="1" applyBorder="1" applyAlignment="1">
      <alignment horizontal="right" vertical="top"/>
    </xf>
    <xf numFmtId="6" fontId="54" fillId="0" borderId="11" xfId="569" applyNumberFormat="1" applyFont="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0" fontId="20" fillId="0" borderId="11" xfId="569" applyFont="1" applyBorder="1" applyAlignment="1">
      <alignment horizontal="right" vertical="top" wrapText="1"/>
    </xf>
    <xf numFmtId="0" fontId="54" fillId="0" borderId="0" xfId="569" applyFont="1" applyAlignment="1">
      <alignment horizontal="left" vertical="top"/>
    </xf>
    <xf numFmtId="6" fontId="53" fillId="0" borderId="0" xfId="569" applyNumberFormat="1" applyFont="1" applyAlignment="1">
      <alignment horizontal="left" vertical="top"/>
    </xf>
    <xf numFmtId="0" fontId="106" fillId="0" borderId="0" xfId="569" applyFont="1" applyAlignment="1">
      <alignment horizontal="left" vertical="top"/>
    </xf>
    <xf numFmtId="6" fontId="53" fillId="0" borderId="0" xfId="569" applyNumberFormat="1" applyFont="1" applyAlignment="1">
      <alignment vertical="top" wrapText="1"/>
    </xf>
    <xf numFmtId="0" fontId="53" fillId="0" borderId="0" xfId="569" applyFont="1" applyAlignment="1">
      <alignment horizontal="left" vertical="top"/>
    </xf>
    <xf numFmtId="0" fontId="53" fillId="0" borderId="12" xfId="569" applyFont="1" applyBorder="1" applyAlignment="1">
      <alignment vertical="top" wrapText="1"/>
    </xf>
    <xf numFmtId="0" fontId="24" fillId="0" borderId="0" xfId="569" applyFont="1" applyAlignment="1">
      <alignment horizontal="left" vertical="top"/>
    </xf>
    <xf numFmtId="0" fontId="109" fillId="0" borderId="0" xfId="569" applyFont="1" applyAlignment="1">
      <alignment horizontal="left" vertical="top"/>
    </xf>
    <xf numFmtId="0" fontId="64" fillId="0" borderId="0" xfId="569" applyFont="1" applyAlignment="1">
      <alignment horizontal="left" vertical="center"/>
    </xf>
    <xf numFmtId="0" fontId="32" fillId="0" borderId="0" xfId="569" applyFont="1" applyAlignment="1">
      <alignment vertical="top" wrapText="1"/>
    </xf>
    <xf numFmtId="0" fontId="32" fillId="0" borderId="12" xfId="569" applyFont="1" applyBorder="1" applyAlignment="1">
      <alignment vertical="top" wrapText="1"/>
    </xf>
    <xf numFmtId="0" fontId="32" fillId="0" borderId="8" xfId="569" applyFont="1" applyBorder="1" applyAlignment="1">
      <alignment vertical="top" wrapText="1"/>
    </xf>
    <xf numFmtId="0" fontId="53" fillId="0" borderId="0" xfId="569" applyFont="1" applyAlignment="1">
      <alignment vertical="top"/>
    </xf>
    <xf numFmtId="168" fontId="53" fillId="0" borderId="0" xfId="569" applyNumberFormat="1" applyFont="1" applyAlignment="1" applyProtection="1">
      <alignment horizontal="right" vertical="top" wrapText="1"/>
      <protection locked="0"/>
    </xf>
    <xf numFmtId="0" fontId="17" fillId="0" borderId="0" xfId="569" applyAlignment="1">
      <alignment vertical="top" wrapText="1"/>
    </xf>
    <xf numFmtId="0" fontId="17" fillId="0" borderId="0" xfId="569" applyAlignment="1">
      <alignment vertical="top"/>
    </xf>
    <xf numFmtId="0" fontId="53" fillId="0" borderId="0" xfId="569" applyFont="1" applyAlignment="1">
      <alignment horizontal="right" vertical="top" wrapText="1"/>
    </xf>
    <xf numFmtId="0" fontId="24" fillId="0" borderId="0" xfId="569" applyFont="1" applyAlignment="1">
      <alignment horizontal="left" vertical="top" wrapText="1"/>
    </xf>
    <xf numFmtId="168" fontId="53" fillId="0" borderId="0" xfId="569" applyNumberFormat="1" applyFont="1" applyAlignment="1">
      <alignment horizontal="right" vertical="top" wrapText="1"/>
    </xf>
    <xf numFmtId="0" fontId="17" fillId="0" borderId="0" xfId="569" applyAlignment="1" applyProtection="1">
      <alignment horizontal="left" vertical="top" wrapText="1"/>
      <protection locked="0"/>
    </xf>
    <xf numFmtId="0" fontId="17" fillId="0" borderId="0" xfId="569" applyAlignment="1">
      <alignment horizontal="right" vertical="top" wrapText="1"/>
    </xf>
    <xf numFmtId="0" fontId="17" fillId="0" borderId="0" xfId="569" applyAlignment="1">
      <alignment horizontal="left" vertical="top"/>
    </xf>
    <xf numFmtId="0" fontId="81" fillId="0" borderId="0" xfId="569" applyFont="1" applyAlignment="1">
      <alignment vertical="top" wrapText="1"/>
    </xf>
    <xf numFmtId="0" fontId="81" fillId="0" borderId="12" xfId="569" applyFont="1" applyBorder="1" applyAlignment="1">
      <alignment vertical="top" wrapText="1"/>
    </xf>
    <xf numFmtId="0" fontId="81" fillId="0" borderId="8" xfId="569" applyFont="1" applyBorder="1" applyAlignment="1">
      <alignment vertical="top" wrapText="1"/>
    </xf>
    <xf numFmtId="0" fontId="31" fillId="0" borderId="0" xfId="569" applyFont="1" applyAlignment="1">
      <alignment horizontal="right" vertical="top" wrapText="1"/>
    </xf>
    <xf numFmtId="0" fontId="81" fillId="0" borderId="0" xfId="569" applyFont="1" applyAlignment="1">
      <alignment horizontal="right" vertical="top" wrapText="1"/>
    </xf>
    <xf numFmtId="0" fontId="54" fillId="0" borderId="3" xfId="569" applyFont="1" applyBorder="1" applyAlignment="1">
      <alignment horizontal="left"/>
    </xf>
    <xf numFmtId="0" fontId="54" fillId="0" borderId="13" xfId="569" applyFont="1" applyBorder="1" applyAlignment="1">
      <alignment horizontal="center" wrapText="1"/>
    </xf>
    <xf numFmtId="0" fontId="54" fillId="0" borderId="8" xfId="569" applyFont="1" applyBorder="1" applyAlignment="1">
      <alignment horizontal="center" wrapText="1"/>
    </xf>
    <xf numFmtId="0" fontId="54" fillId="0" borderId="0" xfId="569" applyFont="1" applyAlignment="1">
      <alignment horizontal="center" wrapText="1"/>
    </xf>
    <xf numFmtId="0" fontId="17" fillId="0" borderId="0" xfId="569"/>
    <xf numFmtId="0" fontId="23" fillId="0" borderId="0" xfId="569" applyFont="1" applyAlignment="1">
      <alignment horizontal="center" vertical="center"/>
    </xf>
    <xf numFmtId="0" fontId="24" fillId="0" borderId="0" xfId="569" applyFont="1"/>
    <xf numFmtId="0" fontId="17" fillId="0" borderId="1" xfId="569" applyBorder="1"/>
    <xf numFmtId="0" fontId="17" fillId="0" borderId="2" xfId="569" applyBorder="1"/>
    <xf numFmtId="0" fontId="17" fillId="0" borderId="8" xfId="569" applyBorder="1"/>
    <xf numFmtId="0" fontId="17" fillId="0" borderId="9" xfId="569" applyBorder="1"/>
    <xf numFmtId="0" fontId="17" fillId="0" borderId="6" xfId="569" applyBorder="1"/>
    <xf numFmtId="0" fontId="25" fillId="0" borderId="0" xfId="569" applyFont="1"/>
    <xf numFmtId="0" fontId="17" fillId="0" borderId="7" xfId="569" applyBorder="1"/>
    <xf numFmtId="0" fontId="17" fillId="0" borderId="12" xfId="569" applyBorder="1"/>
    <xf numFmtId="0" fontId="17" fillId="0" borderId="10" xfId="569" applyBorder="1"/>
    <xf numFmtId="0" fontId="25" fillId="0" borderId="0" xfId="569" applyFont="1" applyAlignment="1">
      <alignment vertical="top" wrapText="1"/>
    </xf>
    <xf numFmtId="0" fontId="17" fillId="0" borderId="0" xfId="569" applyAlignment="1">
      <alignment horizontal="right"/>
    </xf>
    <xf numFmtId="0" fontId="17" fillId="0" borderId="0" xfId="569" applyAlignment="1">
      <alignment wrapText="1"/>
    </xf>
    <xf numFmtId="0" fontId="17" fillId="0" borderId="0" xfId="569" applyAlignment="1">
      <alignment vertical="center"/>
    </xf>
    <xf numFmtId="0" fontId="41" fillId="0" borderId="0" xfId="569" applyFont="1" applyAlignment="1">
      <alignment vertical="center" wrapText="1"/>
    </xf>
    <xf numFmtId="0" fontId="35" fillId="0" borderId="0" xfId="569" applyFont="1" applyAlignment="1">
      <alignment vertical="top" wrapText="1"/>
    </xf>
    <xf numFmtId="0" fontId="24" fillId="0" borderId="0" xfId="569" applyFont="1" applyAlignment="1">
      <alignment vertical="top" wrapText="1"/>
    </xf>
    <xf numFmtId="0" fontId="25" fillId="0" borderId="0" xfId="569" applyFont="1" applyAlignment="1">
      <alignment horizontal="left" vertical="top" wrapText="1"/>
    </xf>
    <xf numFmtId="164" fontId="17" fillId="0" borderId="0" xfId="569" applyNumberFormat="1" applyAlignment="1">
      <alignment horizontal="right"/>
    </xf>
    <xf numFmtId="168" fontId="17" fillId="0" borderId="0" xfId="569" applyNumberFormat="1" applyAlignment="1">
      <alignment horizontal="right"/>
    </xf>
    <xf numFmtId="0" fontId="107" fillId="0" borderId="0" xfId="569" applyFont="1" applyAlignment="1">
      <alignment horizontal="left" vertical="top" wrapText="1"/>
    </xf>
    <xf numFmtId="168" fontId="17" fillId="0" borderId="0" xfId="569" applyNumberFormat="1" applyAlignment="1">
      <alignment wrapText="1"/>
    </xf>
    <xf numFmtId="0" fontId="22" fillId="0" borderId="11" xfId="253" applyFont="1" applyBorder="1" applyAlignment="1">
      <alignment horizontal="center" wrapText="1"/>
    </xf>
    <xf numFmtId="0" fontId="22" fillId="0" borderId="0" xfId="253" applyFont="1" applyAlignment="1">
      <alignment horizontal="center" wrapText="1"/>
    </xf>
    <xf numFmtId="3" fontId="22" fillId="0" borderId="11" xfId="271" applyNumberFormat="1" applyFont="1" applyBorder="1"/>
    <xf numFmtId="3" fontId="22" fillId="0" borderId="0" xfId="271" applyNumberFormat="1" applyFont="1"/>
    <xf numFmtId="0" fontId="65" fillId="0" borderId="0" xfId="271" applyFont="1" applyAlignment="1">
      <alignment horizontal="left"/>
    </xf>
    <xf numFmtId="0" fontId="65" fillId="0" borderId="0" xfId="271" applyFont="1" applyAlignment="1">
      <alignment horizontal="right"/>
    </xf>
    <xf numFmtId="168" fontId="22" fillId="0" borderId="11" xfId="271" applyNumberFormat="1" applyFont="1" applyBorder="1"/>
    <xf numFmtId="168" fontId="22" fillId="0" borderId="0" xfId="271" applyNumberFormat="1" applyFont="1"/>
    <xf numFmtId="0" fontId="53" fillId="0" borderId="0" xfId="569" applyFont="1" applyAlignment="1">
      <alignment horizontal="left"/>
    </xf>
    <xf numFmtId="0" fontId="17" fillId="0" borderId="3" xfId="569" applyBorder="1"/>
    <xf numFmtId="0" fontId="108" fillId="0" borderId="0" xfId="1834"/>
    <xf numFmtId="0" fontId="0" fillId="0" borderId="0" xfId="0" applyAlignment="1">
      <alignment horizontal="left" vertical="top"/>
    </xf>
    <xf numFmtId="0" fontId="107" fillId="0" borderId="0" xfId="0" applyFont="1" applyAlignment="1">
      <alignment vertical="top" wrapText="1"/>
    </xf>
    <xf numFmtId="0" fontId="53" fillId="0" borderId="0" xfId="271" applyFont="1" applyAlignment="1">
      <alignment vertical="top" wrapText="1"/>
    </xf>
    <xf numFmtId="4" fontId="17" fillId="0" borderId="0" xfId="1192" applyNumberFormat="1" applyAlignment="1">
      <alignment horizontal="left" vertical="top" wrapText="1"/>
    </xf>
    <xf numFmtId="0" fontId="17" fillId="0" borderId="0" xfId="0" applyFont="1" applyAlignment="1">
      <alignment horizontal="left" vertical="top" wrapText="1"/>
    </xf>
    <xf numFmtId="0" fontId="24" fillId="0" borderId="12" xfId="543" applyFont="1" applyBorder="1" applyAlignment="1">
      <alignment horizontal="right"/>
    </xf>
    <xf numFmtId="0" fontId="36" fillId="0" borderId="0" xfId="543" applyFont="1" applyAlignment="1">
      <alignment horizontal="center"/>
    </xf>
    <xf numFmtId="4" fontId="17" fillId="0" borderId="0" xfId="569" applyNumberFormat="1" applyAlignment="1">
      <alignment horizontal="left"/>
    </xf>
    <xf numFmtId="0" fontId="17" fillId="0" borderId="0" xfId="569" applyAlignment="1">
      <alignment horizontal="left" vertical="top" wrapText="1"/>
    </xf>
    <xf numFmtId="0" fontId="17" fillId="0" borderId="0" xfId="569" applyAlignment="1">
      <alignment horizontal="left"/>
    </xf>
    <xf numFmtId="0" fontId="17" fillId="0" borderId="0" xfId="1192" applyAlignment="1">
      <alignment horizontal="left"/>
    </xf>
    <xf numFmtId="0" fontId="24" fillId="0" borderId="0" xfId="569" applyFont="1" applyAlignment="1">
      <alignment horizontal="left"/>
    </xf>
    <xf numFmtId="0" fontId="46" fillId="0" borderId="0" xfId="1192" applyFont="1"/>
    <xf numFmtId="0" fontId="53" fillId="0" borderId="11" xfId="0" applyFont="1" applyBorder="1" applyAlignment="1">
      <alignment horizontal="right" vertical="center"/>
    </xf>
    <xf numFmtId="0" fontId="17" fillId="0" borderId="0" xfId="1192" applyAlignment="1">
      <alignment horizontal="left" vertical="top" wrapText="1"/>
    </xf>
    <xf numFmtId="0" fontId="46" fillId="0" borderId="0" xfId="0" applyFont="1" applyAlignment="1">
      <alignment vertical="top" wrapText="1"/>
    </xf>
    <xf numFmtId="0" fontId="46" fillId="0" borderId="0" xfId="0" applyFont="1" applyAlignment="1">
      <alignment horizontal="left" vertical="top" wrapText="1"/>
    </xf>
    <xf numFmtId="6" fontId="54" fillId="0" borderId="0" xfId="569" applyNumberFormat="1" applyFont="1" applyAlignment="1">
      <alignment horizontal="right" vertical="top"/>
    </xf>
    <xf numFmtId="0" fontId="17" fillId="0" borderId="0" xfId="0" applyFont="1" applyAlignment="1">
      <alignment vertical="top" wrapText="1"/>
    </xf>
    <xf numFmtId="168" fontId="26" fillId="0" borderId="0" xfId="0" applyNumberFormat="1" applyFont="1" applyAlignment="1">
      <alignment horizontal="right"/>
    </xf>
    <xf numFmtId="168" fontId="26" fillId="0" borderId="28" xfId="540" applyNumberFormat="1" applyBorder="1" applyAlignment="1" applyProtection="1">
      <alignment horizontal="center"/>
    </xf>
    <xf numFmtId="168" fontId="26" fillId="0" borderId="29" xfId="540" applyNumberFormat="1" applyBorder="1" applyAlignment="1" applyProtection="1">
      <alignment horizontal="center"/>
    </xf>
    <xf numFmtId="168" fontId="26" fillId="0" borderId="30" xfId="540" applyNumberFormat="1" applyBorder="1" applyAlignment="1" applyProtection="1">
      <alignment horizontal="center"/>
    </xf>
    <xf numFmtId="168" fontId="26" fillId="0" borderId="31" xfId="540" applyNumberFormat="1" applyBorder="1" applyAlignment="1" applyProtection="1">
      <alignment horizontal="center"/>
    </xf>
    <xf numFmtId="168" fontId="26" fillId="0" borderId="32" xfId="540" applyNumberFormat="1" applyBorder="1" applyAlignment="1" applyProtection="1">
      <alignment horizontal="center"/>
    </xf>
    <xf numFmtId="168" fontId="26" fillId="0" borderId="33" xfId="540" applyNumberFormat="1" applyBorder="1" applyAlignment="1" applyProtection="1">
      <alignment horizontal="center"/>
    </xf>
    <xf numFmtId="168" fontId="26" fillId="0" borderId="34" xfId="540" applyNumberFormat="1" applyBorder="1" applyAlignment="1" applyProtection="1">
      <alignment horizontal="center"/>
    </xf>
    <xf numFmtId="168" fontId="26" fillId="0" borderId="35" xfId="540" applyNumberFormat="1" applyBorder="1" applyAlignment="1" applyProtection="1">
      <alignment horizontal="center"/>
    </xf>
    <xf numFmtId="168" fontId="26" fillId="0" borderId="36" xfId="540" applyNumberFormat="1" applyBorder="1" applyAlignment="1" applyProtection="1">
      <alignment horizontal="center"/>
    </xf>
    <xf numFmtId="168" fontId="26" fillId="0" borderId="37" xfId="540" applyNumberFormat="1" applyBorder="1" applyAlignment="1" applyProtection="1">
      <alignment horizontal="center"/>
    </xf>
    <xf numFmtId="168" fontId="26" fillId="0" borderId="38" xfId="540" applyNumberFormat="1" applyBorder="1" applyAlignment="1" applyProtection="1">
      <alignment horizontal="center"/>
    </xf>
    <xf numFmtId="168" fontId="26" fillId="0" borderId="39" xfId="540" applyNumberFormat="1" applyBorder="1" applyAlignment="1" applyProtection="1">
      <alignment horizontal="center"/>
    </xf>
    <xf numFmtId="168" fontId="26" fillId="0" borderId="40" xfId="540" applyNumberFormat="1" applyBorder="1" applyAlignment="1" applyProtection="1">
      <alignment horizontal="center"/>
    </xf>
    <xf numFmtId="168" fontId="26" fillId="0" borderId="0" xfId="540" applyNumberFormat="1" applyAlignment="1" applyProtection="1">
      <alignment horizontal="center"/>
    </xf>
    <xf numFmtId="168" fontId="26" fillId="0" borderId="14" xfId="540" applyNumberFormat="1" applyBorder="1" applyAlignment="1" applyProtection="1">
      <alignment horizontal="center"/>
    </xf>
    <xf numFmtId="168" fontId="26" fillId="0" borderId="41" xfId="540" applyNumberFormat="1" applyBorder="1" applyAlignment="1" applyProtection="1">
      <alignment horizontal="center"/>
    </xf>
    <xf numFmtId="168" fontId="26" fillId="0" borderId="42" xfId="540" applyNumberFormat="1" applyBorder="1" applyAlignment="1" applyProtection="1">
      <alignment horizontal="center"/>
    </xf>
    <xf numFmtId="168" fontId="26" fillId="0" borderId="43" xfId="540" applyNumberFormat="1" applyBorder="1" applyAlignment="1" applyProtection="1">
      <alignment horizontal="center"/>
    </xf>
    <xf numFmtId="168" fontId="26" fillId="0" borderId="44" xfId="540" applyNumberFormat="1" applyBorder="1" applyAlignment="1" applyProtection="1">
      <alignment horizontal="center"/>
    </xf>
    <xf numFmtId="0" fontId="17" fillId="0" borderId="0" xfId="1192"/>
    <xf numFmtId="0" fontId="17" fillId="0" borderId="0" xfId="0" applyFont="1" applyAlignment="1">
      <alignment wrapText="1"/>
    </xf>
    <xf numFmtId="0" fontId="46" fillId="0" borderId="0" xfId="0" applyFont="1" applyAlignment="1">
      <alignment horizontal="left" vertical="top"/>
    </xf>
    <xf numFmtId="0" fontId="46" fillId="0" borderId="0" xfId="0" applyFont="1" applyAlignment="1">
      <alignment vertical="top"/>
    </xf>
    <xf numFmtId="0" fontId="17" fillId="0" borderId="0" xfId="569" applyAlignment="1">
      <alignment horizontal="center"/>
    </xf>
    <xf numFmtId="0" fontId="35" fillId="0" borderId="0" xfId="569" applyFont="1" applyAlignment="1">
      <alignment horizontal="left"/>
    </xf>
    <xf numFmtId="0" fontId="35" fillId="0" borderId="0" xfId="569" applyFont="1" applyAlignment="1">
      <alignment horizontal="center"/>
    </xf>
    <xf numFmtId="49" fontId="24" fillId="0" borderId="0" xfId="569" applyNumberFormat="1" applyFont="1" applyAlignment="1">
      <alignment horizontal="center"/>
    </xf>
    <xf numFmtId="0" fontId="51" fillId="0" borderId="0" xfId="569" applyFont="1" applyAlignment="1">
      <alignment horizontal="center"/>
    </xf>
    <xf numFmtId="0" fontId="17" fillId="5" borderId="6" xfId="569" applyFill="1" applyBorder="1" applyProtection="1">
      <protection locked="0"/>
    </xf>
    <xf numFmtId="0" fontId="18" fillId="0" borderId="0" xfId="244" applyAlignment="1" applyProtection="1">
      <alignment horizontal="center"/>
    </xf>
    <xf numFmtId="49" fontId="17" fillId="0" borderId="0" xfId="569" applyNumberFormat="1" applyAlignment="1">
      <alignment horizontal="center"/>
    </xf>
    <xf numFmtId="0" fontId="17" fillId="0" borderId="0" xfId="569" applyAlignment="1">
      <alignment horizontal="center" vertical="center"/>
    </xf>
    <xf numFmtId="0" fontId="17" fillId="0" borderId="0" xfId="1192" applyAlignment="1">
      <alignment horizontal="center"/>
    </xf>
    <xf numFmtId="0" fontId="24" fillId="0" borderId="0" xfId="569" applyFont="1" applyAlignment="1">
      <alignment horizontal="center"/>
    </xf>
    <xf numFmtId="0" fontId="17" fillId="0" borderId="0" xfId="569" applyAlignment="1">
      <alignment horizontal="left" indent="4"/>
    </xf>
    <xf numFmtId="0" fontId="17" fillId="0" borderId="0" xfId="569" quotePrefix="1" applyAlignment="1">
      <alignment horizontal="left"/>
    </xf>
    <xf numFmtId="0" fontId="35" fillId="0" borderId="0" xfId="569" applyFont="1"/>
    <xf numFmtId="0" fontId="17" fillId="0" borderId="0" xfId="1192" applyAlignment="1" applyProtection="1">
      <alignment horizontal="left"/>
      <protection locked="0"/>
    </xf>
    <xf numFmtId="0" fontId="17" fillId="0" borderId="0" xfId="569" applyAlignment="1" applyProtection="1">
      <alignment horizontal="left"/>
      <protection locked="0"/>
    </xf>
    <xf numFmtId="49" fontId="17" fillId="0" borderId="0" xfId="1192" applyNumberFormat="1" applyAlignment="1">
      <alignment horizontal="center"/>
    </xf>
    <xf numFmtId="0" fontId="51" fillId="0" borderId="0" xfId="1192" applyFont="1" applyAlignment="1">
      <alignment horizontal="center"/>
    </xf>
    <xf numFmtId="0" fontId="24" fillId="0" borderId="0" xfId="1192" applyFont="1" applyAlignment="1">
      <alignment horizontal="left"/>
    </xf>
    <xf numFmtId="4" fontId="17" fillId="0" borderId="0" xfId="1192" applyNumberFormat="1" applyAlignment="1">
      <alignment horizontal="left"/>
    </xf>
    <xf numFmtId="0" fontId="24" fillId="0" borderId="0" xfId="569" quotePrefix="1" applyFont="1" applyAlignment="1">
      <alignment horizontal="center"/>
    </xf>
    <xf numFmtId="49" fontId="17" fillId="0" borderId="0" xfId="569" applyNumberFormat="1"/>
    <xf numFmtId="0" fontId="49" fillId="0" borderId="0" xfId="569" applyFont="1" applyAlignment="1">
      <alignment horizontal="left"/>
    </xf>
    <xf numFmtId="4" fontId="51" fillId="0" borderId="0" xfId="569" applyNumberFormat="1" applyFont="1" applyAlignment="1">
      <alignment horizontal="center"/>
    </xf>
    <xf numFmtId="4" fontId="17" fillId="0" borderId="0" xfId="569" applyNumberFormat="1" applyAlignment="1">
      <alignment horizontal="center"/>
    </xf>
    <xf numFmtId="4" fontId="17" fillId="0" borderId="0" xfId="569" applyNumberFormat="1"/>
    <xf numFmtId="0" fontId="47" fillId="0" borderId="0" xfId="569" applyFont="1" applyAlignment="1">
      <alignment horizontal="left"/>
    </xf>
    <xf numFmtId="0" fontId="18" fillId="0" borderId="0" xfId="244" applyNumberFormat="1" applyFill="1" applyAlignment="1" applyProtection="1">
      <alignment horizontal="left"/>
      <protection locked="0"/>
    </xf>
    <xf numFmtId="0" fontId="53" fillId="0" borderId="11" xfId="0" applyFont="1" applyBorder="1" applyAlignment="1" applyProtection="1">
      <alignment horizontal="right" vertical="top" wrapText="1"/>
      <protection locked="0"/>
    </xf>
    <xf numFmtId="168" fontId="56" fillId="44" borderId="11" xfId="0" applyNumberFormat="1" applyFont="1" applyFill="1" applyBorder="1" applyAlignment="1">
      <alignment vertical="top" wrapText="1"/>
    </xf>
    <xf numFmtId="0" fontId="17" fillId="0" borderId="11" xfId="271" applyFont="1" applyBorder="1" applyAlignment="1">
      <alignment horizontal="right" vertical="top" wrapText="1"/>
    </xf>
    <xf numFmtId="0" fontId="25" fillId="0" borderId="0" xfId="569" applyFont="1" applyAlignment="1">
      <alignment horizontal="left"/>
    </xf>
    <xf numFmtId="0" fontId="105" fillId="0" borderId="0" xfId="0" applyFont="1"/>
    <xf numFmtId="0" fontId="116" fillId="0" borderId="0" xfId="0" applyFont="1" applyAlignment="1">
      <alignment horizontal="left" vertical="top"/>
    </xf>
    <xf numFmtId="0" fontId="117" fillId="0" borderId="0" xfId="0" applyFont="1" applyAlignment="1">
      <alignment horizontal="left" vertical="top"/>
    </xf>
    <xf numFmtId="168" fontId="25" fillId="0" borderId="0" xfId="0" applyNumberFormat="1" applyFont="1" applyAlignment="1">
      <alignment horizontal="left" vertical="top" wrapText="1"/>
    </xf>
    <xf numFmtId="168" fontId="53" fillId="5" borderId="11" xfId="0" applyNumberFormat="1" applyFont="1" applyFill="1" applyBorder="1" applyAlignment="1">
      <alignment vertical="top" wrapText="1"/>
    </xf>
    <xf numFmtId="0" fontId="17" fillId="0" borderId="0" xfId="271" applyFont="1" applyAlignment="1">
      <alignment horizontal="left" vertical="top"/>
    </xf>
    <xf numFmtId="0" fontId="53" fillId="0" borderId="0" xfId="569" applyFont="1"/>
    <xf numFmtId="0" fontId="17" fillId="0" borderId="0" xfId="0" applyFont="1" applyAlignment="1">
      <alignment horizontal="left" vertical="top"/>
    </xf>
    <xf numFmtId="4" fontId="17" fillId="0" borderId="0" xfId="1192" applyNumberFormat="1" applyAlignment="1">
      <alignment vertical="top" wrapText="1"/>
    </xf>
    <xf numFmtId="0" fontId="24" fillId="0" borderId="16" xfId="271" applyFont="1" applyBorder="1"/>
    <xf numFmtId="0" fontId="60" fillId="0" borderId="0" xfId="569" applyFont="1"/>
    <xf numFmtId="0" fontId="41" fillId="0" borderId="0" xfId="569" applyFont="1"/>
    <xf numFmtId="0" fontId="17" fillId="0" borderId="0" xfId="1192" applyAlignment="1">
      <alignment vertical="top" wrapText="1"/>
    </xf>
    <xf numFmtId="49" fontId="17" fillId="0" borderId="0" xfId="1192" applyNumberFormat="1" applyAlignment="1">
      <alignment vertical="top" wrapText="1"/>
    </xf>
    <xf numFmtId="0" fontId="55" fillId="0" borderId="9" xfId="543" applyFont="1" applyBorder="1" applyAlignment="1">
      <alignment vertical="top"/>
    </xf>
    <xf numFmtId="0" fontId="17" fillId="0" borderId="0" xfId="0" applyFont="1" applyAlignment="1">
      <alignment vertical="center"/>
    </xf>
    <xf numFmtId="0" fontId="118" fillId="0" borderId="0" xfId="0" applyFont="1"/>
    <xf numFmtId="3" fontId="105" fillId="0" borderId="0" xfId="0" applyNumberFormat="1" applyFont="1"/>
    <xf numFmtId="0" fontId="105" fillId="0" borderId="0" xfId="0" applyFont="1" applyAlignment="1">
      <alignment horizontal="left"/>
    </xf>
    <xf numFmtId="168" fontId="119" fillId="0" borderId="0" xfId="0" applyNumberFormat="1" applyFont="1" applyAlignment="1">
      <alignment horizontal="left" vertical="top"/>
    </xf>
    <xf numFmtId="0" fontId="105" fillId="0" borderId="0" xfId="0" applyFont="1" applyAlignment="1">
      <alignment horizontal="left" vertical="center"/>
    </xf>
    <xf numFmtId="0" fontId="121" fillId="0" borderId="0" xfId="0" applyFont="1"/>
    <xf numFmtId="172" fontId="17" fillId="0" borderId="8" xfId="543" applyNumberFormat="1" applyBorder="1"/>
    <xf numFmtId="0" fontId="17" fillId="0" borderId="8" xfId="4495" applyFont="1" applyBorder="1"/>
    <xf numFmtId="0" fontId="17" fillId="0" borderId="0" xfId="4495" applyFont="1"/>
    <xf numFmtId="0" fontId="23" fillId="0" borderId="0" xfId="4495" applyFont="1" applyAlignment="1">
      <alignment horizontal="center" vertical="center"/>
    </xf>
    <xf numFmtId="0" fontId="24" fillId="0" borderId="0" xfId="4495" applyFont="1" applyAlignment="1">
      <alignment horizontal="left"/>
    </xf>
    <xf numFmtId="0" fontId="24" fillId="0" borderId="0" xfId="4495" applyFont="1"/>
    <xf numFmtId="0" fontId="27" fillId="0" borderId="0" xfId="4495" applyFont="1" applyAlignment="1">
      <alignment horizontal="center" vertical="center"/>
    </xf>
    <xf numFmtId="0" fontId="27" fillId="0" borderId="27" xfId="4495" applyFont="1" applyBorder="1" applyAlignment="1">
      <alignment horizontal="center" vertical="center"/>
    </xf>
    <xf numFmtId="0" fontId="27" fillId="0" borderId="46" xfId="4495" applyFont="1" applyBorder="1" applyAlignment="1">
      <alignment horizontal="center" vertical="center"/>
    </xf>
    <xf numFmtId="0" fontId="24" fillId="0" borderId="0" xfId="4495" applyFont="1" applyAlignment="1">
      <alignment horizontal="right"/>
    </xf>
    <xf numFmtId="0" fontId="35" fillId="0" borderId="0" xfId="4495" applyFont="1" applyAlignment="1">
      <alignment horizontal="left" vertical="center"/>
    </xf>
    <xf numFmtId="0" fontId="17" fillId="0" borderId="0" xfId="1192" quotePrefix="1" applyAlignment="1">
      <alignment horizontal="center"/>
    </xf>
    <xf numFmtId="0" fontId="47" fillId="0" borderId="0" xfId="4495" applyFont="1" applyAlignment="1">
      <alignment horizontal="left" vertical="center"/>
    </xf>
    <xf numFmtId="49" fontId="25" fillId="0" borderId="0" xfId="4495" applyNumberFormat="1" applyFont="1" applyAlignment="1">
      <alignment horizontal="left" vertical="top"/>
    </xf>
    <xf numFmtId="0" fontId="17" fillId="0" borderId="47" xfId="4495" applyFont="1" applyBorder="1" applyAlignment="1">
      <alignment horizontal="left" vertical="center"/>
    </xf>
    <xf numFmtId="0" fontId="27" fillId="0" borderId="48" xfId="4495" applyFont="1" applyBorder="1" applyAlignment="1">
      <alignment horizontal="center" vertical="center"/>
    </xf>
    <xf numFmtId="0" fontId="25" fillId="0" borderId="0" xfId="4495" applyFont="1"/>
    <xf numFmtId="0" fontId="25" fillId="0" borderId="0" xfId="4495" applyFont="1" applyAlignment="1">
      <alignment horizontal="left" vertical="top"/>
    </xf>
    <xf numFmtId="0" fontId="123" fillId="0" borderId="53" xfId="4496" applyFont="1" applyBorder="1" applyAlignment="1">
      <alignment horizontal="left" vertical="top"/>
    </xf>
    <xf numFmtId="0" fontId="122" fillId="0" borderId="0" xfId="4496" applyFont="1" applyAlignment="1">
      <alignment horizontal="left" vertical="top" wrapText="1"/>
    </xf>
    <xf numFmtId="0" fontId="122" fillId="0" borderId="54" xfId="4496" applyFont="1" applyBorder="1" applyAlignment="1">
      <alignment horizontal="left" vertical="top" wrapText="1"/>
    </xf>
    <xf numFmtId="0" fontId="17" fillId="0" borderId="0" xfId="4495" applyFont="1" applyAlignment="1">
      <alignment horizontal="left" vertical="center"/>
    </xf>
    <xf numFmtId="0" fontId="124" fillId="0" borderId="0" xfId="4496" applyFont="1" applyAlignment="1">
      <alignment vertical="center"/>
    </xf>
    <xf numFmtId="0" fontId="122" fillId="0" borderId="0" xfId="4496" applyFont="1"/>
    <xf numFmtId="0" fontId="122" fillId="0" borderId="0" xfId="4496" applyFont="1" applyAlignment="1">
      <alignment vertical="center"/>
    </xf>
    <xf numFmtId="0" fontId="125" fillId="0" borderId="0" xfId="4496" applyFont="1" applyAlignment="1">
      <alignment vertical="center"/>
    </xf>
    <xf numFmtId="0" fontId="17" fillId="0" borderId="0" xfId="4496" applyFont="1" applyAlignment="1">
      <alignment vertical="center"/>
    </xf>
    <xf numFmtId="0" fontId="25" fillId="0" borderId="3" xfId="4495" applyFont="1" applyBorder="1" applyAlignment="1">
      <alignment vertical="top" wrapText="1"/>
    </xf>
    <xf numFmtId="0" fontId="25" fillId="0" borderId="4" xfId="4495" applyFont="1" applyBorder="1" applyAlignment="1">
      <alignment vertical="top" wrapText="1"/>
    </xf>
    <xf numFmtId="164" fontId="120" fillId="0" borderId="4" xfId="4495" applyNumberFormat="1" applyBorder="1" applyAlignment="1">
      <alignment horizontal="right"/>
    </xf>
    <xf numFmtId="0" fontId="25" fillId="0" borderId="4" xfId="4495" applyFont="1" applyBorder="1"/>
    <xf numFmtId="0" fontId="24" fillId="0" borderId="5" xfId="4495" applyFont="1" applyBorder="1" applyAlignment="1">
      <alignment horizontal="right"/>
    </xf>
    <xf numFmtId="0" fontId="17" fillId="0" borderId="16" xfId="4495" applyFont="1" applyBorder="1"/>
    <xf numFmtId="0" fontId="17" fillId="0" borderId="16" xfId="4495" applyFont="1" applyBorder="1" applyAlignment="1">
      <alignment horizontal="left" vertical="top"/>
    </xf>
    <xf numFmtId="0" fontId="25" fillId="0" borderId="16" xfId="4495" applyFont="1" applyBorder="1" applyAlignment="1">
      <alignment horizontal="left" vertical="top" wrapText="1"/>
    </xf>
    <xf numFmtId="0" fontId="25" fillId="0" borderId="45" xfId="4495" applyFont="1" applyBorder="1" applyAlignment="1">
      <alignment horizontal="left" vertical="top" wrapText="1"/>
    </xf>
    <xf numFmtId="0" fontId="120" fillId="0" borderId="0" xfId="4495"/>
    <xf numFmtId="0" fontId="18" fillId="0" borderId="0" xfId="244" applyFill="1" applyBorder="1" applyAlignment="1" applyProtection="1">
      <alignment horizontal="left" vertical="top"/>
    </xf>
    <xf numFmtId="0" fontId="18" fillId="0" borderId="0" xfId="244" applyFill="1" applyBorder="1" applyAlignment="1" applyProtection="1">
      <alignment horizontal="left" vertical="top" wrapText="1"/>
    </xf>
    <xf numFmtId="0" fontId="25" fillId="0" borderId="0" xfId="4495" applyFont="1" applyAlignment="1">
      <alignment horizontal="left" vertical="top" wrapText="1"/>
    </xf>
    <xf numFmtId="0" fontId="25" fillId="0" borderId="0" xfId="4495" applyFont="1" applyAlignment="1">
      <alignment horizontal="right" vertical="top"/>
    </xf>
    <xf numFmtId="0" fontId="17" fillId="0" borderId="0" xfId="4495" applyFont="1" applyAlignment="1">
      <alignment vertical="center" wrapText="1"/>
    </xf>
    <xf numFmtId="0" fontId="122" fillId="0" borderId="53" xfId="4496" applyFont="1" applyBorder="1" applyAlignment="1">
      <alignment vertical="top" wrapText="1"/>
    </xf>
    <xf numFmtId="0" fontId="122" fillId="0" borderId="0" xfId="4496" applyFont="1" applyAlignment="1">
      <alignment vertical="top" wrapText="1"/>
    </xf>
    <xf numFmtId="10" fontId="122" fillId="0" borderId="0" xfId="4496" applyNumberFormat="1" applyFont="1" applyAlignment="1">
      <alignment vertical="top" wrapText="1"/>
    </xf>
    <xf numFmtId="0" fontId="122" fillId="0" borderId="54" xfId="4496" applyFont="1" applyBorder="1" applyAlignment="1">
      <alignment vertical="top" wrapText="1"/>
    </xf>
    <xf numFmtId="0" fontId="122" fillId="0" borderId="0" xfId="4496" applyFont="1" applyAlignment="1">
      <alignment vertical="top"/>
    </xf>
    <xf numFmtId="165" fontId="122" fillId="0" borderId="0" xfId="4496" applyNumberFormat="1" applyFont="1" applyAlignment="1">
      <alignment vertical="top" wrapText="1"/>
    </xf>
    <xf numFmtId="0" fontId="24" fillId="0" borderId="57" xfId="4495" applyFont="1" applyBorder="1"/>
    <xf numFmtId="0" fontId="24" fillId="0" borderId="58" xfId="4495" applyFont="1" applyBorder="1"/>
    <xf numFmtId="0" fontId="24" fillId="0" borderId="58" xfId="4495" applyFont="1" applyBorder="1" applyAlignment="1">
      <alignment horizontal="right"/>
    </xf>
    <xf numFmtId="0" fontId="24" fillId="0" borderId="59" xfId="4495" applyFont="1" applyBorder="1" applyAlignment="1">
      <alignment horizontal="right"/>
    </xf>
    <xf numFmtId="0" fontId="122" fillId="0" borderId="53" xfId="4496" applyFont="1" applyBorder="1" applyAlignment="1">
      <alignment horizontal="left" vertical="top" wrapText="1"/>
    </xf>
    <xf numFmtId="0" fontId="122" fillId="0" borderId="0" xfId="4496" applyFont="1" applyAlignment="1">
      <alignment horizontal="left" vertical="top"/>
    </xf>
    <xf numFmtId="0" fontId="27" fillId="0" borderId="57" xfId="4495" applyFont="1" applyBorder="1" applyAlignment="1">
      <alignment horizontal="center" vertical="center"/>
    </xf>
    <xf numFmtId="0" fontId="27" fillId="0" borderId="58" xfId="4495" applyFont="1" applyBorder="1" applyAlignment="1">
      <alignment horizontal="center" vertical="center"/>
    </xf>
    <xf numFmtId="0" fontId="27" fillId="0" borderId="59" xfId="4495" applyFont="1" applyBorder="1" applyAlignment="1">
      <alignment horizontal="center" vertical="center"/>
    </xf>
    <xf numFmtId="0" fontId="24" fillId="0" borderId="0" xfId="4495" applyFont="1" applyAlignment="1">
      <alignment horizontal="center"/>
    </xf>
    <xf numFmtId="0" fontId="24" fillId="0" borderId="8" xfId="4495" applyFont="1" applyBorder="1"/>
    <xf numFmtId="0" fontId="25" fillId="0" borderId="0" xfId="4495" applyFont="1" applyAlignment="1">
      <alignment horizontal="left"/>
    </xf>
    <xf numFmtId="0" fontId="24" fillId="0" borderId="0" xfId="4495" applyFont="1" applyAlignment="1">
      <alignment horizontal="center" vertical="top"/>
    </xf>
    <xf numFmtId="0" fontId="17" fillId="0" borderId="0" xfId="4495" applyFont="1" applyAlignment="1">
      <alignment horizontal="center"/>
    </xf>
    <xf numFmtId="0" fontId="33" fillId="0" borderId="0" xfId="4495" applyFont="1"/>
    <xf numFmtId="0" fontId="25" fillId="0" borderId="8" xfId="4495" applyFont="1" applyBorder="1"/>
    <xf numFmtId="0" fontId="53" fillId="0" borderId="8" xfId="4495" applyFont="1" applyBorder="1"/>
    <xf numFmtId="1" fontId="17" fillId="0" borderId="0" xfId="1192" applyNumberFormat="1"/>
    <xf numFmtId="0" fontId="17" fillId="0" borderId="3" xfId="4495" applyFont="1" applyBorder="1"/>
    <xf numFmtId="0" fontId="17" fillId="0" borderId="4" xfId="4495" applyFont="1" applyBorder="1"/>
    <xf numFmtId="0" fontId="17" fillId="0" borderId="0" xfId="1192" applyAlignment="1">
      <alignment wrapText="1"/>
    </xf>
    <xf numFmtId="0" fontId="25" fillId="0" borderId="0" xfId="4495" applyFont="1" applyAlignment="1">
      <alignment vertical="top" wrapText="1"/>
    </xf>
    <xf numFmtId="0" fontId="25" fillId="0" borderId="0" xfId="1192" applyFont="1"/>
    <xf numFmtId="0" fontId="17" fillId="0" borderId="0" xfId="4495" applyFont="1" applyAlignment="1">
      <alignment horizontal="left"/>
    </xf>
    <xf numFmtId="0" fontId="25" fillId="0" borderId="3" xfId="4495" applyFont="1" applyBorder="1"/>
    <xf numFmtId="0" fontId="17" fillId="0" borderId="4" xfId="4495" applyFont="1" applyBorder="1" applyAlignment="1">
      <alignment horizontal="right"/>
    </xf>
    <xf numFmtId="1" fontId="17" fillId="0" borderId="0" xfId="4495" applyNumberFormat="1" applyFont="1" applyAlignment="1">
      <alignment horizontal="center"/>
    </xf>
    <xf numFmtId="0" fontId="53" fillId="0" borderId="0" xfId="4495" applyFont="1"/>
    <xf numFmtId="0" fontId="17" fillId="0" borderId="0" xfId="4495" applyFont="1" applyAlignment="1">
      <alignment horizontal="right"/>
    </xf>
    <xf numFmtId="0" fontId="25" fillId="0" borderId="0" xfId="4495" applyFont="1" applyAlignment="1">
      <alignment vertical="top"/>
    </xf>
    <xf numFmtId="0" fontId="25" fillId="0" borderId="27" xfId="4495" applyFont="1" applyBorder="1"/>
    <xf numFmtId="0" fontId="24" fillId="0" borderId="0" xfId="4495" applyFont="1" applyAlignment="1">
      <alignment vertical="top"/>
    </xf>
    <xf numFmtId="0" fontId="35" fillId="0" borderId="0" xfId="4495" applyFont="1" applyAlignment="1">
      <alignment vertical="top" wrapText="1"/>
    </xf>
    <xf numFmtId="0" fontId="24" fillId="0" borderId="0" xfId="4495" applyFont="1" applyAlignment="1">
      <alignment horizontal="left" vertical="top" wrapText="1"/>
    </xf>
    <xf numFmtId="0" fontId="17" fillId="0" borderId="0" xfId="4495" applyFont="1" applyAlignment="1">
      <alignment horizontal="left" vertical="top"/>
    </xf>
    <xf numFmtId="0" fontId="35" fillId="0" borderId="0" xfId="4495" applyFont="1" applyAlignment="1">
      <alignment vertical="top"/>
    </xf>
    <xf numFmtId="0" fontId="17" fillId="0" borderId="10" xfId="4495" applyFont="1" applyBorder="1" applyAlignment="1">
      <alignment horizontal="center"/>
    </xf>
    <xf numFmtId="0" fontId="17" fillId="0" borderId="16" xfId="4495" applyFont="1" applyBorder="1" applyAlignment="1">
      <alignment horizontal="center"/>
    </xf>
    <xf numFmtId="0" fontId="33" fillId="0" borderId="16" xfId="4495" applyFont="1" applyBorder="1"/>
    <xf numFmtId="0" fontId="25" fillId="0" borderId="16" xfId="4495" applyFont="1" applyBorder="1"/>
    <xf numFmtId="0" fontId="17" fillId="0" borderId="0" xfId="4496" applyFont="1" applyAlignment="1">
      <alignment vertical="top" wrapText="1"/>
    </xf>
    <xf numFmtId="0" fontId="24" fillId="0" borderId="0" xfId="1192" applyFont="1" applyAlignment="1">
      <alignment horizontal="right"/>
    </xf>
    <xf numFmtId="0" fontId="17" fillId="0" borderId="0" xfId="4496" applyFont="1"/>
    <xf numFmtId="0" fontId="17" fillId="0" borderId="0" xfId="4496" applyFont="1" applyAlignment="1">
      <alignment horizontal="left"/>
    </xf>
    <xf numFmtId="0" fontId="17" fillId="0" borderId="0" xfId="4496" applyFont="1" applyAlignment="1">
      <alignment horizontal="right"/>
    </xf>
    <xf numFmtId="0" fontId="25" fillId="0" borderId="0" xfId="4496" applyFont="1" applyAlignment="1">
      <alignment vertical="top" wrapText="1"/>
    </xf>
    <xf numFmtId="0" fontId="17" fillId="0" borderId="4" xfId="4496" applyFont="1" applyBorder="1"/>
    <xf numFmtId="0" fontId="24" fillId="0" borderId="4" xfId="4496" applyFont="1" applyBorder="1" applyAlignment="1">
      <alignment horizontal="right"/>
    </xf>
    <xf numFmtId="0" fontId="25" fillId="0" borderId="27" xfId="4495" applyFont="1" applyBorder="1" applyAlignment="1">
      <alignment horizontal="left" vertical="top"/>
    </xf>
    <xf numFmtId="0" fontId="17" fillId="0" borderId="27" xfId="4495" applyFont="1" applyBorder="1" applyAlignment="1">
      <alignment horizontal="left" vertical="top"/>
    </xf>
    <xf numFmtId="0" fontId="24" fillId="0" borderId="27" xfId="4495" applyFont="1" applyBorder="1" applyAlignment="1">
      <alignment horizontal="right"/>
    </xf>
    <xf numFmtId="0" fontId="17" fillId="0" borderId="27" xfId="4495" applyFont="1" applyBorder="1" applyAlignment="1">
      <alignment horizontal="center"/>
    </xf>
    <xf numFmtId="0" fontId="17" fillId="0" borderId="46" xfId="4495" applyFont="1" applyBorder="1" applyAlignment="1">
      <alignment horizontal="center"/>
    </xf>
    <xf numFmtId="164" fontId="25" fillId="0" borderId="0" xfId="4495" applyNumberFormat="1" applyFont="1" applyAlignment="1">
      <alignment horizontal="left" vertical="top" wrapText="1"/>
    </xf>
    <xf numFmtId="0" fontId="28" fillId="0" borderId="0" xfId="4495" applyFont="1"/>
    <xf numFmtId="0" fontId="25" fillId="0" borderId="0" xfId="4495" applyFont="1" applyAlignment="1">
      <alignment horizontal="right"/>
    </xf>
    <xf numFmtId="0" fontId="17" fillId="0" borderId="27" xfId="543" applyBorder="1"/>
    <xf numFmtId="0" fontId="17" fillId="0" borderId="46" xfId="543" applyBorder="1"/>
    <xf numFmtId="0" fontId="24" fillId="0" borderId="0" xfId="4495" applyFont="1" applyAlignment="1">
      <alignment horizontal="left" vertical="top"/>
    </xf>
    <xf numFmtId="1" fontId="120" fillId="0" borderId="0" xfId="4495" applyNumberFormat="1"/>
    <xf numFmtId="0" fontId="17" fillId="0" borderId="0" xfId="4495" applyFont="1" applyAlignment="1">
      <alignment vertical="top" wrapText="1"/>
    </xf>
    <xf numFmtId="0" fontId="17" fillId="0" borderId="0" xfId="4495" applyFont="1" applyAlignment="1">
      <alignment horizontal="left" vertical="top" wrapText="1"/>
    </xf>
    <xf numFmtId="0" fontId="17" fillId="0" borderId="50" xfId="4495" applyFont="1" applyBorder="1" applyAlignment="1">
      <alignment vertical="top"/>
    </xf>
    <xf numFmtId="0" fontId="17" fillId="0" borderId="51" xfId="4495" applyFont="1" applyBorder="1" applyAlignment="1">
      <alignment vertical="top"/>
    </xf>
    <xf numFmtId="0" fontId="17" fillId="0" borderId="52" xfId="4495" applyFont="1" applyBorder="1" applyAlignment="1">
      <alignment vertical="top"/>
    </xf>
    <xf numFmtId="1" fontId="25" fillId="0" borderId="8" xfId="4495" applyNumberFormat="1" applyFont="1" applyBorder="1"/>
    <xf numFmtId="0" fontId="17" fillId="0" borderId="0" xfId="543" applyAlignment="1">
      <alignment vertical="top"/>
    </xf>
    <xf numFmtId="0" fontId="25" fillId="0" borderId="51" xfId="4495" applyFont="1" applyBorder="1" applyAlignment="1">
      <alignment horizontal="left" vertical="top"/>
    </xf>
    <xf numFmtId="0" fontId="25" fillId="0" borderId="52" xfId="4495" applyFont="1" applyBorder="1" applyAlignment="1">
      <alignment horizontal="left" vertical="top"/>
    </xf>
    <xf numFmtId="0" fontId="120" fillId="0" borderId="0" xfId="4495" applyAlignment="1" applyProtection="1">
      <alignment horizontal="center"/>
      <protection locked="0"/>
    </xf>
    <xf numFmtId="0" fontId="17" fillId="0" borderId="53" xfId="4495" applyFont="1" applyBorder="1" applyAlignment="1">
      <alignment vertical="top"/>
    </xf>
    <xf numFmtId="0" fontId="17" fillId="0" borderId="54" xfId="4495" applyFont="1" applyBorder="1" applyAlignment="1">
      <alignment vertical="top" wrapText="1"/>
    </xf>
    <xf numFmtId="0" fontId="61" fillId="0" borderId="53" xfId="4495" applyFont="1" applyBorder="1"/>
    <xf numFmtId="0" fontId="25" fillId="0" borderId="54" xfId="4495" applyFont="1" applyBorder="1" applyAlignment="1">
      <alignment horizontal="left" vertical="top"/>
    </xf>
    <xf numFmtId="0" fontId="17" fillId="0" borderId="53" xfId="4495" applyFont="1" applyBorder="1" applyAlignment="1">
      <alignment vertical="center" wrapText="1"/>
    </xf>
    <xf numFmtId="0" fontId="61" fillId="0" borderId="57" xfId="4495" applyFont="1" applyBorder="1"/>
    <xf numFmtId="0" fontId="25" fillId="0" borderId="58" xfId="4495" applyFont="1" applyBorder="1" applyAlignment="1">
      <alignment horizontal="left" vertical="top"/>
    </xf>
    <xf numFmtId="0" fontId="25" fillId="0" borderId="12" xfId="4495" applyFont="1" applyBorder="1"/>
    <xf numFmtId="0" fontId="17" fillId="0" borderId="57" xfId="4495" applyFont="1" applyBorder="1" applyAlignment="1">
      <alignment vertical="center"/>
    </xf>
    <xf numFmtId="0" fontId="17" fillId="0" borderId="58" xfId="4495" applyFont="1" applyBorder="1" applyAlignment="1">
      <alignment vertical="top"/>
    </xf>
    <xf numFmtId="0" fontId="17" fillId="0" borderId="59" xfId="4495" applyFont="1" applyBorder="1" applyAlignment="1">
      <alignment vertical="top"/>
    </xf>
    <xf numFmtId="0" fontId="17" fillId="0" borderId="0" xfId="4495" applyFont="1" applyAlignment="1">
      <alignment vertical="top"/>
    </xf>
    <xf numFmtId="0" fontId="25" fillId="0" borderId="4" xfId="4495" applyFont="1" applyBorder="1" applyAlignment="1">
      <alignment horizontal="left" vertical="top"/>
    </xf>
    <xf numFmtId="0" fontId="17" fillId="0" borderId="4" xfId="4495" applyFont="1" applyBorder="1" applyAlignment="1">
      <alignment horizontal="left" vertical="top"/>
    </xf>
    <xf numFmtId="0" fontId="17" fillId="0" borderId="2" xfId="4495" applyFont="1" applyBorder="1"/>
    <xf numFmtId="0" fontId="25" fillId="0" borderId="2" xfId="4495" applyFont="1" applyBorder="1"/>
    <xf numFmtId="0" fontId="17" fillId="0" borderId="2" xfId="4495" applyFont="1" applyBorder="1" applyAlignment="1">
      <alignment horizontal="center"/>
    </xf>
    <xf numFmtId="0" fontId="25" fillId="0" borderId="7" xfId="4495" applyFont="1" applyBorder="1"/>
    <xf numFmtId="0" fontId="33" fillId="0" borderId="0" xfId="4495" applyFont="1" applyAlignment="1">
      <alignment horizontal="right"/>
    </xf>
    <xf numFmtId="0" fontId="126" fillId="0" borderId="0" xfId="4495" applyFont="1" applyAlignment="1">
      <alignment horizontal="left" vertical="top" wrapText="1"/>
    </xf>
    <xf numFmtId="0" fontId="33" fillId="0" borderId="0" xfId="4495" applyFont="1" applyAlignment="1">
      <alignment horizontal="left" vertical="top"/>
    </xf>
    <xf numFmtId="0" fontId="25" fillId="0" borderId="0" xfId="4495" quotePrefix="1" applyFont="1" applyAlignment="1">
      <alignment horizontal="right"/>
    </xf>
    <xf numFmtId="0" fontId="17" fillId="0" borderId="0" xfId="4497"/>
    <xf numFmtId="0" fontId="25" fillId="0" borderId="0" xfId="4495" applyFont="1" applyAlignment="1">
      <alignment horizontal="left" vertical="top" wrapText="1" shrinkToFit="1"/>
    </xf>
    <xf numFmtId="0" fontId="120" fillId="0" borderId="0" xfId="4495" applyAlignment="1">
      <alignment vertical="top" wrapText="1"/>
    </xf>
    <xf numFmtId="0" fontId="25" fillId="0" borderId="4" xfId="4495" applyFont="1" applyBorder="1" applyAlignment="1">
      <alignment horizontal="left" vertical="top" wrapText="1" shrinkToFit="1"/>
    </xf>
    <xf numFmtId="0" fontId="33" fillId="0" borderId="8" xfId="4495" applyFont="1" applyBorder="1"/>
    <xf numFmtId="0" fontId="25" fillId="0" borderId="0" xfId="4495" applyFont="1" applyAlignment="1">
      <alignment horizontal="center"/>
    </xf>
    <xf numFmtId="0" fontId="25" fillId="0" borderId="0" xfId="4495" quotePrefix="1" applyFont="1"/>
    <xf numFmtId="0" fontId="25" fillId="0" borderId="0" xfId="4495" applyFont="1" applyAlignment="1">
      <alignment horizontal="left" vertical="top" shrinkToFit="1"/>
    </xf>
    <xf numFmtId="0" fontId="47" fillId="0" borderId="0" xfId="4495" applyFont="1"/>
    <xf numFmtId="0" fontId="25" fillId="0" borderId="3" xfId="4495" applyFont="1" applyBorder="1" applyAlignment="1">
      <alignment horizontal="center"/>
    </xf>
    <xf numFmtId="0" fontId="120" fillId="0" borderId="8" xfId="4495" applyBorder="1"/>
    <xf numFmtId="0" fontId="24" fillId="0" borderId="8" xfId="4495" applyFont="1" applyBorder="1" applyAlignment="1">
      <alignment vertical="top"/>
    </xf>
    <xf numFmtId="0" fontId="120" fillId="0" borderId="0" xfId="4495" applyAlignment="1">
      <alignment vertical="top"/>
    </xf>
    <xf numFmtId="0" fontId="24"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7" fillId="0" borderId="0" xfId="4497" applyNumberFormat="1"/>
    <xf numFmtId="1" fontId="25"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5" fillId="0" borderId="6" xfId="4495" applyFont="1" applyBorder="1"/>
    <xf numFmtId="1" fontId="25" fillId="0" borderId="8" xfId="4495" applyNumberFormat="1" applyFont="1" applyBorder="1" applyAlignment="1">
      <alignment horizontal="center" vertical="top"/>
    </xf>
    <xf numFmtId="0" fontId="120" fillId="0" borderId="12" xfId="4495" applyBorder="1"/>
    <xf numFmtId="0" fontId="25" fillId="0" borderId="9" xfId="4495" applyFont="1" applyBorder="1"/>
    <xf numFmtId="0" fontId="120" fillId="0" borderId="10" xfId="4495" applyBorder="1"/>
    <xf numFmtId="0" fontId="33" fillId="0" borderId="3" xfId="4495" applyFont="1" applyBorder="1"/>
    <xf numFmtId="0" fontId="24" fillId="0" borderId="4" xfId="4495" applyFont="1" applyBorder="1"/>
    <xf numFmtId="0" fontId="120" fillId="0" borderId="12" xfId="4495" applyBorder="1" applyAlignment="1">
      <alignment vertical="top"/>
    </xf>
    <xf numFmtId="0" fontId="33"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3" fillId="0" borderId="9" xfId="4495" applyFont="1" applyBorder="1"/>
    <xf numFmtId="0" fontId="25" fillId="0" borderId="10" xfId="4495" applyFont="1" applyBorder="1"/>
    <xf numFmtId="0" fontId="130" fillId="0" borderId="0" xfId="4495" applyFont="1" applyAlignment="1">
      <alignment wrapText="1"/>
    </xf>
    <xf numFmtId="0" fontId="33" fillId="0" borderId="9" xfId="4495" applyFont="1" applyBorder="1" applyAlignment="1">
      <alignment horizontal="center"/>
    </xf>
    <xf numFmtId="0" fontId="24" fillId="0" borderId="10" xfId="4495" applyFont="1" applyBorder="1"/>
    <xf numFmtId="0" fontId="35" fillId="0" borderId="0" xfId="4495" applyFont="1"/>
    <xf numFmtId="0" fontId="25" fillId="0" borderId="50" xfId="4495" applyFont="1" applyBorder="1"/>
    <xf numFmtId="0" fontId="25" fillId="0" borderId="51" xfId="4495" applyFont="1" applyBorder="1"/>
    <xf numFmtId="1" fontId="25" fillId="0" borderId="51" xfId="4495" quotePrefix="1" applyNumberFormat="1" applyFont="1" applyBorder="1" applyAlignment="1">
      <alignment horizontal="center" vertical="top"/>
    </xf>
    <xf numFmtId="0" fontId="24" fillId="0" borderId="51" xfId="4495" applyFont="1" applyBorder="1"/>
    <xf numFmtId="0" fontId="24" fillId="0" borderId="52" xfId="4495" applyFont="1" applyBorder="1" applyAlignment="1">
      <alignment horizontal="center"/>
    </xf>
    <xf numFmtId="0" fontId="17" fillId="0" borderId="53" xfId="4495" applyFont="1" applyBorder="1"/>
    <xf numFmtId="1" fontId="25" fillId="0" borderId="0" xfId="4495" quotePrefix="1" applyNumberFormat="1" applyFont="1" applyAlignment="1">
      <alignment horizontal="center" vertical="top"/>
    </xf>
    <xf numFmtId="0" fontId="24" fillId="0" borderId="54" xfId="4495" applyFont="1" applyBorder="1" applyAlignment="1">
      <alignment horizontal="center"/>
    </xf>
    <xf numFmtId="0" fontId="33" fillId="0" borderId="0" xfId="4495" applyFont="1" applyAlignment="1">
      <alignment vertical="top"/>
    </xf>
    <xf numFmtId="0" fontId="25" fillId="0" borderId="61" xfId="4495" applyFont="1" applyBorder="1"/>
    <xf numFmtId="0" fontId="120" fillId="0" borderId="58" xfId="4495" applyBorder="1" applyAlignment="1">
      <alignment horizontal="center"/>
    </xf>
    <xf numFmtId="1" fontId="25" fillId="0" borderId="58" xfId="4495" quotePrefix="1" applyNumberFormat="1" applyFont="1" applyBorder="1" applyAlignment="1">
      <alignment horizontal="center" vertical="top"/>
    </xf>
    <xf numFmtId="0" fontId="33" fillId="0" borderId="58" xfId="4495" applyFont="1" applyBorder="1" applyAlignment="1">
      <alignment vertical="top"/>
    </xf>
    <xf numFmtId="0" fontId="25" fillId="0" borderId="58" xfId="4495" applyFont="1" applyBorder="1" applyAlignment="1">
      <alignment vertical="top" wrapText="1"/>
    </xf>
    <xf numFmtId="0" fontId="25" fillId="0" borderId="58" xfId="4495" applyFont="1" applyBorder="1"/>
    <xf numFmtId="0" fontId="24" fillId="0" borderId="58" xfId="4495" applyFont="1" applyBorder="1" applyAlignment="1">
      <alignment horizontal="center"/>
    </xf>
    <xf numFmtId="0" fontId="120" fillId="0" borderId="61" xfId="4495" applyBorder="1"/>
    <xf numFmtId="0" fontId="120" fillId="0" borderId="0" xfId="4495" applyAlignment="1">
      <alignment horizontal="center"/>
    </xf>
    <xf numFmtId="0" fontId="17" fillId="0" borderId="53" xfId="543" applyBorder="1"/>
    <xf numFmtId="0" fontId="25" fillId="0" borderId="54" xfId="4495" applyFont="1" applyBorder="1"/>
    <xf numFmtId="0" fontId="17" fillId="0" borderId="58" xfId="543" applyBorder="1"/>
    <xf numFmtId="1" fontId="25" fillId="0" borderId="58" xfId="4495" applyNumberFormat="1" applyFont="1" applyBorder="1" applyAlignment="1">
      <alignment horizontal="center" vertical="top"/>
    </xf>
    <xf numFmtId="0" fontId="33" fillId="0" borderId="58" xfId="4495" applyFont="1" applyBorder="1" applyAlignment="1">
      <alignment vertical="center"/>
    </xf>
    <xf numFmtId="0" fontId="120" fillId="0" borderId="58" xfId="4495" applyBorder="1" applyAlignment="1">
      <alignment vertical="top" wrapText="1"/>
    </xf>
    <xf numFmtId="0" fontId="17" fillId="0" borderId="58" xfId="4495" applyFont="1" applyBorder="1"/>
    <xf numFmtId="0" fontId="33" fillId="0" borderId="0" xfId="4495" applyFont="1" applyAlignment="1">
      <alignment vertical="center"/>
    </xf>
    <xf numFmtId="0" fontId="25" fillId="0" borderId="53" xfId="4495" applyFont="1" applyBorder="1"/>
    <xf numFmtId="0" fontId="17" fillId="0" borderId="57" xfId="543" applyBorder="1"/>
    <xf numFmtId="0" fontId="25" fillId="0" borderId="58" xfId="4495" applyFont="1" applyBorder="1" applyAlignment="1">
      <alignment vertical="top"/>
    </xf>
    <xf numFmtId="0" fontId="25" fillId="0" borderId="59" xfId="4495" applyFont="1" applyBorder="1"/>
    <xf numFmtId="0" fontId="25" fillId="0" borderId="57" xfId="4495" applyFont="1" applyBorder="1"/>
    <xf numFmtId="0" fontId="17" fillId="0" borderId="51" xfId="4495" applyFont="1" applyBorder="1"/>
    <xf numFmtId="0" fontId="25" fillId="0" borderId="52" xfId="4495" applyFont="1" applyBorder="1"/>
    <xf numFmtId="0" fontId="17" fillId="0" borderId="50" xfId="543" applyBorder="1"/>
    <xf numFmtId="0" fontId="17" fillId="0" borderId="51" xfId="543" applyBorder="1"/>
    <xf numFmtId="0" fontId="17" fillId="0" borderId="52" xfId="543" applyBorder="1"/>
    <xf numFmtId="0" fontId="25" fillId="0" borderId="0" xfId="4495" applyFont="1" applyAlignment="1">
      <alignment wrapText="1"/>
    </xf>
    <xf numFmtId="0" fontId="24" fillId="0" borderId="54" xfId="4495" applyFont="1" applyBorder="1" applyAlignment="1">
      <alignment horizontal="center" vertical="top"/>
    </xf>
    <xf numFmtId="0" fontId="120" fillId="0" borderId="53" xfId="4495" applyBorder="1" applyAlignment="1">
      <alignment horizontal="center"/>
    </xf>
    <xf numFmtId="2" fontId="25" fillId="0" borderId="0" xfId="4495" applyNumberFormat="1" applyFont="1" applyAlignment="1">
      <alignment horizontal="right"/>
    </xf>
    <xf numFmtId="2" fontId="25" fillId="0" borderId="8" xfId="4495" applyNumberFormat="1" applyFont="1" applyBorder="1" applyAlignment="1">
      <alignment horizontal="left"/>
    </xf>
    <xf numFmtId="0" fontId="25" fillId="0" borderId="8" xfId="4495" applyFont="1" applyBorder="1" applyAlignment="1">
      <alignment horizontal="right"/>
    </xf>
    <xf numFmtId="0" fontId="129" fillId="0" borderId="0" xfId="4495" applyFont="1"/>
    <xf numFmtId="0" fontId="120" fillId="0" borderId="57" xfId="4495" applyBorder="1" applyAlignment="1">
      <alignment horizontal="center"/>
    </xf>
    <xf numFmtId="0" fontId="24" fillId="0" borderId="59" xfId="4495" applyFont="1" applyBorder="1" applyAlignment="1">
      <alignment horizontal="center"/>
    </xf>
    <xf numFmtId="9" fontId="25" fillId="0" borderId="0" xfId="4495" applyNumberFormat="1" applyFont="1" applyAlignment="1">
      <alignment horizontal="left"/>
    </xf>
    <xf numFmtId="0" fontId="17" fillId="0" borderId="17" xfId="543" applyBorder="1"/>
    <xf numFmtId="0" fontId="17" fillId="0" borderId="16" xfId="543" applyBorder="1"/>
    <xf numFmtId="0" fontId="17" fillId="0" borderId="51" xfId="4495" quotePrefix="1" applyFont="1" applyBorder="1" applyAlignment="1">
      <alignment horizontal="center" vertical="top"/>
    </xf>
    <xf numFmtId="0" fontId="25" fillId="0" borderId="53" xfId="4495" applyFont="1" applyBorder="1" applyAlignment="1">
      <alignment horizontal="left" vertical="top"/>
    </xf>
    <xf numFmtId="0" fontId="25" fillId="0" borderId="0" xfId="4495" applyFont="1" applyAlignment="1">
      <alignment horizontal="center" vertical="top"/>
    </xf>
    <xf numFmtId="0" fontId="25" fillId="0" borderId="57" xfId="4495" applyFont="1" applyBorder="1" applyAlignment="1">
      <alignment horizontal="left" vertical="top"/>
    </xf>
    <xf numFmtId="0" fontId="25" fillId="0" borderId="58" xfId="4495" applyFont="1" applyBorder="1" applyAlignment="1">
      <alignment horizontal="center" vertical="top"/>
    </xf>
    <xf numFmtId="0" fontId="120" fillId="0" borderId="58" xfId="4495" applyBorder="1"/>
    <xf numFmtId="0" fontId="24" fillId="0" borderId="58" xfId="4495" applyFont="1" applyBorder="1" applyAlignment="1">
      <alignment vertical="top"/>
    </xf>
    <xf numFmtId="0" fontId="24" fillId="0" borderId="58" xfId="4495" applyFont="1" applyBorder="1" applyAlignment="1">
      <alignment horizontal="left" vertical="top"/>
    </xf>
    <xf numFmtId="0" fontId="24" fillId="0" borderId="51" xfId="4495" applyFont="1" applyBorder="1" applyAlignment="1">
      <alignment horizontal="left" vertical="top"/>
    </xf>
    <xf numFmtId="0" fontId="24" fillId="0" borderId="53" xfId="4495" applyFont="1" applyBorder="1" applyAlignment="1">
      <alignment horizontal="left" vertical="top"/>
    </xf>
    <xf numFmtId="0" fontId="53" fillId="0" borderId="0" xfId="4495" applyFont="1" applyAlignment="1">
      <alignment horizontal="left" vertical="top"/>
    </xf>
    <xf numFmtId="0" fontId="25" fillId="0" borderId="0" xfId="4495" quotePrefix="1" applyFont="1" applyAlignment="1">
      <alignment horizontal="center" vertical="top"/>
    </xf>
    <xf numFmtId="0" fontId="54" fillId="0" borderId="0" xfId="4495" applyFont="1" applyAlignment="1">
      <alignment horizontal="center"/>
    </xf>
    <xf numFmtId="0" fontId="54" fillId="0" borderId="0" xfId="4495" applyFont="1" applyAlignment="1">
      <alignment vertical="top"/>
    </xf>
    <xf numFmtId="0" fontId="107" fillId="0" borderId="0" xfId="4495" applyFont="1"/>
    <xf numFmtId="0" fontId="53" fillId="0" borderId="0" xfId="4495" applyFont="1" applyAlignment="1">
      <alignment vertical="top"/>
    </xf>
    <xf numFmtId="0" fontId="33" fillId="0" borderId="53" xfId="4495" applyFont="1" applyBorder="1"/>
    <xf numFmtId="2" fontId="25" fillId="0" borderId="8" xfId="4495" applyNumberFormat="1" applyFont="1" applyBorder="1" applyAlignment="1">
      <alignment horizontal="right"/>
    </xf>
    <xf numFmtId="0" fontId="24" fillId="0" borderId="50" xfId="4495" applyFont="1" applyBorder="1" applyAlignment="1">
      <alignment horizontal="left" vertical="top"/>
    </xf>
    <xf numFmtId="0" fontId="53" fillId="0" borderId="51" xfId="4495" applyFont="1" applyBorder="1" applyAlignment="1">
      <alignment horizontal="left" vertical="top"/>
    </xf>
    <xf numFmtId="0" fontId="120" fillId="0" borderId="53" xfId="4495" applyBorder="1"/>
    <xf numFmtId="0" fontId="107" fillId="0" borderId="0" xfId="4495" applyFont="1" applyAlignment="1">
      <alignment horizontal="left" vertical="top"/>
    </xf>
    <xf numFmtId="1" fontId="24" fillId="0" borderId="58" xfId="4495" applyNumberFormat="1" applyFont="1" applyBorder="1" applyAlignment="1">
      <alignment vertical="top"/>
    </xf>
    <xf numFmtId="172" fontId="24" fillId="0" borderId="8" xfId="543" applyNumberFormat="1" applyFont="1" applyBorder="1"/>
    <xf numFmtId="172" fontId="24" fillId="0" borderId="0" xfId="543" applyNumberFormat="1" applyFont="1"/>
    <xf numFmtId="0" fontId="33" fillId="0" borderId="0" xfId="4495" applyFont="1" applyAlignment="1">
      <alignment wrapText="1"/>
    </xf>
    <xf numFmtId="0" fontId="33" fillId="0" borderId="0" xfId="4495" applyFont="1" applyAlignment="1">
      <alignment horizontal="center"/>
    </xf>
    <xf numFmtId="0" fontId="33" fillId="0" borderId="0" xfId="4495" applyFont="1" applyAlignment="1">
      <alignment vertical="center" wrapText="1"/>
    </xf>
    <xf numFmtId="180" fontId="25" fillId="0" borderId="0" xfId="4495" applyNumberFormat="1" applyFont="1" applyAlignment="1">
      <alignment horizontal="center"/>
    </xf>
    <xf numFmtId="1" fontId="25" fillId="0" borderId="0" xfId="4495" applyNumberFormat="1" applyFont="1" applyAlignment="1">
      <alignment horizontal="center"/>
    </xf>
    <xf numFmtId="0" fontId="24" fillId="0" borderId="51" xfId="4495" applyFont="1" applyBorder="1" applyAlignment="1">
      <alignment horizontal="center"/>
    </xf>
    <xf numFmtId="0" fontId="24" fillId="0" borderId="51" xfId="4495" applyFont="1" applyBorder="1" applyAlignment="1">
      <alignment vertical="top"/>
    </xf>
    <xf numFmtId="0" fontId="24" fillId="0" borderId="53" xfId="4495" applyFont="1" applyBorder="1"/>
    <xf numFmtId="0" fontId="17" fillId="0" borderId="54" xfId="543" applyBorder="1"/>
    <xf numFmtId="49" fontId="25" fillId="0" borderId="0" xfId="4495" applyNumberFormat="1" applyFont="1" applyAlignment="1">
      <alignment horizontal="left" vertical="center" wrapText="1"/>
    </xf>
    <xf numFmtId="0" fontId="17" fillId="0" borderId="57" xfId="4495" applyFont="1" applyBorder="1"/>
    <xf numFmtId="1" fontId="17" fillId="0" borderId="0" xfId="4495" applyNumberFormat="1" applyFont="1" applyAlignment="1">
      <alignment vertical="center"/>
    </xf>
    <xf numFmtId="0" fontId="35" fillId="0" borderId="50" xfId="4495" applyFont="1" applyBorder="1"/>
    <xf numFmtId="0" fontId="25" fillId="0" borderId="51" xfId="4495" applyFont="1" applyBorder="1" applyAlignment="1">
      <alignment horizontal="center" vertical="top"/>
    </xf>
    <xf numFmtId="0" fontId="25" fillId="0" borderId="51" xfId="4495" applyFont="1" applyBorder="1" applyAlignment="1">
      <alignment vertical="top" wrapText="1"/>
    </xf>
    <xf numFmtId="0" fontId="25" fillId="0" borderId="51" xfId="4495" applyFont="1" applyBorder="1" applyAlignment="1">
      <alignment horizontal="left" vertical="top" wrapText="1"/>
    </xf>
    <xf numFmtId="0" fontId="17" fillId="0" borderId="0" xfId="4495" quotePrefix="1" applyFont="1" applyAlignment="1">
      <alignment horizontal="center" vertical="top"/>
    </xf>
    <xf numFmtId="1" fontId="25" fillId="0" borderId="0" xfId="4495" quotePrefix="1" applyNumberFormat="1" applyFont="1" applyAlignment="1">
      <alignment wrapText="1"/>
    </xf>
    <xf numFmtId="0" fontId="25" fillId="0" borderId="6" xfId="4495" applyFont="1" applyBorder="1" applyAlignment="1">
      <alignment horizontal="right"/>
    </xf>
    <xf numFmtId="0" fontId="122" fillId="0" borderId="0" xfId="4496" applyFont="1" applyAlignment="1">
      <alignment wrapText="1"/>
    </xf>
    <xf numFmtId="0" fontId="17" fillId="0" borderId="0" xfId="4496" applyFont="1" applyAlignment="1">
      <alignment wrapText="1"/>
    </xf>
    <xf numFmtId="0" fontId="33" fillId="0" borderId="51" xfId="4495" applyFont="1" applyBorder="1" applyAlignment="1">
      <alignment vertical="top"/>
    </xf>
    <xf numFmtId="0" fontId="17" fillId="0" borderId="51" xfId="4496" applyFont="1" applyBorder="1" applyAlignment="1">
      <alignment wrapText="1"/>
    </xf>
    <xf numFmtId="0" fontId="24" fillId="0" borderId="51" xfId="4495" applyFont="1" applyBorder="1" applyAlignment="1">
      <alignment horizontal="right"/>
    </xf>
    <xf numFmtId="0" fontId="17" fillId="0" borderId="52" xfId="4495" applyFont="1" applyBorder="1" applyAlignment="1">
      <alignment horizontal="center"/>
    </xf>
    <xf numFmtId="0" fontId="17" fillId="0" borderId="53" xfId="4495" applyFont="1" applyBorder="1" applyAlignment="1">
      <alignment horizontal="left" vertical="top"/>
    </xf>
    <xf numFmtId="0" fontId="17" fillId="0" borderId="54" xfId="4495" applyFont="1" applyBorder="1" applyAlignment="1">
      <alignment horizontal="left" vertical="top"/>
    </xf>
    <xf numFmtId="0" fontId="17" fillId="0" borderId="54" xfId="4495" applyFont="1" applyBorder="1" applyAlignment="1">
      <alignment horizontal="center"/>
    </xf>
    <xf numFmtId="0" fontId="17" fillId="0" borderId="59" xfId="4495" applyFont="1" applyBorder="1" applyAlignment="1">
      <alignment horizontal="center"/>
    </xf>
    <xf numFmtId="9" fontId="17" fillId="0" borderId="0" xfId="4496" applyNumberFormat="1" applyFont="1" applyAlignment="1">
      <alignment horizontal="center"/>
    </xf>
    <xf numFmtId="1" fontId="17" fillId="0" borderId="0" xfId="543" applyNumberFormat="1"/>
    <xf numFmtId="0" fontId="25" fillId="0" borderId="1" xfId="4495" applyFont="1" applyBorder="1"/>
    <xf numFmtId="0" fontId="24" fillId="0" borderId="0" xfId="4495" applyFont="1" applyAlignment="1">
      <alignment horizontal="center" wrapText="1"/>
    </xf>
    <xf numFmtId="0" fontId="24" fillId="0" borderId="9" xfId="4495" applyFont="1" applyBorder="1" applyAlignment="1">
      <alignment horizontal="left"/>
    </xf>
    <xf numFmtId="0" fontId="24" fillId="0" borderId="3" xfId="4495" applyFont="1" applyBorder="1" applyAlignment="1">
      <alignment horizontal="left"/>
    </xf>
    <xf numFmtId="0" fontId="24" fillId="0" borderId="4" xfId="4495" applyFont="1" applyBorder="1" applyAlignment="1">
      <alignment horizontal="left"/>
    </xf>
    <xf numFmtId="0" fontId="17" fillId="0" borderId="2" xfId="4495" applyFont="1" applyBorder="1" applyAlignment="1">
      <alignment horizontal="left"/>
    </xf>
    <xf numFmtId="0" fontId="24" fillId="0" borderId="2" xfId="4495" applyFont="1" applyBorder="1" applyAlignment="1">
      <alignment horizontal="left"/>
    </xf>
    <xf numFmtId="0" fontId="24" fillId="0" borderId="5" xfId="4495" applyFont="1" applyBorder="1" applyAlignment="1">
      <alignment horizontal="left"/>
    </xf>
    <xf numFmtId="180" fontId="64" fillId="0" borderId="0" xfId="4495" applyNumberFormat="1" applyFont="1" applyAlignment="1">
      <alignment horizontal="center" vertical="center"/>
    </xf>
    <xf numFmtId="0" fontId="17" fillId="0" borderId="12" xfId="4495" applyFont="1" applyBorder="1" applyAlignment="1">
      <alignment vertical="top"/>
    </xf>
    <xf numFmtId="0" fontId="47" fillId="0" borderId="0" xfId="4495" applyFont="1" applyAlignment="1">
      <alignment vertical="top" wrapText="1"/>
    </xf>
    <xf numFmtId="0" fontId="17" fillId="0" borderId="51" xfId="4495" applyFont="1" applyBorder="1" applyAlignment="1">
      <alignment horizontal="left" vertical="top" wrapText="1"/>
    </xf>
    <xf numFmtId="0" fontId="17" fillId="0" borderId="51" xfId="4495" applyFont="1" applyBorder="1" applyAlignment="1">
      <alignment horizontal="right"/>
    </xf>
    <xf numFmtId="0" fontId="17" fillId="0" borderId="52" xfId="4495" applyFont="1" applyBorder="1" applyAlignment="1">
      <alignment horizontal="right"/>
    </xf>
    <xf numFmtId="0" fontId="17" fillId="0" borderId="54" xfId="4495" applyFont="1" applyBorder="1" applyAlignment="1">
      <alignment horizontal="right"/>
    </xf>
    <xf numFmtId="0" fontId="17" fillId="0" borderId="58" xfId="4495" applyFont="1" applyBorder="1" applyAlignment="1">
      <alignment horizontal="left" vertical="top" wrapText="1"/>
    </xf>
    <xf numFmtId="0" fontId="17" fillId="0" borderId="58" xfId="4495" applyFont="1" applyBorder="1" applyAlignment="1">
      <alignment horizontal="right"/>
    </xf>
    <xf numFmtId="0" fontId="17" fillId="0" borderId="59" xfId="4495" applyFont="1" applyBorder="1" applyAlignment="1">
      <alignment horizontal="right"/>
    </xf>
    <xf numFmtId="0" fontId="47" fillId="0" borderId="0" xfId="4495" applyFont="1" applyAlignment="1">
      <alignment horizontal="left" vertical="top" wrapText="1"/>
    </xf>
    <xf numFmtId="0" fontId="17" fillId="0" borderId="0" xfId="1192" applyAlignment="1">
      <alignment horizontal="left" vertical="top"/>
    </xf>
    <xf numFmtId="0" fontId="35" fillId="0" borderId="0" xfId="1192" applyFont="1" applyAlignment="1">
      <alignment horizontal="left" vertical="top"/>
    </xf>
    <xf numFmtId="0" fontId="17" fillId="0" borderId="0" xfId="1192" applyAlignment="1">
      <alignment vertical="top"/>
    </xf>
    <xf numFmtId="168" fontId="17" fillId="0" borderId="0" xfId="1192" applyNumberFormat="1"/>
    <xf numFmtId="165" fontId="17" fillId="0" borderId="0" xfId="1192" applyNumberFormat="1"/>
    <xf numFmtId="165" fontId="17" fillId="0" borderId="0" xfId="1192" applyNumberFormat="1" applyAlignment="1">
      <alignment horizontal="right"/>
    </xf>
    <xf numFmtId="2" fontId="17" fillId="0" borderId="0" xfId="1192" applyNumberFormat="1"/>
    <xf numFmtId="6" fontId="17" fillId="0" borderId="0" xfId="1192" applyNumberFormat="1"/>
    <xf numFmtId="0" fontId="24" fillId="0" borderId="0" xfId="1192" applyFont="1"/>
    <xf numFmtId="0" fontId="47" fillId="0" borderId="0" xfId="1192" applyFont="1"/>
    <xf numFmtId="168" fontId="17" fillId="0" borderId="0" xfId="4495" applyNumberFormat="1" applyFont="1"/>
    <xf numFmtId="0" fontId="24" fillId="0" borderId="0" xfId="1192" applyFont="1" applyAlignment="1">
      <alignment vertical="center"/>
    </xf>
    <xf numFmtId="0" fontId="118" fillId="0" borderId="0" xfId="1192" applyFont="1" applyAlignment="1">
      <alignment horizontal="left"/>
    </xf>
    <xf numFmtId="0" fontId="115" fillId="0" borderId="0" xfId="1192" applyFont="1" applyAlignment="1">
      <alignment horizontal="left"/>
    </xf>
    <xf numFmtId="0" fontId="115" fillId="0" borderId="0" xfId="1192" applyFont="1" applyAlignment="1">
      <alignment horizontal="center"/>
    </xf>
    <xf numFmtId="168" fontId="17" fillId="0" borderId="0" xfId="1192" applyNumberFormat="1" applyAlignment="1">
      <alignment horizontal="center"/>
    </xf>
    <xf numFmtId="9" fontId="17" fillId="0" borderId="0" xfId="1192" applyNumberFormat="1"/>
    <xf numFmtId="0" fontId="17" fillId="0" borderId="0" xfId="1192" applyAlignment="1">
      <alignment horizontal="right"/>
    </xf>
    <xf numFmtId="0" fontId="17" fillId="0" borderId="53" xfId="4495" applyFont="1" applyBorder="1" applyAlignment="1">
      <alignment horizontal="left"/>
    </xf>
    <xf numFmtId="6" fontId="24" fillId="0" borderId="0" xfId="1192" applyNumberFormat="1" applyFont="1" applyAlignment="1">
      <alignment horizontal="right"/>
    </xf>
    <xf numFmtId="165" fontId="17" fillId="0" borderId="0" xfId="4495" applyNumberFormat="1" applyFont="1"/>
    <xf numFmtId="0" fontId="54" fillId="0" borderId="4" xfId="4495" applyFont="1" applyBorder="1"/>
    <xf numFmtId="0" fontId="37" fillId="0" borderId="0" xfId="543" applyFont="1" applyAlignment="1">
      <alignment vertical="center" wrapText="1"/>
    </xf>
    <xf numFmtId="1" fontId="24" fillId="0" borderId="13" xfId="271" applyNumberFormat="1" applyFont="1" applyBorder="1"/>
    <xf numFmtId="1" fontId="26" fillId="0" borderId="13" xfId="271" applyNumberFormat="1" applyBorder="1"/>
    <xf numFmtId="0" fontId="17" fillId="0" borderId="11" xfId="0" applyFont="1" applyBorder="1"/>
    <xf numFmtId="9" fontId="17" fillId="0" borderId="0" xfId="4495" applyNumberFormat="1" applyFont="1"/>
    <xf numFmtId="165" fontId="122" fillId="0" borderId="0" xfId="4496" applyNumberFormat="1" applyFont="1" applyAlignment="1">
      <alignment horizontal="center" vertical="top" wrapText="1"/>
    </xf>
    <xf numFmtId="168" fontId="122" fillId="0" borderId="0" xfId="4496" applyNumberFormat="1" applyFont="1" applyAlignment="1">
      <alignment vertical="top" wrapText="1"/>
    </xf>
    <xf numFmtId="165" fontId="122" fillId="0" borderId="64" xfId="4496" applyNumberFormat="1" applyFont="1" applyBorder="1" applyAlignment="1">
      <alignment horizontal="center" vertical="top" wrapText="1"/>
    </xf>
    <xf numFmtId="165" fontId="122" fillId="0" borderId="53" xfId="4496" applyNumberFormat="1" applyFont="1" applyBorder="1" applyAlignment="1">
      <alignment horizontal="left" vertical="top"/>
    </xf>
    <xf numFmtId="165" fontId="122" fillId="0" borderId="53" xfId="4496" applyNumberFormat="1" applyFont="1" applyBorder="1" applyAlignment="1">
      <alignment horizontal="center" vertical="top" wrapText="1"/>
    </xf>
    <xf numFmtId="168" fontId="122" fillId="0" borderId="0" xfId="4496" applyNumberFormat="1" applyFont="1" applyAlignment="1">
      <alignment vertical="top"/>
    </xf>
    <xf numFmtId="1" fontId="122" fillId="0" borderId="0" xfId="4496" applyNumberFormat="1" applyFont="1" applyAlignment="1">
      <alignment vertical="top" wrapText="1"/>
    </xf>
    <xf numFmtId="164" fontId="25" fillId="0" borderId="0" xfId="4495" applyNumberFormat="1" applyFont="1"/>
    <xf numFmtId="0" fontId="24" fillId="0" borderId="8" xfId="0" applyFont="1" applyBorder="1" applyAlignment="1">
      <alignment horizontal="center" vertical="center" wrapText="1"/>
    </xf>
    <xf numFmtId="0" fontId="24"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0" fontId="24" fillId="0" borderId="7" xfId="0" applyFont="1" applyBorder="1" applyAlignment="1">
      <alignment horizontal="right"/>
    </xf>
    <xf numFmtId="0" fontId="0" fillId="0" borderId="0" xfId="0" applyAlignment="1" applyProtection="1">
      <alignment horizontal="left" vertical="top" wrapText="1"/>
      <protection locked="0"/>
    </xf>
    <xf numFmtId="0" fontId="17" fillId="0" borderId="9" xfId="0" applyFont="1" applyBorder="1" applyAlignment="1">
      <alignment horizontal="left"/>
    </xf>
    <xf numFmtId="0" fontId="17" fillId="0" borderId="6" xfId="0" applyFont="1" applyBorder="1"/>
    <xf numFmtId="0" fontId="17" fillId="0" borderId="9" xfId="0" applyFont="1" applyBorder="1"/>
    <xf numFmtId="0" fontId="50" fillId="0" borderId="0" xfId="0" applyFont="1" applyAlignment="1">
      <alignment horizontal="center"/>
    </xf>
    <xf numFmtId="0" fontId="23" fillId="0" borderId="0" xfId="0" applyFont="1" applyAlignment="1">
      <alignment horizontal="center" vertical="center" wrapText="1"/>
    </xf>
    <xf numFmtId="0" fontId="32" fillId="0" borderId="0" xfId="0" applyFont="1" applyAlignment="1">
      <alignment horizontal="center"/>
    </xf>
    <xf numFmtId="0" fontId="25" fillId="0" borderId="0" xfId="0" applyFont="1" applyAlignment="1">
      <alignment horizontal="center"/>
    </xf>
    <xf numFmtId="0" fontId="24" fillId="0" borderId="3" xfId="0" applyFont="1" applyBorder="1"/>
    <xf numFmtId="0" fontId="24" fillId="0" borderId="4" xfId="271" applyFont="1" applyBorder="1"/>
    <xf numFmtId="0" fontId="24" fillId="0" borderId="3" xfId="271" applyFont="1" applyBorder="1"/>
    <xf numFmtId="0" fontId="24" fillId="0" borderId="5" xfId="271" applyFont="1" applyBorder="1"/>
    <xf numFmtId="0" fontId="17" fillId="0" borderId="58" xfId="4495" applyFont="1" applyBorder="1" applyAlignment="1">
      <alignment vertical="center" wrapText="1"/>
    </xf>
    <xf numFmtId="0" fontId="17" fillId="0" borderId="59" xfId="4495" applyFont="1" applyBorder="1" applyAlignment="1">
      <alignment vertical="center" wrapText="1"/>
    </xf>
    <xf numFmtId="0" fontId="17" fillId="0" borderId="0" xfId="4495" applyFont="1" applyAlignment="1">
      <alignment horizontal="left" vertical="center" wrapText="1"/>
    </xf>
    <xf numFmtId="0" fontId="24" fillId="0" borderId="5" xfId="0" applyFont="1" applyBorder="1"/>
    <xf numFmtId="168" fontId="22" fillId="43" borderId="0" xfId="0" applyNumberFormat="1" applyFont="1" applyFill="1"/>
    <xf numFmtId="9" fontId="25" fillId="0" borderId="0" xfId="543" applyNumberFormat="1" applyFont="1" applyAlignment="1">
      <alignment horizontal="center"/>
    </xf>
    <xf numFmtId="171" fontId="17" fillId="0" borderId="0" xfId="543" applyNumberFormat="1"/>
    <xf numFmtId="171" fontId="17" fillId="0" borderId="11" xfId="543" applyNumberFormat="1" applyBorder="1"/>
    <xf numFmtId="1" fontId="17" fillId="0" borderId="11" xfId="543" applyNumberFormat="1" applyBorder="1" applyAlignment="1">
      <alignment horizontal="center"/>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37" fillId="0" borderId="12" xfId="543" applyFont="1" applyBorder="1" applyAlignment="1">
      <alignment horizontal="center" vertical="top"/>
    </xf>
    <xf numFmtId="0" fontId="38" fillId="0" borderId="7" xfId="543" applyFont="1" applyBorder="1"/>
    <xf numFmtId="0" fontId="17" fillId="0" borderId="12" xfId="543" quotePrefix="1" applyBorder="1"/>
    <xf numFmtId="0" fontId="53" fillId="0" borderId="2" xfId="569" applyFont="1" applyBorder="1" applyAlignment="1">
      <alignment vertical="top"/>
    </xf>
    <xf numFmtId="0" fontId="27" fillId="0" borderId="0" xfId="4495" applyFont="1"/>
    <xf numFmtId="0" fontId="17" fillId="0" borderId="0" xfId="4495" applyFont="1" applyAlignment="1">
      <alignment vertical="top" wrapText="1" shrinkToFit="1"/>
    </xf>
    <xf numFmtId="0" fontId="146" fillId="0" borderId="0" xfId="4495" applyFont="1"/>
    <xf numFmtId="164" fontId="17" fillId="0" borderId="0" xfId="1192" applyNumberFormat="1" applyAlignment="1">
      <alignment horizontal="right"/>
    </xf>
    <xf numFmtId="164" fontId="17" fillId="0" borderId="0" xfId="4495" applyNumberFormat="1" applyFont="1" applyAlignment="1">
      <alignment horizontal="right"/>
    </xf>
    <xf numFmtId="0" fontId="17" fillId="0" borderId="0" xfId="4495" applyFont="1" applyAlignment="1">
      <alignment horizontal="left" vertical="top" wrapText="1" shrinkToFit="1"/>
    </xf>
    <xf numFmtId="0" fontId="17" fillId="0" borderId="6" xfId="4495" applyFont="1" applyBorder="1" applyAlignment="1">
      <alignment vertical="top" wrapText="1"/>
    </xf>
    <xf numFmtId="0" fontId="146" fillId="0" borderId="4" xfId="4495" applyFont="1" applyBorder="1"/>
    <xf numFmtId="0" fontId="17" fillId="0" borderId="4" xfId="4495" applyFont="1" applyBorder="1" applyAlignment="1">
      <alignment horizontal="left" vertical="top" wrapText="1" shrinkToFit="1"/>
    </xf>
    <xf numFmtId="0" fontId="27" fillId="0" borderId="0" xfId="4495" applyFont="1" applyAlignment="1">
      <alignment horizontal="left" vertical="top"/>
    </xf>
    <xf numFmtId="0" fontId="17" fillId="0" borderId="0" xfId="4495" applyFont="1" applyAlignment="1">
      <alignment vertical="center" wrapText="1" shrinkToFit="1"/>
    </xf>
    <xf numFmtId="0" fontId="17" fillId="0" borderId="0" xfId="4495" applyFont="1" applyAlignment="1">
      <alignment horizontal="left" vertical="top" shrinkToFit="1"/>
    </xf>
    <xf numFmtId="0" fontId="17" fillId="0" borderId="0" xfId="4495" applyFont="1" applyAlignment="1">
      <alignment horizontal="left" vertical="center" shrinkToFit="1"/>
    </xf>
    <xf numFmtId="0" fontId="27" fillId="0" borderId="4" xfId="4495" applyFont="1" applyBorder="1"/>
    <xf numFmtId="0" fontId="17" fillId="0" borderId="4" xfId="4495" applyFont="1" applyBorder="1" applyAlignment="1">
      <alignment horizontal="left" vertical="top" shrinkToFit="1"/>
    </xf>
    <xf numFmtId="0" fontId="17" fillId="0" borderId="0" xfId="4495" applyFont="1" applyAlignment="1">
      <alignment vertical="center"/>
    </xf>
    <xf numFmtId="0" fontId="23" fillId="0" borderId="0" xfId="4495" applyFont="1"/>
    <xf numFmtId="0" fontId="27" fillId="0" borderId="0" xfId="4495" applyFont="1" applyAlignment="1">
      <alignment horizontal="center"/>
    </xf>
    <xf numFmtId="0" fontId="17" fillId="0" borderId="4" xfId="4495" applyFont="1" applyBorder="1" applyAlignment="1">
      <alignment horizontal="left" vertical="top" wrapText="1"/>
    </xf>
    <xf numFmtId="44" fontId="17" fillId="0" borderId="0" xfId="707" applyFont="1" applyFill="1" applyBorder="1" applyAlignment="1" applyProtection="1">
      <alignment horizontal="left" vertical="top" wrapText="1"/>
    </xf>
    <xf numFmtId="44" fontId="17" fillId="0" borderId="4" xfId="707" applyFont="1" applyFill="1" applyBorder="1" applyAlignment="1" applyProtection="1">
      <alignment horizontal="left" vertical="top" wrapText="1"/>
    </xf>
    <xf numFmtId="164" fontId="35" fillId="0" borderId="0" xfId="4495" applyNumberFormat="1" applyFont="1" applyAlignment="1">
      <alignment horizontal="left"/>
    </xf>
    <xf numFmtId="0" fontId="27" fillId="0" borderId="0" xfId="4495" applyFont="1" applyAlignment="1">
      <alignment horizontal="left"/>
    </xf>
    <xf numFmtId="0" fontId="17" fillId="0" borderId="4" xfId="4495" applyFont="1" applyBorder="1" applyAlignment="1">
      <alignment vertical="top" wrapText="1"/>
    </xf>
    <xf numFmtId="0" fontId="27" fillId="0" borderId="4" xfId="4495" applyFont="1" applyBorder="1" applyAlignment="1">
      <alignment horizontal="left" vertical="top"/>
    </xf>
    <xf numFmtId="0" fontId="17" fillId="0" borderId="0" xfId="4495" applyFont="1" applyAlignment="1">
      <alignment horizontal="left" vertical="center" wrapText="1" shrinkToFit="1"/>
    </xf>
    <xf numFmtId="0" fontId="17" fillId="0" borderId="6" xfId="4495" applyFont="1" applyBorder="1" applyAlignment="1">
      <alignment horizontal="left" vertical="top" wrapText="1"/>
    </xf>
    <xf numFmtId="2" fontId="118" fillId="0" borderId="0" xfId="0" applyNumberFormat="1" applyFont="1" applyAlignment="1">
      <alignment horizontal="center"/>
    </xf>
    <xf numFmtId="9" fontId="17" fillId="0" borderId="0" xfId="4494" applyFont="1" applyAlignment="1">
      <alignment horizontal="center"/>
    </xf>
    <xf numFmtId="3" fontId="17" fillId="0" borderId="0" xfId="0" applyNumberFormat="1" applyFont="1"/>
    <xf numFmtId="10" fontId="17" fillId="0" borderId="0" xfId="0" applyNumberFormat="1" applyFont="1" applyAlignment="1">
      <alignment horizontal="center"/>
    </xf>
    <xf numFmtId="168" fontId="17" fillId="0" borderId="0" xfId="0" applyNumberFormat="1" applyFont="1"/>
    <xf numFmtId="172" fontId="17" fillId="0" borderId="11" xfId="0" applyNumberFormat="1" applyFont="1" applyBorder="1" applyAlignment="1">
      <alignment horizontal="center"/>
    </xf>
    <xf numFmtId="168" fontId="17" fillId="5" borderId="0" xfId="0" applyNumberFormat="1" applyFont="1" applyFill="1"/>
    <xf numFmtId="3" fontId="17" fillId="5" borderId="0" xfId="0" applyNumberFormat="1" applyFont="1" applyFill="1"/>
    <xf numFmtId="0" fontId="17" fillId="5" borderId="0" xfId="0" applyFont="1" applyFill="1"/>
    <xf numFmtId="3" fontId="17" fillId="5" borderId="6" xfId="0" applyNumberFormat="1" applyFont="1" applyFill="1" applyBorder="1"/>
    <xf numFmtId="3" fontId="17" fillId="0" borderId="6" xfId="0" applyNumberFormat="1" applyFont="1" applyBorder="1"/>
    <xf numFmtId="168" fontId="17" fillId="0" borderId="0" xfId="0" applyNumberFormat="1" applyFont="1" applyAlignment="1">
      <alignment horizontal="center"/>
    </xf>
    <xf numFmtId="3" fontId="17" fillId="0" borderId="0" xfId="0" applyNumberFormat="1" applyFont="1" applyAlignment="1">
      <alignment horizontal="center"/>
    </xf>
    <xf numFmtId="0" fontId="17" fillId="0" borderId="50" xfId="4495" applyFont="1" applyBorder="1" applyAlignment="1">
      <alignment vertical="center"/>
    </xf>
    <xf numFmtId="0" fontId="17" fillId="0" borderId="51" xfId="4495" applyFont="1" applyBorder="1" applyAlignment="1">
      <alignment vertical="center"/>
    </xf>
    <xf numFmtId="0" fontId="17" fillId="0" borderId="52" xfId="4495" applyFont="1" applyBorder="1" applyAlignment="1">
      <alignment vertical="center"/>
    </xf>
    <xf numFmtId="0" fontId="17" fillId="0" borderId="54" xfId="4495" applyFont="1" applyBorder="1" applyAlignment="1">
      <alignment vertical="center" wrapText="1"/>
    </xf>
    <xf numFmtId="0" fontId="17" fillId="0" borderId="53" xfId="4495" applyFont="1" applyBorder="1" applyAlignment="1">
      <alignment vertical="top" wrapText="1"/>
    </xf>
    <xf numFmtId="0" fontId="17" fillId="0" borderId="58" xfId="0" applyFont="1" applyBorder="1" applyAlignment="1">
      <alignment horizontal="left"/>
    </xf>
    <xf numFmtId="9" fontId="17" fillId="0" borderId="0" xfId="543" applyNumberFormat="1" applyAlignment="1">
      <alignment horizontal="center"/>
    </xf>
    <xf numFmtId="0" fontId="49" fillId="0" borderId="0" xfId="4496" applyFont="1"/>
    <xf numFmtId="168" fontId="53" fillId="5" borderId="11" xfId="0" applyNumberFormat="1" applyFont="1" applyFill="1" applyBorder="1" applyAlignment="1" applyProtection="1">
      <alignment vertical="top" wrapText="1"/>
      <protection locked="0"/>
    </xf>
    <xf numFmtId="0" fontId="17" fillId="0" borderId="0" xfId="0" applyFont="1" applyAlignment="1">
      <alignment horizontal="left" wrapText="1"/>
    </xf>
    <xf numFmtId="4" fontId="35" fillId="0" borderId="0" xfId="0" applyNumberFormat="1" applyFont="1" applyAlignment="1">
      <alignment horizontal="left"/>
    </xf>
    <xf numFmtId="4" fontId="17" fillId="0" borderId="0" xfId="0" applyNumberFormat="1" applyFont="1" applyAlignment="1">
      <alignment horizontal="left" vertical="top" wrapText="1"/>
    </xf>
    <xf numFmtId="0" fontId="24" fillId="0" borderId="4" xfId="0" applyFont="1" applyBorder="1" applyAlignment="1">
      <alignment horizontal="left"/>
    </xf>
    <xf numFmtId="4" fontId="17" fillId="0" borderId="0" xfId="0" applyNumberFormat="1" applyFont="1" applyAlignment="1">
      <alignment horizontal="left"/>
    </xf>
    <xf numFmtId="43" fontId="51" fillId="0" borderId="0" xfId="4503" applyFont="1" applyAlignment="1" applyProtection="1">
      <alignment horizontal="center"/>
    </xf>
    <xf numFmtId="43" fontId="17" fillId="0" borderId="0" xfId="4503" applyFont="1" applyAlignment="1" applyProtection="1">
      <alignment horizontal="center"/>
    </xf>
    <xf numFmtId="43" fontId="17" fillId="0" borderId="0" xfId="4503" applyFont="1" applyProtection="1"/>
    <xf numFmtId="49" fontId="17" fillId="0" borderId="0" xfId="0" applyNumberFormat="1" applyFont="1"/>
    <xf numFmtId="49" fontId="17" fillId="0" borderId="0" xfId="0" applyNumberFormat="1" applyFont="1" applyAlignment="1">
      <alignment horizontal="center"/>
    </xf>
    <xf numFmtId="4" fontId="17" fillId="0" borderId="0" xfId="0" applyNumberFormat="1" applyFont="1" applyAlignment="1">
      <alignment vertical="top" wrapText="1"/>
    </xf>
    <xf numFmtId="0" fontId="17" fillId="0" borderId="0" xfId="0" quotePrefix="1" applyFont="1"/>
    <xf numFmtId="0" fontId="47" fillId="0" borderId="0" xfId="0" applyFont="1" applyAlignment="1">
      <alignment horizontal="left"/>
    </xf>
    <xf numFmtId="0" fontId="17" fillId="0" borderId="4" xfId="0" applyFont="1" applyBorder="1" applyAlignment="1">
      <alignment horizontal="left"/>
    </xf>
    <xf numFmtId="0" fontId="17" fillId="0" borderId="0" xfId="0" quotePrefix="1" applyFont="1" applyAlignment="1">
      <alignment horizontal="left"/>
    </xf>
    <xf numFmtId="0" fontId="17" fillId="0" borderId="0" xfId="0" quotePrefix="1" applyFont="1" applyAlignment="1">
      <alignment horizontal="left" vertical="top"/>
    </xf>
    <xf numFmtId="0" fontId="47" fillId="0" borderId="0" xfId="1192" applyFont="1" applyAlignment="1">
      <alignment horizontal="left"/>
    </xf>
    <xf numFmtId="0" fontId="51" fillId="0" borderId="0" xfId="0" applyFont="1" applyAlignment="1">
      <alignment horizontal="center" vertical="center"/>
    </xf>
    <xf numFmtId="49" fontId="24" fillId="0" borderId="0" xfId="0" applyNumberFormat="1" applyFont="1" applyAlignment="1">
      <alignment horizontal="center" vertical="center"/>
    </xf>
    <xf numFmtId="49" fontId="17" fillId="0" borderId="0" xfId="0" applyNumberFormat="1" applyFont="1" applyAlignment="1">
      <alignment vertical="center"/>
    </xf>
    <xf numFmtId="4" fontId="17" fillId="0" borderId="0" xfId="0" applyNumberFormat="1" applyFont="1" applyAlignment="1">
      <alignment horizontal="center"/>
    </xf>
    <xf numFmtId="4" fontId="17" fillId="0" borderId="0" xfId="0" applyNumberFormat="1" applyFont="1"/>
    <xf numFmtId="10" fontId="17" fillId="0" borderId="0" xfId="4495" applyNumberFormat="1" applyFont="1"/>
    <xf numFmtId="10" fontId="122" fillId="0" borderId="0" xfId="4496" applyNumberFormat="1" applyFont="1" applyAlignment="1">
      <alignment horizontal="center" vertical="top" wrapText="1"/>
    </xf>
    <xf numFmtId="10" fontId="122" fillId="0" borderId="64" xfId="4496" applyNumberFormat="1" applyFont="1" applyBorder="1" applyAlignment="1">
      <alignment horizontal="center" vertical="top" wrapText="1"/>
    </xf>
    <xf numFmtId="10" fontId="122"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7" fillId="0" borderId="0" xfId="1192" quotePrefix="1" applyNumberFormat="1" applyAlignment="1">
      <alignment horizontal="center"/>
    </xf>
    <xf numFmtId="0" fontId="122" fillId="0" borderId="0" xfId="4495" applyFont="1"/>
    <xf numFmtId="10" fontId="122" fillId="0" borderId="0" xfId="4495" applyNumberFormat="1" applyFont="1"/>
    <xf numFmtId="172" fontId="17" fillId="0" borderId="0" xfId="4495" applyNumberFormat="1" applyFont="1"/>
    <xf numFmtId="0" fontId="40" fillId="0" borderId="0" xfId="0" applyFont="1" applyAlignment="1">
      <alignment horizontal="center"/>
    </xf>
    <xf numFmtId="0" fontId="36" fillId="0" borderId="0" xfId="0" applyFont="1" applyAlignment="1">
      <alignment horizontal="left"/>
    </xf>
    <xf numFmtId="0" fontId="0" fillId="0" borderId="10" xfId="0" applyBorder="1" applyAlignment="1">
      <alignment horizontal="left"/>
    </xf>
    <xf numFmtId="1" fontId="17" fillId="0" borderId="0" xfId="1192" applyNumberFormat="1" applyAlignment="1">
      <alignment horizontal="center"/>
    </xf>
    <xf numFmtId="0" fontId="120" fillId="0" borderId="63" xfId="4495" applyBorder="1"/>
    <xf numFmtId="0" fontId="53" fillId="0" borderId="0" xfId="271" applyFont="1" applyAlignment="1">
      <alignment vertical="top"/>
    </xf>
    <xf numFmtId="0" fontId="24" fillId="0" borderId="11" xfId="0" applyFont="1" applyBorder="1" applyAlignment="1">
      <alignment horizontal="right" vertical="top" wrapText="1"/>
    </xf>
    <xf numFmtId="0" fontId="26" fillId="0" borderId="11" xfId="271" applyBorder="1" applyAlignment="1" applyProtection="1">
      <alignment horizontal="right" vertical="top" wrapText="1"/>
      <protection locked="0"/>
    </xf>
    <xf numFmtId="0" fontId="17" fillId="0" borderId="54" xfId="4495" applyFont="1" applyBorder="1" applyAlignment="1">
      <alignment vertical="top"/>
    </xf>
    <xf numFmtId="9" fontId="26" fillId="0" borderId="0" xfId="0" applyNumberFormat="1" applyFont="1"/>
    <xf numFmtId="0" fontId="17" fillId="0" borderId="16" xfId="569" applyBorder="1" applyAlignment="1">
      <alignment horizontal="center"/>
    </xf>
    <xf numFmtId="164" fontId="17" fillId="0" borderId="57" xfId="4495" applyNumberFormat="1" applyFont="1" applyBorder="1" applyAlignment="1">
      <alignment vertical="top" wrapText="1"/>
    </xf>
    <xf numFmtId="164" fontId="17" fillId="0" borderId="58" xfId="4495" applyNumberFormat="1" applyFont="1" applyBorder="1" applyAlignment="1">
      <alignment vertical="top" wrapText="1"/>
    </xf>
    <xf numFmtId="164" fontId="17" fillId="0" borderId="59" xfId="4495" applyNumberFormat="1" applyFont="1" applyBorder="1" applyAlignment="1">
      <alignment vertical="top" wrapText="1"/>
    </xf>
    <xf numFmtId="0" fontId="24" fillId="0" borderId="0" xfId="1192" applyFont="1" applyAlignment="1">
      <alignment horizontal="left" vertical="top" wrapText="1"/>
    </xf>
    <xf numFmtId="0" fontId="17" fillId="0" borderId="16" xfId="569" applyBorder="1"/>
    <xf numFmtId="0" fontId="17" fillId="0" borderId="4" xfId="569" applyBorder="1"/>
    <xf numFmtId="0" fontId="24" fillId="0" borderId="4" xfId="569" applyFont="1" applyBorder="1"/>
    <xf numFmtId="49" fontId="17" fillId="0" borderId="4" xfId="569" applyNumberFormat="1" applyBorder="1"/>
    <xf numFmtId="0" fontId="149" fillId="0" borderId="0" xfId="0" applyFont="1"/>
    <xf numFmtId="0" fontId="17" fillId="0" borderId="0" xfId="0" applyFont="1" applyAlignment="1">
      <alignment horizontal="right"/>
    </xf>
    <xf numFmtId="1" fontId="17" fillId="0" borderId="0" xfId="0" applyNumberFormat="1" applyFont="1" applyAlignment="1">
      <alignment horizontal="center"/>
    </xf>
    <xf numFmtId="0" fontId="24" fillId="0" borderId="0" xfId="0" applyFont="1" applyAlignment="1">
      <alignment horizontal="left" vertical="center"/>
    </xf>
    <xf numFmtId="0" fontId="17" fillId="0" borderId="0" xfId="0" applyFont="1" applyAlignment="1">
      <alignment horizontal="left" vertical="center"/>
    </xf>
    <xf numFmtId="0" fontId="24" fillId="0" borderId="0" xfId="569" applyFont="1" applyAlignment="1">
      <alignment vertical="top"/>
    </xf>
    <xf numFmtId="0" fontId="18" fillId="0" borderId="0" xfId="244" applyAlignment="1"/>
    <xf numFmtId="0" fontId="24" fillId="0" borderId="0" xfId="0" applyFont="1" applyAlignment="1">
      <alignment vertical="top" wrapText="1"/>
    </xf>
    <xf numFmtId="49" fontId="24" fillId="0" borderId="0" xfId="0" applyNumberFormat="1" applyFont="1"/>
    <xf numFmtId="49" fontId="24" fillId="0" borderId="0" xfId="0" applyNumberFormat="1" applyFont="1" applyAlignment="1">
      <alignment vertical="top"/>
    </xf>
    <xf numFmtId="0" fontId="40" fillId="0" borderId="11" xfId="0" applyFont="1" applyBorder="1"/>
    <xf numFmtId="175" fontId="17" fillId="0" borderId="0" xfId="543" applyNumberFormat="1" applyAlignment="1">
      <alignment vertical="center"/>
    </xf>
    <xf numFmtId="0" fontId="98" fillId="43" borderId="6" xfId="4496" applyFont="1" applyFill="1" applyBorder="1" applyAlignment="1" applyProtection="1">
      <alignment horizontal="center"/>
      <protection locked="0"/>
    </xf>
    <xf numFmtId="0" fontId="98" fillId="0" borderId="0" xfId="4496" applyFont="1"/>
    <xf numFmtId="0" fontId="98"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8" fillId="0" borderId="0" xfId="4496" applyNumberFormat="1" applyFont="1" applyAlignment="1">
      <alignment horizontal="center"/>
    </xf>
    <xf numFmtId="182" fontId="98" fillId="0" borderId="6" xfId="4496" applyNumberFormat="1" applyFont="1" applyBorder="1"/>
    <xf numFmtId="0" fontId="98" fillId="0" borderId="0" xfId="4496" applyFont="1" applyAlignment="1">
      <alignment vertical="center"/>
    </xf>
    <xf numFmtId="182" fontId="98" fillId="0" borderId="0" xfId="4496" applyNumberFormat="1" applyFont="1" applyAlignment="1">
      <alignment vertical="center"/>
    </xf>
    <xf numFmtId="175" fontId="98" fillId="0" borderId="0" xfId="4499" applyNumberFormat="1" applyFont="1" applyFill="1" applyBorder="1" applyAlignment="1" applyProtection="1">
      <alignment horizontal="left" vertical="center"/>
    </xf>
    <xf numFmtId="9" fontId="98" fillId="0" borderId="0" xfId="4499" applyFont="1" applyFill="1" applyBorder="1" applyAlignment="1" applyProtection="1">
      <alignment vertical="center"/>
    </xf>
    <xf numFmtId="183" fontId="98" fillId="0" borderId="0" xfId="4496" applyNumberFormat="1" applyFont="1" applyAlignment="1">
      <alignment vertical="center" wrapText="1"/>
    </xf>
    <xf numFmtId="9" fontId="98" fillId="0" borderId="0" xfId="4499" applyFont="1" applyBorder="1" applyAlignment="1" applyProtection="1">
      <alignment vertical="center"/>
    </xf>
    <xf numFmtId="164" fontId="98" fillId="0" borderId="0" xfId="4496" applyNumberFormat="1" applyFont="1" applyAlignment="1">
      <alignment vertical="center" wrapText="1"/>
    </xf>
    <xf numFmtId="0" fontId="98" fillId="0" borderId="0" xfId="4496" applyFont="1" applyAlignment="1">
      <alignment horizontal="center" vertical="center"/>
    </xf>
    <xf numFmtId="182" fontId="98" fillId="0" borderId="11" xfId="8721" applyNumberFormat="1" applyFont="1" applyBorder="1" applyProtection="1"/>
    <xf numFmtId="182" fontId="98" fillId="0" borderId="11" xfId="4496" applyNumberFormat="1" applyFont="1" applyBorder="1"/>
    <xf numFmtId="164" fontId="98" fillId="0" borderId="0" xfId="4496" applyNumberFormat="1" applyFont="1" applyAlignment="1">
      <alignment wrapText="1"/>
    </xf>
    <xf numFmtId="49" fontId="98" fillId="0" borderId="0" xfId="4496" applyNumberFormat="1" applyFont="1" applyAlignment="1">
      <alignment horizontal="left"/>
    </xf>
    <xf numFmtId="0" fontId="140" fillId="0" borderId="0" xfId="4496" applyFont="1"/>
    <xf numFmtId="9" fontId="98" fillId="0" borderId="11" xfId="4494" applyFont="1" applyFill="1" applyBorder="1" applyAlignment="1" applyProtection="1">
      <alignment horizontal="right"/>
    </xf>
    <xf numFmtId="1" fontId="98" fillId="0" borderId="0" xfId="4496" applyNumberFormat="1" applyFont="1"/>
    <xf numFmtId="0" fontId="137" fillId="45" borderId="3" xfId="4496" applyFont="1" applyFill="1" applyBorder="1" applyAlignment="1">
      <alignment horizontal="left" indent="1"/>
    </xf>
    <xf numFmtId="0" fontId="98" fillId="45" borderId="4" xfId="4496" applyFont="1" applyFill="1" applyBorder="1"/>
    <xf numFmtId="2" fontId="98" fillId="45" borderId="5" xfId="4496" applyNumberFormat="1" applyFont="1" applyFill="1" applyBorder="1"/>
    <xf numFmtId="181" fontId="98" fillId="0" borderId="0" xfId="4496" applyNumberFormat="1" applyFont="1"/>
    <xf numFmtId="165" fontId="138" fillId="0" borderId="0" xfId="4499" applyNumberFormat="1" applyFont="1" applyFill="1" applyBorder="1" applyProtection="1"/>
    <xf numFmtId="9" fontId="98" fillId="0" borderId="0" xfId="4494" applyFont="1" applyFill="1" applyProtection="1"/>
    <xf numFmtId="0" fontId="98" fillId="0" borderId="11" xfId="4496" applyFont="1" applyBorder="1" applyAlignment="1">
      <alignment horizontal="center"/>
    </xf>
    <xf numFmtId="2" fontId="98" fillId="0" borderId="11" xfId="4496" applyNumberFormat="1" applyFont="1" applyBorder="1" applyAlignment="1">
      <alignment horizontal="center"/>
    </xf>
    <xf numFmtId="0" fontId="98" fillId="0" borderId="0" xfId="4496" applyFont="1" applyAlignment="1">
      <alignment vertical="top" wrapText="1"/>
    </xf>
    <xf numFmtId="0" fontId="98" fillId="0" borderId="11" xfId="4496" applyFont="1" applyBorder="1" applyAlignment="1">
      <alignment horizontal="center" vertical="top" wrapText="1"/>
    </xf>
    <xf numFmtId="182" fontId="98" fillId="0" borderId="0" xfId="8721" applyNumberFormat="1" applyFont="1" applyBorder="1" applyProtection="1"/>
    <xf numFmtId="0" fontId="98" fillId="0" borderId="0" xfId="4496" applyFont="1" applyAlignment="1">
      <alignment horizontal="left" indent="1"/>
    </xf>
    <xf numFmtId="182" fontId="98" fillId="0" borderId="0" xfId="4496" applyNumberFormat="1" applyFont="1"/>
    <xf numFmtId="184" fontId="98" fillId="0" borderId="0" xfId="4496" applyNumberFormat="1" applyFont="1"/>
    <xf numFmtId="0" fontId="98" fillId="0" borderId="0" xfId="4496" applyFont="1" applyAlignment="1">
      <alignment horizontal="left"/>
    </xf>
    <xf numFmtId="0" fontId="98" fillId="0" borderId="0" xfId="4496" applyFont="1" applyAlignment="1">
      <alignment horizontal="center"/>
    </xf>
    <xf numFmtId="3" fontId="22" fillId="0" borderId="11" xfId="271" applyNumberFormat="1" applyFont="1" applyBorder="1" applyAlignment="1">
      <alignment horizontal="center"/>
    </xf>
    <xf numFmtId="3" fontId="22" fillId="43" borderId="11" xfId="271" applyNumberFormat="1" applyFont="1" applyFill="1" applyBorder="1" applyProtection="1">
      <protection locked="0"/>
    </xf>
    <xf numFmtId="0" fontId="98" fillId="0" borderId="0" xfId="4496" applyFont="1" applyAlignment="1">
      <alignment horizontal="right"/>
    </xf>
    <xf numFmtId="168" fontId="26" fillId="0" borderId="0" xfId="0" applyNumberFormat="1" applyFont="1"/>
    <xf numFmtId="0" fontId="98" fillId="0" borderId="15" xfId="4496" applyFont="1" applyBorder="1" applyAlignment="1">
      <alignment horizontal="center" vertical="top" wrapText="1"/>
    </xf>
    <xf numFmtId="2" fontId="98" fillId="0" borderId="15" xfId="4496" applyNumberFormat="1" applyFont="1" applyBorder="1" applyAlignment="1">
      <alignment horizontal="center"/>
    </xf>
    <xf numFmtId="0" fontId="98"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8" fillId="0" borderId="0" xfId="4499" applyNumberFormat="1" applyFont="1" applyFill="1" applyBorder="1" applyAlignment="1" applyProtection="1">
      <alignment horizontal="right" vertical="center"/>
    </xf>
    <xf numFmtId="5" fontId="98" fillId="0" borderId="6" xfId="4496" applyNumberFormat="1" applyFont="1" applyBorder="1" applyAlignment="1">
      <alignment vertical="center"/>
    </xf>
    <xf numFmtId="0" fontId="98" fillId="0" borderId="66" xfId="4496" applyFont="1" applyBorder="1" applyAlignment="1">
      <alignment vertical="center"/>
    </xf>
    <xf numFmtId="0" fontId="98" fillId="0" borderId="41" xfId="4496" applyFont="1" applyBorder="1" applyAlignment="1">
      <alignment vertical="center"/>
    </xf>
    <xf numFmtId="182" fontId="98" fillId="0" borderId="73" xfId="4496" applyNumberFormat="1" applyFont="1" applyBorder="1" applyAlignment="1">
      <alignment vertical="center"/>
    </xf>
    <xf numFmtId="175" fontId="98" fillId="0" borderId="42" xfId="4499" applyNumberFormat="1" applyFont="1" applyFill="1" applyBorder="1" applyAlignment="1" applyProtection="1">
      <alignment horizontal="left" vertical="center"/>
    </xf>
    <xf numFmtId="0" fontId="98" fillId="0" borderId="42" xfId="4496" applyFont="1" applyBorder="1" applyAlignment="1">
      <alignment vertical="center"/>
    </xf>
    <xf numFmtId="0" fontId="98" fillId="0" borderId="44" xfId="4496" applyFont="1" applyBorder="1" applyAlignment="1">
      <alignment vertical="center"/>
    </xf>
    <xf numFmtId="49" fontId="98" fillId="0" borderId="0" xfId="4496" applyNumberFormat="1" applyFont="1" applyAlignment="1">
      <alignment horizontal="center" vertical="center"/>
    </xf>
    <xf numFmtId="0" fontId="98" fillId="0" borderId="65" xfId="4496" applyFont="1" applyBorder="1" applyAlignment="1">
      <alignment vertical="center"/>
    </xf>
    <xf numFmtId="0" fontId="98" fillId="0" borderId="29" xfId="4496" applyFont="1" applyBorder="1" applyAlignment="1">
      <alignment vertical="center"/>
    </xf>
    <xf numFmtId="0" fontId="98" fillId="0" borderId="29" xfId="4496" applyFont="1" applyBorder="1" applyAlignment="1">
      <alignment horizontal="right" vertical="center"/>
    </xf>
    <xf numFmtId="5" fontId="98" fillId="0" borderId="29" xfId="4496" applyNumberFormat="1" applyFont="1" applyBorder="1" applyAlignment="1">
      <alignment vertical="center"/>
    </xf>
    <xf numFmtId="0" fontId="98"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8" fillId="0" borderId="0" xfId="4496" applyFont="1" applyAlignment="1">
      <alignment horizontal="right" vertical="top" wrapText="1" indent="1"/>
    </xf>
    <xf numFmtId="182" fontId="98" fillId="0" borderId="6" xfId="8721" applyNumberFormat="1" applyFont="1" applyBorder="1" applyAlignment="1" applyProtection="1">
      <alignment horizontal="center"/>
    </xf>
    <xf numFmtId="0" fontId="98" fillId="0" borderId="0" xfId="4496" applyFont="1" applyAlignment="1">
      <alignment horizontal="right" indent="1"/>
    </xf>
    <xf numFmtId="0" fontId="98"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8" fillId="0" borderId="0" xfId="4494" applyNumberFormat="1" applyFont="1" applyBorder="1" applyAlignment="1" applyProtection="1">
      <alignment horizontal="center"/>
    </xf>
    <xf numFmtId="184" fontId="98"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8" fillId="0" borderId="6" xfId="8721" applyNumberFormat="1" applyFont="1" applyBorder="1" applyProtection="1"/>
    <xf numFmtId="184" fontId="98" fillId="0" borderId="0" xfId="4496" applyNumberFormat="1" applyFont="1" applyAlignment="1">
      <alignment horizontal="center"/>
    </xf>
    <xf numFmtId="0" fontId="98" fillId="0" borderId="6" xfId="4496" applyFont="1" applyBorder="1" applyAlignment="1">
      <alignment horizontal="right" vertical="top" wrapText="1" indent="1"/>
    </xf>
    <xf numFmtId="0" fontId="98" fillId="0" borderId="67" xfId="4496" applyFont="1" applyBorder="1" applyAlignment="1">
      <alignment horizontal="right" indent="1"/>
    </xf>
    <xf numFmtId="0" fontId="98" fillId="0" borderId="72" xfId="4496" applyFont="1" applyBorder="1" applyAlignment="1">
      <alignment horizontal="right" indent="1"/>
    </xf>
    <xf numFmtId="0" fontId="98" fillId="0" borderId="72" xfId="4496" quotePrefix="1" applyFont="1" applyBorder="1" applyAlignment="1">
      <alignment horizontal="right" indent="1"/>
    </xf>
    <xf numFmtId="0" fontId="98" fillId="0" borderId="69" xfId="4496" applyFont="1" applyBorder="1" applyAlignment="1">
      <alignment horizontal="right" indent="1"/>
    </xf>
    <xf numFmtId="182" fontId="98" fillId="0" borderId="71" xfId="4496" applyNumberFormat="1" applyFont="1" applyBorder="1"/>
    <xf numFmtId="182" fontId="98" fillId="0" borderId="76" xfId="4496" applyNumberFormat="1" applyFont="1" applyBorder="1"/>
    <xf numFmtId="182" fontId="98" fillId="0" borderId="77" xfId="4496" applyNumberFormat="1" applyFont="1" applyBorder="1"/>
    <xf numFmtId="175" fontId="24" fillId="0" borderId="0" xfId="543" applyNumberFormat="1" applyFont="1" applyAlignment="1">
      <alignment vertical="center"/>
    </xf>
    <xf numFmtId="10" fontId="137" fillId="0" borderId="0" xfId="4494" applyNumberFormat="1" applyFont="1" applyProtection="1"/>
    <xf numFmtId="0" fontId="24" fillId="0" borderId="0" xfId="1192" applyFont="1" applyAlignment="1">
      <alignment horizontal="left" indent="1"/>
    </xf>
    <xf numFmtId="168" fontId="98"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8" fillId="0" borderId="13" xfId="4496" applyNumberFormat="1" applyFont="1" applyBorder="1"/>
    <xf numFmtId="182" fontId="98" fillId="0" borderId="70" xfId="4496" applyNumberFormat="1" applyFont="1" applyBorder="1"/>
    <xf numFmtId="0" fontId="35" fillId="0" borderId="0" xfId="4495" applyFont="1" applyAlignment="1">
      <alignment vertical="center"/>
    </xf>
    <xf numFmtId="0" fontId="122" fillId="0" borderId="0" xfId="4496" applyFont="1" applyAlignment="1">
      <alignment vertical="center" wrapText="1"/>
    </xf>
    <xf numFmtId="0" fontId="22" fillId="43" borderId="0" xfId="1192" applyFont="1" applyFill="1"/>
    <xf numFmtId="3" fontId="68" fillId="43" borderId="6" xfId="1192" applyNumberFormat="1" applyFont="1" applyFill="1" applyBorder="1"/>
    <xf numFmtId="0" fontId="153" fillId="0" borderId="0" xfId="0" applyFont="1"/>
    <xf numFmtId="0" fontId="22"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3" fillId="5" borderId="11" xfId="0" applyFont="1" applyFill="1" applyBorder="1" applyAlignment="1" applyProtection="1">
      <alignment horizontal="right" vertical="top" wrapText="1"/>
      <protection locked="0"/>
    </xf>
    <xf numFmtId="0" fontId="17" fillId="43" borderId="3" xfId="569" applyFill="1" applyBorder="1"/>
    <xf numFmtId="0" fontId="158" fillId="0" borderId="0" xfId="0" applyFont="1" applyAlignment="1">
      <alignment horizontal="right"/>
    </xf>
    <xf numFmtId="1" fontId="25" fillId="0" borderId="0" xfId="4495" applyNumberFormat="1" applyFont="1"/>
    <xf numFmtId="0" fontId="24" fillId="0" borderId="4" xfId="569" applyFont="1" applyBorder="1" applyAlignment="1">
      <alignment horizontal="center"/>
    </xf>
    <xf numFmtId="43" fontId="24" fillId="0" borderId="0" xfId="4503" applyFont="1" applyAlignment="1" applyProtection="1">
      <alignment horizontal="center"/>
    </xf>
    <xf numFmtId="0" fontId="24" fillId="0" borderId="0" xfId="569" applyFont="1" applyAlignment="1">
      <alignment horizontal="center" vertical="center"/>
    </xf>
    <xf numFmtId="0" fontId="24" fillId="0" borderId="16" xfId="569" applyFont="1" applyBorder="1" applyAlignment="1">
      <alignment horizontal="center"/>
    </xf>
    <xf numFmtId="49" fontId="24" fillId="0" borderId="4" xfId="569" applyNumberFormat="1" applyFont="1" applyBorder="1" applyAlignment="1">
      <alignment horizontal="center"/>
    </xf>
    <xf numFmtId="4" fontId="24" fillId="0" borderId="0" xfId="569" applyNumberFormat="1" applyFont="1" applyAlignment="1">
      <alignment horizontal="center"/>
    </xf>
    <xf numFmtId="0" fontId="17" fillId="0" borderId="0" xfId="569" applyAlignment="1">
      <alignment horizontal="center" wrapText="1"/>
    </xf>
    <xf numFmtId="0" fontId="98" fillId="0" borderId="6" xfId="4496" applyFont="1" applyBorder="1" applyAlignment="1">
      <alignment horizontal="left" vertical="top"/>
    </xf>
    <xf numFmtId="0" fontId="17" fillId="0" borderId="0" xfId="0" applyFont="1" applyAlignment="1">
      <alignment vertical="center" wrapText="1"/>
    </xf>
    <xf numFmtId="3" fontId="22" fillId="43" borderId="11" xfId="271" applyNumberFormat="1" applyFont="1" applyFill="1" applyBorder="1" applyAlignment="1" applyProtection="1">
      <alignment horizontal="left"/>
      <protection locked="0"/>
    </xf>
    <xf numFmtId="0" fontId="98" fillId="43" borderId="6" xfId="4496" applyFont="1" applyFill="1" applyBorder="1" applyProtection="1">
      <protection locked="0"/>
    </xf>
    <xf numFmtId="1" fontId="98" fillId="0" borderId="0" xfId="4496" applyNumberFormat="1" applyFont="1" applyProtection="1">
      <protection locked="0"/>
    </xf>
    <xf numFmtId="182" fontId="163" fillId="0" borderId="11" xfId="4496" applyNumberFormat="1" applyFont="1" applyBorder="1"/>
    <xf numFmtId="44" fontId="98" fillId="0" borderId="0" xfId="4496" applyNumberFormat="1" applyFont="1"/>
    <xf numFmtId="182" fontId="22" fillId="0" borderId="11" xfId="4496" applyNumberFormat="1" applyFont="1" applyBorder="1"/>
    <xf numFmtId="9" fontId="98" fillId="0" borderId="0" xfId="4494" applyFont="1"/>
    <xf numFmtId="182" fontId="98" fillId="43" borderId="6" xfId="8721" applyNumberFormat="1" applyFont="1" applyFill="1" applyBorder="1" applyProtection="1">
      <protection locked="0"/>
    </xf>
    <xf numFmtId="0" fontId="17" fillId="0" borderId="0" xfId="4495" applyFont="1" applyAlignment="1">
      <alignment wrapText="1"/>
    </xf>
    <xf numFmtId="168" fontId="175" fillId="48" borderId="79" xfId="700" applyNumberFormat="1" applyFont="1" applyFill="1" applyBorder="1" applyAlignment="1" applyProtection="1">
      <protection locked="0"/>
    </xf>
    <xf numFmtId="3" fontId="45"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4" fillId="0" borderId="0" xfId="4495" applyFont="1" applyAlignment="1">
      <alignment wrapText="1"/>
    </xf>
    <xf numFmtId="182" fontId="17" fillId="0" borderId="0" xfId="700" applyNumberFormat="1" applyFont="1"/>
    <xf numFmtId="9" fontId="17" fillId="0" borderId="0" xfId="1022" applyFont="1"/>
    <xf numFmtId="168" fontId="17"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2" fillId="0" borderId="0" xfId="8733"/>
    <xf numFmtId="0" fontId="103" fillId="0" borderId="0" xfId="8733" applyFont="1"/>
    <xf numFmtId="0" fontId="2" fillId="47" borderId="66" xfId="8733" applyFill="1" applyBorder="1"/>
    <xf numFmtId="0" fontId="2" fillId="47" borderId="0" xfId="8733" applyFill="1"/>
    <xf numFmtId="0" fontId="102" fillId="47" borderId="41" xfId="8733" applyFont="1" applyFill="1" applyBorder="1" applyAlignment="1">
      <alignment horizontal="center"/>
    </xf>
    <xf numFmtId="0" fontId="102" fillId="47" borderId="0" xfId="8733" applyFont="1" applyFill="1"/>
    <xf numFmtId="182" fontId="174" fillId="47" borderId="0" xfId="8734" applyNumberFormat="1" applyFont="1" applyFill="1" applyBorder="1" applyAlignment="1"/>
    <xf numFmtId="0" fontId="2" fillId="47" borderId="41" xfId="8733" applyFill="1" applyBorder="1"/>
    <xf numFmtId="0" fontId="103" fillId="47" borderId="0" xfId="8733" applyFont="1" applyFill="1"/>
    <xf numFmtId="0" fontId="178" fillId="47" borderId="0" xfId="8733" applyFont="1" applyFill="1"/>
    <xf numFmtId="0" fontId="102" fillId="47" borderId="41" xfId="8733" applyFont="1" applyFill="1" applyBorder="1"/>
    <xf numFmtId="0" fontId="102" fillId="0" borderId="0" xfId="8733" applyFont="1"/>
    <xf numFmtId="0" fontId="102" fillId="54" borderId="100" xfId="8733" applyFont="1" applyFill="1" applyBorder="1"/>
    <xf numFmtId="0" fontId="2" fillId="53" borderId="99" xfId="8733" applyFill="1" applyBorder="1"/>
    <xf numFmtId="0" fontId="2" fillId="52" borderId="99" xfId="8733" applyFill="1" applyBorder="1"/>
    <xf numFmtId="0" fontId="102" fillId="45" borderId="65" xfId="8733" applyFont="1" applyFill="1" applyBorder="1"/>
    <xf numFmtId="0" fontId="2" fillId="45" borderId="80" xfId="8733" applyFill="1" applyBorder="1"/>
    <xf numFmtId="0" fontId="2" fillId="45" borderId="79" xfId="8733" applyFill="1" applyBorder="1"/>
    <xf numFmtId="0" fontId="2" fillId="45" borderId="78" xfId="8733" applyFill="1" applyBorder="1"/>
    <xf numFmtId="0" fontId="102" fillId="45" borderId="0" xfId="8733" applyFont="1" applyFill="1"/>
    <xf numFmtId="0" fontId="102" fillId="45" borderId="12" xfId="8733" applyFont="1" applyFill="1" applyBorder="1"/>
    <xf numFmtId="0" fontId="102" fillId="45" borderId="29" xfId="8733" applyFont="1" applyFill="1" applyBorder="1"/>
    <xf numFmtId="0" fontId="102" fillId="45" borderId="80" xfId="8733" applyFont="1" applyFill="1" applyBorder="1"/>
    <xf numFmtId="0" fontId="102" fillId="45" borderId="79" xfId="8733" applyFont="1" applyFill="1" applyBorder="1"/>
    <xf numFmtId="0" fontId="102" fillId="45" borderId="78" xfId="8733" applyFont="1" applyFill="1" applyBorder="1"/>
    <xf numFmtId="0" fontId="102" fillId="45" borderId="93" xfId="8733" applyFont="1" applyFill="1" applyBorder="1"/>
    <xf numFmtId="0" fontId="102" fillId="45" borderId="6" xfId="8733" applyFont="1" applyFill="1" applyBorder="1"/>
    <xf numFmtId="0" fontId="102" fillId="45" borderId="10" xfId="8733" applyFont="1" applyFill="1" applyBorder="1"/>
    <xf numFmtId="0" fontId="2" fillId="45" borderId="29" xfId="8733" applyFill="1" applyBorder="1"/>
    <xf numFmtId="0" fontId="2" fillId="45" borderId="31" xfId="8733" applyFill="1" applyBorder="1"/>
    <xf numFmtId="0" fontId="102" fillId="45" borderId="92" xfId="8733" applyFont="1" applyFill="1" applyBorder="1"/>
    <xf numFmtId="0" fontId="102" fillId="45" borderId="74" xfId="8733" applyFont="1" applyFill="1" applyBorder="1"/>
    <xf numFmtId="0" fontId="173" fillId="45" borderId="87" xfId="8733" applyFont="1" applyFill="1" applyBorder="1"/>
    <xf numFmtId="0" fontId="2" fillId="45" borderId="87" xfId="8733" applyFill="1" applyBorder="1"/>
    <xf numFmtId="0" fontId="2" fillId="45" borderId="86" xfId="8733" applyFill="1" applyBorder="1"/>
    <xf numFmtId="0" fontId="2" fillId="45" borderId="95" xfId="8733" applyFill="1" applyBorder="1"/>
    <xf numFmtId="0" fontId="180" fillId="47" borderId="0" xfId="8733" applyFont="1" applyFill="1"/>
    <xf numFmtId="0" fontId="102" fillId="45" borderId="31" xfId="8733" applyFont="1" applyFill="1" applyBorder="1"/>
    <xf numFmtId="0" fontId="2" fillId="47" borderId="0" xfId="8733" applyFill="1" applyAlignment="1">
      <alignment horizontal="left"/>
    </xf>
    <xf numFmtId="0" fontId="172" fillId="51" borderId="11" xfId="8733" applyFont="1" applyFill="1" applyBorder="1"/>
    <xf numFmtId="0" fontId="172" fillId="51" borderId="76" xfId="8733" applyFont="1" applyFill="1" applyBorder="1"/>
    <xf numFmtId="0" fontId="173" fillId="51" borderId="11" xfId="8733" applyFont="1" applyFill="1" applyBorder="1" applyAlignment="1">
      <alignment horizontal="center"/>
    </xf>
    <xf numFmtId="0" fontId="173" fillId="51" borderId="76" xfId="8733" applyFont="1" applyFill="1" applyBorder="1" applyAlignment="1">
      <alignment horizontal="center"/>
    </xf>
    <xf numFmtId="0" fontId="2" fillId="48" borderId="66" xfId="8733" applyFill="1" applyBorder="1"/>
    <xf numFmtId="0" fontId="2" fillId="48" borderId="0" xfId="8733" applyFill="1"/>
    <xf numFmtId="0" fontId="2" fillId="48" borderId="78" xfId="8733" applyFill="1" applyBorder="1"/>
    <xf numFmtId="0" fontId="102" fillId="47" borderId="66" xfId="8733" applyFont="1" applyFill="1" applyBorder="1"/>
    <xf numFmtId="49" fontId="102" fillId="47" borderId="66" xfId="8733" applyNumberFormat="1" applyFont="1" applyFill="1" applyBorder="1" applyAlignment="1">
      <alignment horizontal="right" vertical="top"/>
    </xf>
    <xf numFmtId="0" fontId="2" fillId="47" borderId="73" xfId="8733" applyFill="1" applyBorder="1"/>
    <xf numFmtId="0" fontId="2" fillId="47" borderId="42" xfId="8733" applyFill="1" applyBorder="1"/>
    <xf numFmtId="0" fontId="2" fillId="47" borderId="44" xfId="8733" applyFill="1" applyBorder="1"/>
    <xf numFmtId="0" fontId="2" fillId="44" borderId="66" xfId="8733" applyFill="1" applyBorder="1"/>
    <xf numFmtId="0" fontId="2" fillId="44" borderId="0" xfId="8733" applyFill="1"/>
    <xf numFmtId="0" fontId="2" fillId="44" borderId="41" xfId="8733" applyFill="1" applyBorder="1"/>
    <xf numFmtId="0" fontId="2" fillId="44" borderId="0" xfId="8733" applyFill="1" applyAlignment="1">
      <alignment horizontal="left"/>
    </xf>
    <xf numFmtId="0" fontId="2" fillId="44" borderId="73" xfId="8733" applyFill="1" applyBorder="1"/>
    <xf numFmtId="0" fontId="2" fillId="44" borderId="42" xfId="8733" applyFill="1" applyBorder="1"/>
    <xf numFmtId="0" fontId="2" fillId="44" borderId="44" xfId="8733" applyFill="1" applyBorder="1"/>
    <xf numFmtId="0" fontId="164" fillId="0" borderId="0" xfId="8733" applyFont="1"/>
    <xf numFmtId="168" fontId="0" fillId="0" borderId="0" xfId="0" applyNumberFormat="1"/>
    <xf numFmtId="0" fontId="122" fillId="52" borderId="113" xfId="0" applyFont="1" applyFill="1" applyBorder="1"/>
    <xf numFmtId="0" fontId="122" fillId="53" borderId="113" xfId="0" applyFont="1" applyFill="1" applyBorder="1"/>
    <xf numFmtId="1" fontId="0" fillId="0" borderId="0" xfId="0" applyNumberFormat="1"/>
    <xf numFmtId="0" fontId="18"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8" fillId="0" borderId="0" xfId="244" applyAlignment="1">
      <alignment horizontal="left" vertical="top"/>
    </xf>
    <xf numFmtId="9" fontId="17" fillId="0" borderId="0" xfId="0" applyNumberFormat="1" applyFont="1"/>
    <xf numFmtId="0" fontId="169" fillId="0" borderId="0" xfId="8733" applyFont="1"/>
    <xf numFmtId="0" fontId="166" fillId="0" borderId="0" xfId="8733" applyFont="1"/>
    <xf numFmtId="185" fontId="169" fillId="0" borderId="0" xfId="698" applyNumberFormat="1" applyFont="1"/>
    <xf numFmtId="10" fontId="169" fillId="0" borderId="0" xfId="1022" applyNumberFormat="1" applyFont="1"/>
    <xf numFmtId="0" fontId="17" fillId="0" borderId="0" xfId="0" applyFont="1" applyAlignment="1">
      <alignment horizontal="left" vertical="top" wrapText="1"/>
    </xf>
    <xf numFmtId="0" fontId="18" fillId="0" borderId="0" xfId="244"/>
    <xf numFmtId="0" fontId="0" fillId="0" borderId="0" xfId="0"/>
    <xf numFmtId="0" fontId="17" fillId="0" borderId="0" xfId="1192" applyAlignment="1">
      <alignment horizontal="left" vertical="top" wrapText="1"/>
    </xf>
    <xf numFmtId="0" fontId="24" fillId="0" borderId="0" xfId="0" applyFont="1" applyAlignment="1">
      <alignment horizontal="left" vertical="top" wrapText="1"/>
    </xf>
    <xf numFmtId="0" fontId="46" fillId="0" borderId="0" xfId="0" applyFont="1" applyAlignment="1">
      <alignment horizontal="left" vertical="top" wrapText="1"/>
    </xf>
    <xf numFmtId="0" fontId="17" fillId="0" borderId="0" xfId="0" applyFont="1" applyAlignment="1">
      <alignment horizontal="left" wrapText="1"/>
    </xf>
    <xf numFmtId="0" fontId="18" fillId="0" borderId="0" xfId="244" applyAlignment="1" applyProtection="1">
      <alignment horizontal="left"/>
    </xf>
    <xf numFmtId="0" fontId="113" fillId="0" borderId="0" xfId="0" applyFont="1" applyAlignment="1">
      <alignment horizontal="left" wrapText="1"/>
    </xf>
    <xf numFmtId="0" fontId="26" fillId="0" borderId="0" xfId="0" applyFont="1" applyAlignment="1">
      <alignment horizontal="left" wrapText="1"/>
    </xf>
    <xf numFmtId="0" fontId="23" fillId="3" borderId="0" xfId="0" applyFont="1" applyFill="1" applyAlignment="1">
      <alignment horizontal="center" vertical="center" wrapText="1"/>
    </xf>
    <xf numFmtId="0" fontId="23" fillId="3" borderId="16" xfId="0" applyFont="1" applyFill="1" applyBorder="1" applyAlignment="1">
      <alignment horizontal="center" vertical="center" wrapText="1"/>
    </xf>
    <xf numFmtId="0" fontId="105" fillId="0" borderId="0" xfId="0" applyFont="1" applyAlignment="1">
      <alignment horizontal="left" vertical="top" wrapText="1"/>
    </xf>
    <xf numFmtId="0" fontId="18" fillId="0" borderId="0" xfId="244" applyAlignment="1">
      <alignment horizontal="left" vertical="top"/>
    </xf>
    <xf numFmtId="0" fontId="114" fillId="0" borderId="0" xfId="569" applyFont="1" applyAlignment="1">
      <alignment horizontal="center"/>
    </xf>
    <xf numFmtId="0" fontId="115" fillId="0" borderId="0" xfId="569" applyFont="1"/>
    <xf numFmtId="0" fontId="17" fillId="0" borderId="0" xfId="569" applyAlignment="1">
      <alignment wrapText="1"/>
    </xf>
    <xf numFmtId="0" fontId="24" fillId="0" borderId="0" xfId="569" applyFont="1" applyAlignment="1">
      <alignment wrapText="1"/>
    </xf>
    <xf numFmtId="0" fontId="32" fillId="0" borderId="0" xfId="569" applyFont="1" applyAlignment="1">
      <alignment horizontal="center"/>
    </xf>
    <xf numFmtId="0" fontId="17" fillId="0" borderId="0" xfId="569"/>
    <xf numFmtId="0" fontId="17" fillId="0" borderId="0" xfId="1192" applyAlignment="1">
      <alignment vertical="top" wrapText="1"/>
    </xf>
    <xf numFmtId="0" fontId="35" fillId="0" borderId="0" xfId="569" applyFont="1" applyAlignment="1">
      <alignment horizontal="center"/>
    </xf>
    <xf numFmtId="0" fontId="24" fillId="0" borderId="0" xfId="569" applyFont="1" applyAlignment="1">
      <alignment horizontal="center"/>
    </xf>
    <xf numFmtId="0" fontId="17" fillId="0" borderId="0" xfId="569" applyAlignment="1">
      <alignment horizontal="left" vertical="top" wrapText="1"/>
    </xf>
    <xf numFmtId="0" fontId="17" fillId="0" borderId="0" xfId="569" applyAlignment="1">
      <alignment horizontal="left"/>
    </xf>
    <xf numFmtId="0" fontId="35" fillId="0" borderId="0" xfId="569" applyFont="1" applyAlignment="1">
      <alignment horizontal="left" vertical="top" wrapText="1"/>
    </xf>
    <xf numFmtId="0" fontId="24" fillId="0" borderId="4" xfId="569" applyFont="1" applyBorder="1" applyAlignment="1">
      <alignment horizontal="left"/>
    </xf>
    <xf numFmtId="4" fontId="17" fillId="0" borderId="0" xfId="1192" applyNumberFormat="1" applyAlignment="1">
      <alignment horizontal="left" vertical="top" wrapText="1"/>
    </xf>
    <xf numFmtId="49" fontId="17" fillId="0" borderId="0" xfId="0" applyNumberFormat="1" applyFont="1" applyAlignment="1">
      <alignment horizontal="left" vertical="top" wrapText="1"/>
    </xf>
    <xf numFmtId="0" fontId="17" fillId="0" borderId="0" xfId="569" applyAlignment="1">
      <alignment horizontal="left" vertical="top"/>
    </xf>
    <xf numFmtId="0" fontId="24" fillId="0" borderId="4" xfId="569" applyFont="1" applyBorder="1" applyAlignment="1">
      <alignment horizontal="left" vertical="top"/>
    </xf>
    <xf numFmtId="0" fontId="35" fillId="0" borderId="0" xfId="569" applyFont="1" applyAlignment="1">
      <alignment horizontal="left"/>
    </xf>
    <xf numFmtId="4" fontId="17" fillId="0" borderId="0" xfId="569" applyNumberFormat="1" applyAlignment="1">
      <alignment horizontal="left"/>
    </xf>
    <xf numFmtId="0" fontId="17" fillId="0" borderId="0" xfId="1192" applyAlignment="1" applyProtection="1">
      <alignment horizontal="left" vertical="top" wrapText="1"/>
      <protection locked="0"/>
    </xf>
    <xf numFmtId="0" fontId="17" fillId="0" borderId="27" xfId="569" applyBorder="1" applyAlignment="1">
      <alignment horizontal="left"/>
    </xf>
    <xf numFmtId="0" fontId="17" fillId="0" borderId="0" xfId="1192" applyAlignment="1">
      <alignment horizontal="left"/>
    </xf>
    <xf numFmtId="0" fontId="24" fillId="0" borderId="16" xfId="569" applyFont="1" applyBorder="1" applyAlignment="1">
      <alignment horizontal="left"/>
    </xf>
    <xf numFmtId="0" fontId="18" fillId="0" borderId="0" xfId="244" applyAlignment="1" applyProtection="1">
      <alignment horizontal="left" vertical="top" wrapText="1"/>
    </xf>
    <xf numFmtId="0" fontId="24" fillId="0" borderId="0" xfId="569" applyFont="1" applyAlignment="1">
      <alignment horizontal="left"/>
    </xf>
    <xf numFmtId="0" fontId="35" fillId="0" borderId="0" xfId="1192" applyFont="1" applyAlignment="1">
      <alignment horizontal="left"/>
    </xf>
    <xf numFmtId="0" fontId="17" fillId="0" borderId="0" xfId="0" applyFont="1" applyAlignment="1">
      <alignment horizontal="left"/>
    </xf>
    <xf numFmtId="0" fontId="17" fillId="0" borderId="0" xfId="0" applyFont="1" applyAlignment="1">
      <alignment horizontal="left" vertical="top"/>
    </xf>
    <xf numFmtId="0" fontId="24" fillId="0" borderId="0" xfId="0" applyFont="1" applyAlignment="1">
      <alignment horizontal="left" vertical="top"/>
    </xf>
    <xf numFmtId="49" fontId="17" fillId="0" borderId="0" xfId="1192" applyNumberFormat="1" applyAlignment="1">
      <alignment horizontal="left" vertical="top" wrapText="1"/>
    </xf>
    <xf numFmtId="0" fontId="18" fillId="0" borderId="0" xfId="244" applyNumberFormat="1" applyFill="1" applyAlignment="1" applyProtection="1">
      <alignment horizontal="left"/>
    </xf>
    <xf numFmtId="0" fontId="35" fillId="0" borderId="0" xfId="569" applyFont="1" applyAlignment="1">
      <alignment horizontal="left" wrapText="1"/>
    </xf>
    <xf numFmtId="0" fontId="35" fillId="0" borderId="0" xfId="569" applyFont="1" applyAlignment="1">
      <alignment horizontal="center" wrapText="1"/>
    </xf>
    <xf numFmtId="0" fontId="17" fillId="0" borderId="0" xfId="569" applyAlignment="1">
      <alignment horizontal="left" vertical="center" wrapText="1"/>
    </xf>
    <xf numFmtId="4" fontId="17" fillId="0" borderId="0" xfId="569" applyNumberFormat="1" applyAlignment="1">
      <alignment horizontal="left" vertical="top" wrapText="1"/>
    </xf>
    <xf numFmtId="0" fontId="24" fillId="0" borderId="4" xfId="0" applyFont="1" applyBorder="1" applyAlignment="1">
      <alignment horizontal="left"/>
    </xf>
    <xf numFmtId="0" fontId="0" fillId="0" borderId="0" xfId="0" applyAlignment="1">
      <alignment horizontal="left" vertical="top" wrapText="1"/>
    </xf>
    <xf numFmtId="0" fontId="35" fillId="0" borderId="0" xfId="1192" applyFont="1" applyAlignment="1">
      <alignment horizontal="left" vertical="top" wrapText="1"/>
    </xf>
    <xf numFmtId="0" fontId="17" fillId="0" borderId="0" xfId="569" applyAlignment="1">
      <alignment vertical="top" wrapText="1"/>
    </xf>
    <xf numFmtId="0" fontId="35" fillId="0" borderId="0" xfId="0" applyFont="1" applyAlignment="1">
      <alignment horizontal="left" vertical="top" wrapText="1"/>
    </xf>
    <xf numFmtId="4" fontId="35" fillId="0" borderId="0" xfId="0" applyNumberFormat="1" applyFont="1" applyAlignment="1">
      <alignment horizontal="left" vertical="top" wrapText="1"/>
    </xf>
    <xf numFmtId="0" fontId="24" fillId="0" borderId="4" xfId="0" applyFont="1" applyBorder="1" applyAlignment="1">
      <alignment horizontal="left" vertical="top"/>
    </xf>
    <xf numFmtId="4" fontId="17" fillId="0" borderId="0" xfId="0" applyNumberFormat="1" applyFont="1" applyAlignment="1">
      <alignment horizontal="left" vertical="top" wrapText="1"/>
    </xf>
    <xf numFmtId="0" fontId="17" fillId="0" borderId="0" xfId="0" quotePrefix="1" applyFont="1" applyAlignment="1">
      <alignment horizontal="left" vertical="top"/>
    </xf>
    <xf numFmtId="0" fontId="17" fillId="0" borderId="0" xfId="0" quotePrefix="1" applyFont="1" applyAlignment="1">
      <alignment horizontal="left" vertical="top" wrapText="1"/>
    </xf>
    <xf numFmtId="0" fontId="24" fillId="0" borderId="0" xfId="1192" applyFont="1" applyAlignment="1">
      <alignment horizontal="left" vertical="top" wrapText="1"/>
    </xf>
    <xf numFmtId="4" fontId="35" fillId="0" borderId="0" xfId="569" applyNumberFormat="1" applyFont="1" applyAlignment="1">
      <alignment horizontal="left" vertical="top" wrapText="1"/>
    </xf>
    <xf numFmtId="0" fontId="18" fillId="0" borderId="0" xfId="244" quotePrefix="1" applyAlignment="1" applyProtection="1">
      <alignment horizontal="left"/>
    </xf>
    <xf numFmtId="0" fontId="35" fillId="0" borderId="0" xfId="0" applyFont="1" applyAlignment="1">
      <alignment horizontal="left"/>
    </xf>
    <xf numFmtId="4" fontId="17" fillId="0" borderId="0" xfId="0" applyNumberFormat="1" applyFont="1" applyAlignment="1">
      <alignment horizontal="left"/>
    </xf>
    <xf numFmtId="0" fontId="24" fillId="0" borderId="0" xfId="0" applyFont="1" applyAlignment="1">
      <alignment vertical="top" wrapText="1"/>
    </xf>
    <xf numFmtId="4" fontId="35" fillId="0" borderId="0" xfId="0" applyNumberFormat="1" applyFont="1" applyAlignment="1">
      <alignment horizontal="left"/>
    </xf>
    <xf numFmtId="0" fontId="17" fillId="0" borderId="0" xfId="0" applyFont="1" applyAlignment="1">
      <alignment horizontal="left" vertical="center" wrapText="1"/>
    </xf>
    <xf numFmtId="0" fontId="17" fillId="0" borderId="0" xfId="569" applyAlignment="1">
      <alignment horizontal="left" wrapText="1"/>
    </xf>
    <xf numFmtId="0" fontId="17" fillId="0" borderId="0" xfId="0" applyFont="1" applyAlignment="1">
      <alignment vertical="top" wrapText="1"/>
    </xf>
    <xf numFmtId="0" fontId="18" fillId="0" borderId="0" xfId="244" applyFill="1" applyBorder="1" applyAlignment="1">
      <alignment horizontal="left" vertical="top" wrapText="1"/>
    </xf>
    <xf numFmtId="0" fontId="35" fillId="0" borderId="0" xfId="569" applyFont="1" applyAlignment="1">
      <alignment horizontal="left" vertical="top"/>
    </xf>
    <xf numFmtId="0" fontId="35" fillId="0" borderId="0" xfId="0" applyFont="1" applyAlignment="1">
      <alignment horizontal="lef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 fontId="17" fillId="5" borderId="3" xfId="0" applyNumberFormat="1" applyFont="1" applyFill="1" applyBorder="1" applyAlignment="1" applyProtection="1">
      <alignment horizontal="center"/>
      <protection locked="0"/>
    </xf>
    <xf numFmtId="1" fontId="17" fillId="5" borderId="4" xfId="0" applyNumberFormat="1" applyFont="1" applyFill="1" applyBorder="1" applyAlignment="1" applyProtection="1">
      <alignment horizontal="center"/>
      <protection locked="0"/>
    </xf>
    <xf numFmtId="1" fontId="17" fillId="5" borderId="5" xfId="0" applyNumberFormat="1" applyFont="1" applyFill="1" applyBorder="1" applyAlignment="1" applyProtection="1">
      <alignment horizontal="center"/>
      <protection locked="0"/>
    </xf>
    <xf numFmtId="168" fontId="17" fillId="5" borderId="3" xfId="0" applyNumberFormat="1" applyFont="1" applyFill="1" applyBorder="1" applyAlignment="1" applyProtection="1">
      <alignment horizontal="center"/>
      <protection locked="0"/>
    </xf>
    <xf numFmtId="168" fontId="17" fillId="5" borderId="4" xfId="0" applyNumberFormat="1" applyFont="1" applyFill="1" applyBorder="1" applyAlignment="1" applyProtection="1">
      <alignment horizontal="center"/>
      <protection locked="0"/>
    </xf>
    <xf numFmtId="168" fontId="17"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24" fillId="0" borderId="3" xfId="0" applyFont="1" applyBorder="1" applyAlignment="1">
      <alignment horizontal="right"/>
    </xf>
    <xf numFmtId="0" fontId="24" fillId="0" borderId="4" xfId="0" applyFont="1" applyBorder="1" applyAlignment="1">
      <alignment horizontal="right"/>
    </xf>
    <xf numFmtId="0" fontId="24" fillId="0" borderId="6" xfId="0" applyFont="1" applyBorder="1" applyAlignment="1">
      <alignment horizontal="right"/>
    </xf>
    <xf numFmtId="0" fontId="24" fillId="0" borderId="5" xfId="0" applyFont="1" applyBorder="1" applyAlignment="1">
      <alignment horizontal="right"/>
    </xf>
    <xf numFmtId="180" fontId="25" fillId="43" borderId="3" xfId="0" applyNumberFormat="1" applyFont="1" applyFill="1" applyBorder="1" applyAlignment="1" applyProtection="1">
      <alignment horizontal="center" vertical="center"/>
      <protection locked="0"/>
    </xf>
    <xf numFmtId="180" fontId="25" fillId="43" borderId="4" xfId="0" applyNumberFormat="1" applyFont="1" applyFill="1" applyBorder="1" applyAlignment="1" applyProtection="1">
      <alignment horizontal="center" vertical="center"/>
      <protection locked="0"/>
    </xf>
    <xf numFmtId="180" fontId="25"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0" fontId="24" fillId="0" borderId="1"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0" xfId="0" applyFont="1" applyAlignment="1">
      <alignment horizontal="center" vertical="center" wrapText="1"/>
    </xf>
    <xf numFmtId="0" fontId="24" fillId="0" borderId="12" xfId="0" applyFont="1" applyBorder="1" applyAlignment="1">
      <alignment horizontal="center" vertical="center" wrapText="1"/>
    </xf>
    <xf numFmtId="0" fontId="24" fillId="0" borderId="9"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10" xfId="0" applyFont="1" applyBorder="1" applyAlignment="1">
      <alignment horizontal="center" vertical="center" wrapText="1"/>
    </xf>
    <xf numFmtId="0" fontId="26" fillId="45" borderId="3" xfId="0" applyFont="1" applyFill="1" applyBorder="1" applyAlignment="1">
      <alignment horizontal="center"/>
    </xf>
    <xf numFmtId="0" fontId="26" fillId="45" borderId="4" xfId="0" applyFont="1" applyFill="1" applyBorder="1" applyAlignment="1">
      <alignment horizontal="center"/>
    </xf>
    <xf numFmtId="0" fontId="26" fillId="45" borderId="5" xfId="0" applyFont="1" applyFill="1" applyBorder="1" applyAlignment="1">
      <alignment horizontal="center"/>
    </xf>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0" fillId="0" borderId="3" xfId="0" applyFont="1" applyBorder="1" applyAlignment="1">
      <alignment horizontal="center"/>
    </xf>
    <xf numFmtId="0" fontId="40" fillId="0" borderId="4" xfId="0" applyFont="1" applyBorder="1" applyAlignment="1">
      <alignment horizontal="center"/>
    </xf>
    <xf numFmtId="0" fontId="40" fillId="0" borderId="5" xfId="0" applyFont="1" applyBorder="1" applyAlignment="1">
      <alignment horizontal="center"/>
    </xf>
    <xf numFmtId="0" fontId="17" fillId="0" borderId="3" xfId="0" applyFont="1" applyBorder="1" applyAlignment="1">
      <alignment horizontal="center"/>
    </xf>
    <xf numFmtId="0" fontId="17" fillId="0" borderId="4" xfId="0" applyFont="1" applyBorder="1" applyAlignment="1">
      <alignment horizontal="center"/>
    </xf>
    <xf numFmtId="0" fontId="17" fillId="0" borderId="5" xfId="0" applyFont="1" applyBorder="1" applyAlignment="1">
      <alignment horizontal="center"/>
    </xf>
    <xf numFmtId="0" fontId="26" fillId="45" borderId="11" xfId="0" applyFont="1" applyFill="1" applyBorder="1" applyAlignment="1">
      <alignment horizontal="center"/>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26" fillId="0" borderId="3" xfId="0" applyNumberFormat="1" applyFont="1" applyBorder="1" applyAlignment="1">
      <alignment horizontal="center"/>
    </xf>
    <xf numFmtId="168" fontId="26" fillId="0" borderId="4" xfId="0" applyNumberFormat="1" applyFont="1" applyBorder="1" applyAlignment="1">
      <alignment horizontal="center"/>
    </xf>
    <xf numFmtId="168" fontId="26" fillId="0" borderId="5" xfId="0" applyNumberFormat="1" applyFont="1" applyBorder="1" applyAlignment="1">
      <alignment horizontal="center"/>
    </xf>
    <xf numFmtId="165" fontId="26" fillId="0" borderId="1" xfId="0" applyNumberFormat="1" applyFont="1" applyBorder="1" applyAlignment="1">
      <alignment horizontal="right"/>
    </xf>
    <xf numFmtId="165" fontId="26" fillId="0" borderId="2" xfId="0" applyNumberFormat="1" applyFont="1" applyBorder="1" applyAlignment="1">
      <alignment horizontal="right"/>
    </xf>
    <xf numFmtId="165" fontId="26" fillId="0" borderId="7" xfId="0" applyNumberFormat="1" applyFont="1" applyBorder="1" applyAlignment="1">
      <alignment horizontal="right"/>
    </xf>
    <xf numFmtId="1" fontId="26" fillId="5" borderId="3" xfId="0" applyNumberFormat="1" applyFont="1" applyFill="1" applyBorder="1" applyAlignment="1" applyProtection="1">
      <alignment horizontal="center"/>
      <protection locked="0"/>
    </xf>
    <xf numFmtId="1" fontId="26" fillId="5" borderId="4" xfId="0" applyNumberFormat="1" applyFont="1" applyFill="1" applyBorder="1" applyAlignment="1" applyProtection="1">
      <alignment horizontal="center"/>
      <protection locked="0"/>
    </xf>
    <xf numFmtId="1" fontId="26" fillId="5" borderId="5" xfId="0" applyNumberFormat="1" applyFont="1" applyFill="1" applyBorder="1" applyAlignment="1" applyProtection="1">
      <alignment horizontal="center"/>
      <protection locked="0"/>
    </xf>
    <xf numFmtId="0" fontId="17" fillId="0" borderId="11" xfId="0" applyFont="1" applyBorder="1" applyAlignment="1">
      <alignment horizontal="center"/>
    </xf>
    <xf numFmtId="0" fontId="26" fillId="2" borderId="11" xfId="0" applyFont="1" applyFill="1" applyBorder="1" applyAlignment="1">
      <alignment horizontal="center"/>
    </xf>
    <xf numFmtId="0" fontId="0" fillId="0" borderId="11" xfId="0" applyBorder="1" applyAlignment="1">
      <alignment horizontal="center"/>
    </xf>
    <xf numFmtId="168" fontId="26" fillId="0" borderId="11" xfId="0" applyNumberFormat="1" applyFont="1" applyBorder="1" applyAlignment="1">
      <alignment horizontal="center"/>
    </xf>
    <xf numFmtId="168" fontId="156" fillId="0" borderId="0" xfId="0" applyNumberFormat="1" applyFont="1" applyAlignment="1">
      <alignment horizontal="center" vertical="center" wrapText="1"/>
    </xf>
    <xf numFmtId="168" fontId="26" fillId="0" borderId="3" xfId="0" applyNumberFormat="1" applyFont="1" applyBorder="1" applyAlignment="1">
      <alignment horizontal="left" vertical="top"/>
    </xf>
    <xf numFmtId="168" fontId="26" fillId="0" borderId="4" xfId="0" applyNumberFormat="1" applyFont="1" applyBorder="1" applyAlignment="1">
      <alignment horizontal="left" vertical="top"/>
    </xf>
    <xf numFmtId="168" fontId="26"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7" fillId="0" borderId="3" xfId="0" applyNumberFormat="1" applyFont="1" applyBorder="1" applyAlignment="1">
      <alignment horizontal="left" vertical="top"/>
    </xf>
    <xf numFmtId="0" fontId="26" fillId="5" borderId="11" xfId="0" applyFont="1" applyFill="1" applyBorder="1" applyAlignment="1" applyProtection="1">
      <alignment horizontal="center"/>
      <protection locked="0"/>
    </xf>
    <xf numFmtId="0" fontId="24" fillId="0" borderId="3" xfId="0" applyFont="1" applyBorder="1" applyAlignment="1">
      <alignment horizontal="center"/>
    </xf>
    <xf numFmtId="0" fontId="24" fillId="0" borderId="4" xfId="0" applyFont="1" applyBorder="1" applyAlignment="1">
      <alignment horizontal="center"/>
    </xf>
    <xf numFmtId="0" fontId="24" fillId="0" borderId="5" xfId="0" applyFont="1" applyBorder="1" applyAlignment="1">
      <alignment horizontal="center"/>
    </xf>
    <xf numFmtId="0" fontId="26" fillId="5" borderId="9" xfId="0" applyFont="1" applyFill="1" applyBorder="1" applyAlignment="1" applyProtection="1">
      <alignment horizontal="center"/>
      <protection locked="0"/>
    </xf>
    <xf numFmtId="0" fontId="26" fillId="5" borderId="6" xfId="0" applyFont="1" applyFill="1" applyBorder="1" applyAlignment="1" applyProtection="1">
      <alignment horizontal="center"/>
      <protection locked="0"/>
    </xf>
    <xf numFmtId="1" fontId="26" fillId="5" borderId="3" xfId="0" applyNumberFormat="1" applyFont="1" applyFill="1" applyBorder="1" applyAlignment="1" applyProtection="1">
      <alignment horizontal="right" vertical="top"/>
      <protection locked="0"/>
    </xf>
    <xf numFmtId="1" fontId="26" fillId="5" borderId="4" xfId="0" applyNumberFormat="1" applyFont="1" applyFill="1" applyBorder="1" applyAlignment="1" applyProtection="1">
      <alignment horizontal="right" vertical="top"/>
      <protection locked="0"/>
    </xf>
    <xf numFmtId="1" fontId="26" fillId="5" borderId="5" xfId="0" applyNumberFormat="1" applyFont="1" applyFill="1" applyBorder="1" applyAlignment="1" applyProtection="1">
      <alignment horizontal="right" vertical="top"/>
      <protection locked="0"/>
    </xf>
    <xf numFmtId="168" fontId="17" fillId="0" borderId="4" xfId="0" applyNumberFormat="1" applyFont="1" applyBorder="1" applyAlignment="1">
      <alignment horizontal="left" vertical="top"/>
    </xf>
    <xf numFmtId="168" fontId="17" fillId="0" borderId="5" xfId="0" applyNumberFormat="1" applyFont="1" applyBorder="1" applyAlignment="1">
      <alignment horizontal="left" vertical="top"/>
    </xf>
    <xf numFmtId="0" fontId="0" fillId="0" borderId="0" xfId="0" applyAlignment="1">
      <alignment horizontal="center"/>
    </xf>
    <xf numFmtId="0" fontId="0" fillId="0" borderId="12" xfId="0" applyBorder="1" applyAlignment="1">
      <alignment horizontal="center"/>
    </xf>
    <xf numFmtId="0" fontId="17" fillId="5" borderId="11" xfId="0" applyFont="1" applyFill="1" applyBorder="1" applyAlignment="1" applyProtection="1">
      <alignment horizontal="left" vertical="center" wrapText="1"/>
      <protection locked="0"/>
    </xf>
    <xf numFmtId="175" fontId="0" fillId="5" borderId="4" xfId="0" applyNumberFormat="1" applyFill="1" applyBorder="1" applyAlignment="1" applyProtection="1">
      <alignment horizontal="left" vertical="center" wrapText="1"/>
      <protection locked="0"/>
    </xf>
    <xf numFmtId="175" fontId="17" fillId="43" borderId="3" xfId="0" applyNumberFormat="1" applyFont="1" applyFill="1" applyBorder="1" applyAlignment="1" applyProtection="1">
      <alignment horizontal="center" vertical="center"/>
      <protection locked="0"/>
    </xf>
    <xf numFmtId="175" fontId="17" fillId="43" borderId="4" xfId="0" applyNumberFormat="1" applyFont="1" applyFill="1" applyBorder="1" applyAlignment="1" applyProtection="1">
      <alignment horizontal="center" vertical="center"/>
      <protection locked="0"/>
    </xf>
    <xf numFmtId="175" fontId="17"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26" fillId="5" borderId="11" xfId="0" applyNumberFormat="1" applyFont="1" applyFill="1" applyBorder="1" applyAlignment="1" applyProtection="1">
      <alignment horizontal="center"/>
      <protection locked="0"/>
    </xf>
    <xf numFmtId="10" fontId="26" fillId="0" borderId="11" xfId="0" applyNumberFormat="1" applyFont="1" applyBorder="1" applyAlignment="1">
      <alignment horizontal="center"/>
    </xf>
    <xf numFmtId="0" fontId="17" fillId="0" borderId="3" xfId="0" applyFont="1" applyBorder="1" applyAlignment="1">
      <alignment horizontal="left"/>
    </xf>
    <xf numFmtId="0" fontId="17" fillId="0" borderId="4" xfId="0" applyFont="1" applyBorder="1" applyAlignment="1">
      <alignment horizontal="left"/>
    </xf>
    <xf numFmtId="0" fontId="17" fillId="0" borderId="5" xfId="0" applyFont="1" applyBorder="1" applyAlignment="1">
      <alignment horizontal="left"/>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6" fillId="0" borderId="11" xfId="0" applyNumberFormat="1" applyFont="1" applyBorder="1" applyAlignment="1">
      <alignment horizontal="center"/>
    </xf>
    <xf numFmtId="0" fontId="17"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68" fontId="17" fillId="43" borderId="3" xfId="0" applyNumberFormat="1" applyFont="1" applyFill="1" applyBorder="1" applyAlignment="1" applyProtection="1">
      <alignment horizontal="center" vertical="center"/>
      <protection locked="0"/>
    </xf>
    <xf numFmtId="168" fontId="17" fillId="43" borderId="4" xfId="0" applyNumberFormat="1" applyFont="1" applyFill="1" applyBorder="1" applyAlignment="1" applyProtection="1">
      <alignment horizontal="center" vertical="center"/>
      <protection locked="0"/>
    </xf>
    <xf numFmtId="168" fontId="17" fillId="43" borderId="5" xfId="0" applyNumberFormat="1" applyFont="1" applyFill="1" applyBorder="1" applyAlignment="1" applyProtection="1">
      <alignment horizontal="center" vertical="center"/>
      <protection locked="0"/>
    </xf>
    <xf numFmtId="0" fontId="17" fillId="5" borderId="11" xfId="0" applyFont="1" applyFill="1" applyBorder="1" applyAlignment="1" applyProtection="1">
      <alignment vertical="center" wrapText="1"/>
      <protection locked="0"/>
    </xf>
    <xf numFmtId="0" fontId="17" fillId="5" borderId="4" xfId="0" applyFont="1" applyFill="1" applyBorder="1" applyAlignment="1" applyProtection="1">
      <alignment wrapText="1"/>
      <protection locked="0"/>
    </xf>
    <xf numFmtId="0" fontId="26" fillId="5" borderId="4" xfId="0" applyFont="1" applyFill="1" applyBorder="1" applyAlignment="1" applyProtection="1">
      <alignment horizontal="left"/>
      <protection locked="0"/>
    </xf>
    <xf numFmtId="0" fontId="26" fillId="5" borderId="4" xfId="0" applyFont="1" applyFill="1" applyBorder="1" applyAlignment="1" applyProtection="1">
      <alignment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7"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6" fillId="5" borderId="4" xfId="0" applyFont="1" applyFill="1" applyBorder="1" applyAlignment="1" applyProtection="1">
      <alignment horizontal="right"/>
      <protection locked="0"/>
    </xf>
    <xf numFmtId="168" fontId="26" fillId="5" borderId="6" xfId="0" applyNumberFormat="1" applyFont="1" applyFill="1" applyBorder="1" applyAlignment="1" applyProtection="1">
      <alignment horizontal="right"/>
      <protection locked="0"/>
    </xf>
    <xf numFmtId="168" fontId="26"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6" fillId="5" borderId="3" xfId="0" applyNumberFormat="1" applyFont="1" applyFill="1" applyBorder="1" applyAlignment="1" applyProtection="1">
      <alignment horizontal="center"/>
      <protection locked="0"/>
    </xf>
    <xf numFmtId="168" fontId="26" fillId="5" borderId="4" xfId="0" applyNumberFormat="1" applyFont="1" applyFill="1" applyBorder="1" applyAlignment="1" applyProtection="1">
      <alignment horizontal="center"/>
      <protection locked="0"/>
    </xf>
    <xf numFmtId="168" fontId="26" fillId="5" borderId="5"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75" fontId="17" fillId="43" borderId="3" xfId="0" applyNumberFormat="1" applyFont="1" applyFill="1" applyBorder="1" applyAlignment="1" applyProtection="1">
      <alignment horizontal="center"/>
      <protection locked="0"/>
    </xf>
    <xf numFmtId="175" fontId="17" fillId="43" borderId="4" xfId="0" applyNumberFormat="1" applyFont="1" applyFill="1" applyBorder="1" applyAlignment="1" applyProtection="1">
      <alignment horizontal="center"/>
      <protection locked="0"/>
    </xf>
    <xf numFmtId="175" fontId="17"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6" fillId="5" borderId="4" xfId="0" applyNumberFormat="1" applyFont="1" applyFill="1" applyBorder="1" applyAlignment="1" applyProtection="1">
      <alignment horizontal="left"/>
      <protection locked="0"/>
    </xf>
    <xf numFmtId="0" fontId="17" fillId="0" borderId="11" xfId="543"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5" borderId="11" xfId="0" applyFont="1" applyFill="1" applyBorder="1" applyAlignment="1" applyProtection="1">
      <alignment horizontal="left" wrapText="1"/>
      <protection locked="0"/>
    </xf>
    <xf numFmtId="0" fontId="26" fillId="0" borderId="1" xfId="0" applyFont="1" applyBorder="1" applyAlignment="1">
      <alignment horizontal="center" vertical="top" wrapText="1"/>
    </xf>
    <xf numFmtId="0" fontId="26" fillId="0" borderId="2" xfId="0" applyFont="1" applyBorder="1" applyAlignment="1">
      <alignment horizontal="center" vertical="top" wrapText="1"/>
    </xf>
    <xf numFmtId="0" fontId="26" fillId="0" borderId="7" xfId="0" applyFont="1" applyBorder="1" applyAlignment="1">
      <alignment horizontal="center" vertical="top" wrapText="1"/>
    </xf>
    <xf numFmtId="0" fontId="26" fillId="0" borderId="8" xfId="0" applyFont="1" applyBorder="1" applyAlignment="1">
      <alignment horizontal="center" vertical="top" wrapText="1"/>
    </xf>
    <xf numFmtId="0" fontId="26" fillId="0" borderId="0" xfId="0" applyFont="1" applyAlignment="1">
      <alignment horizontal="center" vertical="top" wrapText="1"/>
    </xf>
    <xf numFmtId="0" fontId="26" fillId="0" borderId="12" xfId="0" applyFont="1" applyBorder="1" applyAlignment="1">
      <alignment horizontal="center" vertical="top" wrapText="1"/>
    </xf>
    <xf numFmtId="0" fontId="26" fillId="0" borderId="9" xfId="0" applyFont="1" applyBorder="1" applyAlignment="1">
      <alignment horizontal="center" vertical="top" wrapText="1"/>
    </xf>
    <xf numFmtId="0" fontId="26" fillId="0" borderId="6" xfId="0" applyFont="1" applyBorder="1" applyAlignment="1">
      <alignment horizontal="center" vertical="top" wrapText="1"/>
    </xf>
    <xf numFmtId="0" fontId="26" fillId="0" borderId="10" xfId="0" applyFont="1" applyBorder="1" applyAlignment="1">
      <alignment horizontal="center" vertical="top" wrapText="1"/>
    </xf>
    <xf numFmtId="0" fontId="17"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9" fontId="26" fillId="5" borderId="3" xfId="0" applyNumberFormat="1" applyFont="1" applyFill="1" applyBorder="1" applyAlignment="1" applyProtection="1">
      <alignment horizontal="center"/>
      <protection locked="0"/>
    </xf>
    <xf numFmtId="9" fontId="26" fillId="5" borderId="4" xfId="0" applyNumberFormat="1" applyFont="1" applyFill="1" applyBorder="1" applyAlignment="1" applyProtection="1">
      <alignment horizontal="center"/>
      <protection locked="0"/>
    </xf>
    <xf numFmtId="9" fontId="26" fillId="5" borderId="5" xfId="0" applyNumberFormat="1" applyFont="1" applyFill="1" applyBorder="1" applyAlignment="1" applyProtection="1">
      <alignment horizontal="center"/>
      <protection locked="0"/>
    </xf>
    <xf numFmtId="0" fontId="36"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7"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78" fontId="26" fillId="5" borderId="4" xfId="0" applyNumberFormat="1" applyFont="1" applyFill="1" applyBorder="1" applyAlignment="1" applyProtection="1">
      <alignment horizontal="right"/>
      <protection locked="0"/>
    </xf>
    <xf numFmtId="0" fontId="25"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7" fillId="5" borderId="6" xfId="0" applyFont="1" applyFill="1" applyBorder="1" applyAlignment="1" applyProtection="1">
      <alignment horizontal="left"/>
      <protection locked="0"/>
    </xf>
    <xf numFmtId="1" fontId="26"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6" fillId="5" borderId="6" xfId="0" applyFont="1" applyFill="1" applyBorder="1" applyAlignment="1" applyProtection="1">
      <alignment horizontal="left"/>
      <protection locked="0"/>
    </xf>
    <xf numFmtId="0" fontId="26" fillId="5" borderId="0" xfId="0" applyFont="1" applyFill="1" applyAlignment="1" applyProtection="1">
      <alignment horizontal="left" vertical="top" wrapText="1"/>
      <protection locked="0"/>
    </xf>
    <xf numFmtId="0" fontId="26"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 fontId="26" fillId="5" borderId="11" xfId="0" quotePrefix="1" applyNumberFormat="1" applyFont="1" applyFill="1" applyBorder="1" applyAlignment="1" applyProtection="1">
      <alignment horizontal="center"/>
      <protection locked="0"/>
    </xf>
    <xf numFmtId="1" fontId="26" fillId="5" borderId="11" xfId="0" applyNumberFormat="1" applyFont="1" applyFill="1" applyBorder="1" applyAlignment="1" applyProtection="1">
      <alignment horizontal="center"/>
      <protection locked="0"/>
    </xf>
    <xf numFmtId="0" fontId="0" fillId="5" borderId="6" xfId="0" applyFill="1" applyBorder="1" applyProtection="1">
      <protection locked="0"/>
    </xf>
    <xf numFmtId="0" fontId="17" fillId="0" borderId="4" xfId="0" applyFont="1" applyBorder="1" applyAlignment="1" applyProtection="1">
      <alignment horizontal="left"/>
      <protection locked="0"/>
    </xf>
    <xf numFmtId="0" fontId="26" fillId="0" borderId="4" xfId="0" applyFont="1" applyBorder="1" applyAlignment="1" applyProtection="1">
      <alignment horizontal="left"/>
      <protection locked="0"/>
    </xf>
    <xf numFmtId="0" fontId="17" fillId="5" borderId="4" xfId="0" applyFont="1" applyFill="1" applyBorder="1" applyAlignment="1" applyProtection="1">
      <alignment horizontal="left"/>
      <protection locked="0"/>
    </xf>
    <xf numFmtId="0" fontId="17" fillId="43" borderId="6" xfId="0" applyFont="1" applyFill="1" applyBorder="1" applyAlignment="1" applyProtection="1">
      <alignment vertical="center"/>
      <protection locked="0"/>
    </xf>
    <xf numFmtId="0" fontId="23" fillId="3" borderId="0" xfId="0" applyFont="1" applyFill="1" applyAlignment="1">
      <alignment horizontal="center" vertical="center"/>
    </xf>
    <xf numFmtId="0" fontId="17" fillId="0" borderId="0" xfId="0" applyFont="1" applyAlignment="1">
      <alignment wrapText="1"/>
    </xf>
    <xf numFmtId="0" fontId="26" fillId="43" borderId="6" xfId="0" applyFont="1" applyFill="1" applyBorder="1" applyAlignment="1" applyProtection="1">
      <alignment horizontal="left"/>
      <protection locked="0"/>
    </xf>
    <xf numFmtId="0" fontId="17" fillId="0" borderId="6" xfId="0" applyFont="1" applyBorder="1" applyAlignment="1">
      <alignment horizontal="left"/>
    </xf>
    <xf numFmtId="0" fontId="0" fillId="43" borderId="6" xfId="0" applyFill="1" applyBorder="1" applyAlignment="1" applyProtection="1">
      <alignment horizontal="center"/>
      <protection locked="0"/>
    </xf>
    <xf numFmtId="0" fontId="17" fillId="5" borderId="6" xfId="244" applyFont="1" applyFill="1" applyBorder="1" applyAlignment="1" applyProtection="1">
      <alignment horizontal="left"/>
      <protection locked="0"/>
    </xf>
    <xf numFmtId="0" fontId="17" fillId="5" borderId="0" xfId="244" applyFont="1" applyFill="1" applyBorder="1" applyAlignment="1" applyProtection="1">
      <alignment horizontal="left"/>
      <protection locked="0"/>
    </xf>
    <xf numFmtId="0" fontId="26" fillId="5" borderId="6" xfId="0" applyFont="1" applyFill="1" applyBorder="1" applyAlignment="1" applyProtection="1">
      <alignment horizontal="left" wrapText="1"/>
      <protection locked="0"/>
    </xf>
    <xf numFmtId="166" fontId="17" fillId="5" borderId="6" xfId="0" applyNumberFormat="1" applyFont="1" applyFill="1" applyBorder="1" applyAlignment="1" applyProtection="1">
      <alignment horizontal="left"/>
      <protection locked="0"/>
    </xf>
    <xf numFmtId="166" fontId="26" fillId="5" borderId="6" xfId="0" applyNumberFormat="1" applyFont="1" applyFill="1" applyBorder="1" applyAlignment="1" applyProtection="1">
      <alignment horizontal="left"/>
      <protection locked="0"/>
    </xf>
    <xf numFmtId="0" fontId="0" fillId="0" borderId="0" xfId="0" applyAlignment="1">
      <alignment wrapText="1"/>
    </xf>
    <xf numFmtId="0" fontId="26" fillId="0" borderId="0" xfId="0" applyFont="1" applyAlignment="1">
      <alignment horizontal="left" vertical="top" wrapText="1"/>
    </xf>
    <xf numFmtId="0" fontId="153" fillId="0" borderId="0" xfId="0" applyFont="1" applyAlignment="1" applyProtection="1">
      <alignment horizontal="left" vertical="top" wrapText="1"/>
      <protection locked="0"/>
    </xf>
    <xf numFmtId="166" fontId="17" fillId="5" borderId="4" xfId="0" applyNumberFormat="1" applyFont="1" applyFill="1" applyBorder="1" applyAlignment="1" applyProtection="1">
      <alignment horizontal="left"/>
      <protection locked="0"/>
    </xf>
    <xf numFmtId="0" fontId="17" fillId="0" borderId="6" xfId="0" applyFont="1" applyBorder="1" applyAlignment="1" applyProtection="1">
      <alignment horizontal="center"/>
      <protection locked="0"/>
    </xf>
    <xf numFmtId="0" fontId="17" fillId="0" borderId="6" xfId="0" applyFont="1" applyBorder="1" applyAlignment="1" applyProtection="1">
      <alignment horizontal="left"/>
      <protection locked="0"/>
    </xf>
    <xf numFmtId="0" fontId="18" fillId="0" borderId="0" xfId="244" applyFill="1" applyAlignment="1" applyProtection="1">
      <alignment horizontal="left"/>
      <protection locked="0"/>
    </xf>
    <xf numFmtId="168" fontId="17"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7"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6"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6" fillId="5" borderId="6" xfId="271" applyNumberFormat="1" applyFill="1" applyBorder="1" applyAlignment="1" applyProtection="1">
      <alignment horizontal="left"/>
      <protection locked="0"/>
    </xf>
    <xf numFmtId="0" fontId="17" fillId="0" borderId="0" xfId="0" applyFont="1" applyAlignment="1" applyProtection="1">
      <alignment horizontal="left"/>
      <protection locked="0"/>
    </xf>
    <xf numFmtId="9" fontId="25" fillId="0" borderId="3" xfId="4494" applyFont="1" applyBorder="1" applyAlignment="1" applyProtection="1">
      <alignment horizontal="center"/>
    </xf>
    <xf numFmtId="9" fontId="25"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7" fillId="5" borderId="6" xfId="0" applyFont="1" applyFill="1" applyBorder="1" applyAlignment="1" applyProtection="1">
      <alignment horizontal="left" wrapText="1"/>
      <protection locked="0"/>
    </xf>
    <xf numFmtId="166" fontId="26" fillId="5" borderId="4" xfId="271" applyNumberFormat="1" applyFill="1" applyBorder="1" applyAlignment="1" applyProtection="1">
      <alignment horizontal="left"/>
      <protection locked="0"/>
    </xf>
    <xf numFmtId="0" fontId="26" fillId="0" borderId="6" xfId="0" applyFont="1" applyBorder="1" applyAlignment="1">
      <alignment horizontal="left"/>
    </xf>
    <xf numFmtId="0" fontId="17" fillId="0" borderId="3" xfId="271" applyFont="1" applyBorder="1" applyAlignment="1">
      <alignment horizontal="left"/>
    </xf>
    <xf numFmtId="0" fontId="17" fillId="0" borderId="4" xfId="271" applyFont="1" applyBorder="1" applyAlignment="1">
      <alignment horizontal="left"/>
    </xf>
    <xf numFmtId="0" fontId="17"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2" fontId="0" fillId="0" borderId="6" xfId="0" applyNumberFormat="1" applyBorder="1" applyAlignment="1">
      <alignment horizontal="center"/>
    </xf>
    <xf numFmtId="165" fontId="26" fillId="5" borderId="3" xfId="0" applyNumberFormat="1" applyFont="1" applyFill="1" applyBorder="1" applyAlignment="1" applyProtection="1">
      <alignment horizontal="center"/>
      <protection locked="0"/>
    </xf>
    <xf numFmtId="165" fontId="26" fillId="5" borderId="4" xfId="0" applyNumberFormat="1" applyFont="1" applyFill="1" applyBorder="1" applyAlignment="1" applyProtection="1">
      <alignment horizontal="center"/>
      <protection locked="0"/>
    </xf>
    <xf numFmtId="165" fontId="2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4" fontId="26" fillId="5" borderId="4" xfId="0" applyNumberFormat="1" applyFont="1" applyFill="1" applyBorder="1" applyAlignment="1" applyProtection="1">
      <alignment horizontal="right"/>
      <protection locked="0"/>
    </xf>
    <xf numFmtId="10" fontId="26" fillId="5" borderId="4" xfId="0" applyNumberFormat="1" applyFont="1" applyFill="1" applyBorder="1" applyAlignment="1" applyProtection="1">
      <alignment horizontal="right"/>
      <protection locked="0"/>
    </xf>
    <xf numFmtId="0" fontId="25"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8" fontId="53" fillId="0" borderId="2" xfId="0" applyNumberFormat="1" applyFont="1" applyBorder="1" applyAlignment="1">
      <alignment horizontal="left" vertical="top" wrapText="1"/>
    </xf>
    <xf numFmtId="168" fontId="53"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24" fillId="0" borderId="11" xfId="0" applyFont="1" applyBorder="1" applyAlignment="1">
      <alignment horizontal="center" vertical="center"/>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4" fillId="0" borderId="11" xfId="0" applyFont="1" applyBorder="1" applyAlignment="1">
      <alignment horizontal="center"/>
    </xf>
    <xf numFmtId="0" fontId="0" fillId="0" borderId="9" xfId="0" applyBorder="1" applyAlignment="1">
      <alignment horizontal="left"/>
    </xf>
    <xf numFmtId="0" fontId="24" fillId="0" borderId="2" xfId="0" applyFont="1" applyBorder="1" applyAlignment="1">
      <alignment horizontal="center" wrapText="1"/>
    </xf>
    <xf numFmtId="0" fontId="24" fillId="0" borderId="7" xfId="0" applyFont="1" applyBorder="1" applyAlignment="1">
      <alignment horizontal="center" wrapText="1"/>
    </xf>
    <xf numFmtId="0" fontId="24" fillId="0" borderId="6" xfId="0" applyFont="1" applyBorder="1" applyAlignment="1">
      <alignment horizontal="center" wrapText="1"/>
    </xf>
    <xf numFmtId="0" fontId="24" fillId="0" borderId="10" xfId="0" applyFont="1" applyBorder="1" applyAlignment="1">
      <alignment horizontal="center" wrapText="1"/>
    </xf>
    <xf numFmtId="0" fontId="24" fillId="5" borderId="11" xfId="0" applyFont="1" applyFill="1" applyBorder="1" applyAlignment="1" applyProtection="1">
      <alignment horizontal="center"/>
      <protection locked="0"/>
    </xf>
    <xf numFmtId="165" fontId="24" fillId="0" borderId="3" xfId="271" applyNumberFormat="1" applyFont="1" applyBorder="1" applyAlignment="1">
      <alignment horizontal="center"/>
    </xf>
    <xf numFmtId="165" fontId="24" fillId="0" borderId="4" xfId="271" applyNumberFormat="1" applyFont="1" applyBorder="1" applyAlignment="1">
      <alignment horizontal="center"/>
    </xf>
    <xf numFmtId="165" fontId="24" fillId="0" borderId="5" xfId="271" applyNumberFormat="1" applyFon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17" fillId="0" borderId="3" xfId="0" applyFont="1" applyBorder="1"/>
    <xf numFmtId="0" fontId="17" fillId="0" borderId="4" xfId="0" applyFont="1" applyBorder="1"/>
    <xf numFmtId="0" fontId="17" fillId="0" borderId="5" xfId="0" applyFont="1" applyBorder="1"/>
    <xf numFmtId="0" fontId="0" fillId="5" borderId="3" xfId="0" applyFill="1" applyBorder="1" applyAlignment="1" applyProtection="1">
      <alignment horizontal="center"/>
      <protection locked="0"/>
    </xf>
    <xf numFmtId="0" fontId="0" fillId="0" borderId="3" xfId="0" applyBorder="1"/>
    <xf numFmtId="0" fontId="0" fillId="0" borderId="4" xfId="0" applyBorder="1"/>
    <xf numFmtId="0" fontId="0" fillId="0" borderId="5" xfId="0"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xf numFmtId="168" fontId="0" fillId="5" borderId="11" xfId="0" applyNumberFormat="1" applyFill="1" applyBorder="1" applyProtection="1">
      <protection locked="0"/>
    </xf>
    <xf numFmtId="0" fontId="17" fillId="5" borderId="3" xfId="0" applyFont="1" applyFill="1" applyBorder="1" applyProtection="1">
      <protection locked="0"/>
    </xf>
    <xf numFmtId="0" fontId="26" fillId="0" borderId="4" xfId="0" applyFont="1" applyBorder="1" applyProtection="1">
      <protection locked="0"/>
    </xf>
    <xf numFmtId="0" fontId="26" fillId="0" borderId="5" xfId="0" applyFont="1" applyBorder="1" applyProtection="1">
      <protection locked="0"/>
    </xf>
    <xf numFmtId="0" fontId="26" fillId="0" borderId="11" xfId="0" applyFont="1" applyBorder="1" applyAlignment="1">
      <alignment horizontal="center"/>
    </xf>
    <xf numFmtId="0" fontId="17" fillId="0" borderId="0" xfId="543" applyAlignment="1">
      <alignment horizontal="center"/>
    </xf>
    <xf numFmtId="2" fontId="17"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7" fillId="5" borderId="10" xfId="0" applyNumberFormat="1" applyFont="1" applyFill="1" applyBorder="1" applyAlignment="1" applyProtection="1">
      <alignment horizontal="right"/>
      <protection locked="0"/>
    </xf>
    <xf numFmtId="168" fontId="17" fillId="5" borderId="13" xfId="0" applyNumberFormat="1" applyFont="1" applyFill="1" applyBorder="1" applyAlignment="1" applyProtection="1">
      <alignment horizontal="right"/>
      <protection locked="0"/>
    </xf>
    <xf numFmtId="171" fontId="17" fillId="0" borderId="0" xfId="543" applyNumberFormat="1" applyAlignment="1">
      <alignment horizontal="center"/>
    </xf>
    <xf numFmtId="171" fontId="17" fillId="0" borderId="0" xfId="543" applyNumberFormat="1" applyAlignment="1">
      <alignment horizontal="right"/>
    </xf>
    <xf numFmtId="168" fontId="0" fillId="0" borderId="11" xfId="0" applyNumberFormat="1" applyBorder="1" applyAlignment="1">
      <alignment horizontal="center"/>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9" fontId="17" fillId="0" borderId="0" xfId="543" applyNumberFormat="1" applyAlignment="1">
      <alignment horizontal="center" vertical="center"/>
    </xf>
    <xf numFmtId="0" fontId="24" fillId="5" borderId="3" xfId="0" applyFont="1" applyFill="1" applyBorder="1" applyAlignment="1" applyProtection="1">
      <alignment horizontal="right"/>
      <protection locked="0"/>
    </xf>
    <xf numFmtId="0" fontId="24" fillId="5" borderId="4" xfId="0" applyFont="1" applyFill="1" applyBorder="1" applyAlignment="1" applyProtection="1">
      <alignment horizontal="right"/>
      <protection locked="0"/>
    </xf>
    <xf numFmtId="0" fontId="24" fillId="5" borderId="5" xfId="0" applyFont="1" applyFill="1" applyBorder="1" applyAlignment="1" applyProtection="1">
      <alignment horizontal="right"/>
      <protection locked="0"/>
    </xf>
    <xf numFmtId="0" fontId="17" fillId="43" borderId="11" xfId="0" applyFont="1" applyFill="1" applyBorder="1" applyAlignment="1" applyProtection="1">
      <alignment horizontal="center"/>
      <protection locked="0"/>
    </xf>
    <xf numFmtId="0" fontId="26" fillId="0" borderId="11" xfId="0" applyFont="1" applyBorder="1" applyAlignment="1">
      <alignment horizontal="center" vertical="top" wrapText="1"/>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2" fontId="24" fillId="0" borderId="11" xfId="0" applyNumberFormat="1" applyFont="1" applyBorder="1" applyAlignment="1">
      <alignment horizontal="center" vertical="center"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8" xfId="0" applyFont="1" applyBorder="1" applyAlignment="1">
      <alignment horizontal="center" vertical="center" wrapText="1"/>
    </xf>
    <xf numFmtId="0" fontId="33" fillId="0" borderId="0" xfId="0" applyFont="1" applyAlignment="1">
      <alignment horizontal="center" vertical="center" wrapText="1"/>
    </xf>
    <xf numFmtId="0" fontId="33" fillId="0" borderId="12" xfId="0" applyFont="1" applyBorder="1" applyAlignment="1">
      <alignment horizontal="center" vertical="center" wrapText="1"/>
    </xf>
    <xf numFmtId="0" fontId="33" fillId="0" borderId="9"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10" xfId="0" applyFont="1" applyBorder="1" applyAlignment="1">
      <alignment horizontal="center" vertical="center" wrapText="1"/>
    </xf>
    <xf numFmtId="168" fontId="26" fillId="5" borderId="4" xfId="0" applyNumberFormat="1" applyFont="1" applyFill="1" applyBorder="1" applyAlignment="1" applyProtection="1">
      <alignment horizontal="left" vertical="top"/>
      <protection locked="0"/>
    </xf>
    <xf numFmtId="168" fontId="26" fillId="5" borderId="5" xfId="0" applyNumberFormat="1" applyFont="1" applyFill="1" applyBorder="1" applyAlignment="1" applyProtection="1">
      <alignment horizontal="left" vertical="top"/>
      <protection locked="0"/>
    </xf>
    <xf numFmtId="0" fontId="54" fillId="0" borderId="1" xfId="0" applyFont="1" applyBorder="1" applyAlignment="1">
      <alignment horizontal="center" vertical="center" wrapText="1"/>
    </xf>
    <xf numFmtId="0" fontId="54" fillId="0" borderId="2" xfId="0" applyFont="1" applyBorder="1" applyAlignment="1">
      <alignment horizontal="center" vertical="center" wrapText="1"/>
    </xf>
    <xf numFmtId="0" fontId="54" fillId="0" borderId="7" xfId="0" applyFont="1" applyBorder="1" applyAlignment="1">
      <alignment horizontal="center" vertical="center" wrapText="1"/>
    </xf>
    <xf numFmtId="0" fontId="54" fillId="0" borderId="8" xfId="0" applyFont="1" applyBorder="1" applyAlignment="1">
      <alignment horizontal="center" vertical="center" wrapText="1"/>
    </xf>
    <xf numFmtId="0" fontId="54" fillId="0" borderId="0" xfId="0" applyFont="1" applyAlignment="1">
      <alignment horizontal="center" vertical="center" wrapText="1"/>
    </xf>
    <xf numFmtId="0" fontId="54" fillId="0" borderId="12" xfId="0" applyFont="1" applyBorder="1" applyAlignment="1">
      <alignment horizontal="center" vertical="center" wrapText="1"/>
    </xf>
    <xf numFmtId="0" fontId="54" fillId="0" borderId="9" xfId="0" applyFont="1" applyBorder="1" applyAlignment="1">
      <alignment horizontal="center" vertical="center" wrapText="1"/>
    </xf>
    <xf numFmtId="0" fontId="54" fillId="0" borderId="6" xfId="0" applyFont="1" applyBorder="1" applyAlignment="1">
      <alignment horizontal="center" vertical="center" wrapText="1"/>
    </xf>
    <xf numFmtId="0" fontId="54" fillId="0" borderId="10" xfId="0" applyFont="1" applyBorder="1" applyAlignment="1">
      <alignment horizontal="center" vertical="center" wrapText="1"/>
    </xf>
    <xf numFmtId="0" fontId="24" fillId="0" borderId="9" xfId="0" applyFont="1" applyBorder="1" applyAlignment="1">
      <alignment horizontal="center"/>
    </xf>
    <xf numFmtId="0" fontId="24" fillId="0" borderId="6" xfId="0" applyFont="1" applyBorder="1" applyAlignment="1">
      <alignment horizontal="center"/>
    </xf>
    <xf numFmtId="0" fontId="0" fillId="43" borderId="10" xfId="0" applyFill="1" applyBorder="1" applyAlignment="1" applyProtection="1">
      <alignment horizontal="left"/>
      <protection locked="0"/>
    </xf>
    <xf numFmtId="0" fontId="24" fillId="0" borderId="9" xfId="0" applyFont="1" applyBorder="1" applyAlignment="1">
      <alignment horizontal="right"/>
    </xf>
    <xf numFmtId="0" fontId="24" fillId="0" borderId="10" xfId="0" applyFont="1" applyBorder="1" applyAlignment="1">
      <alignment horizontal="right"/>
    </xf>
    <xf numFmtId="0" fontId="24" fillId="0" borderId="11" xfId="0" applyFont="1" applyBorder="1" applyAlignment="1">
      <alignment horizontal="center" vertical="center" wrapText="1"/>
    </xf>
    <xf numFmtId="0" fontId="24" fillId="0" borderId="10" xfId="0" applyFont="1" applyBorder="1" applyAlignment="1">
      <alignment horizontal="center"/>
    </xf>
    <xf numFmtId="0" fontId="17" fillId="0" borderId="3" xfId="543" applyBorder="1" applyAlignment="1">
      <alignment horizontal="center"/>
    </xf>
    <xf numFmtId="0" fontId="17" fillId="0" borderId="4" xfId="543" applyBorder="1" applyAlignment="1">
      <alignment horizontal="center"/>
    </xf>
    <xf numFmtId="0" fontId="17" fillId="0" borderId="5" xfId="543" applyBorder="1" applyAlignment="1">
      <alignment horizontal="center"/>
    </xf>
    <xf numFmtId="0" fontId="36" fillId="5" borderId="3" xfId="543" applyFont="1" applyFill="1" applyBorder="1" applyAlignment="1">
      <alignment horizontal="center"/>
    </xf>
    <xf numFmtId="0" fontId="36" fillId="5" borderId="4" xfId="543" applyFont="1" applyFill="1" applyBorder="1" applyAlignment="1">
      <alignment horizontal="center"/>
    </xf>
    <xf numFmtId="0" fontId="36" fillId="5" borderId="5" xfId="543" applyFont="1" applyFill="1" applyBorder="1" applyAlignment="1">
      <alignment horizontal="center"/>
    </xf>
    <xf numFmtId="49" fontId="17" fillId="5" borderId="3" xfId="543" applyNumberFormat="1" applyFill="1" applyBorder="1" applyAlignment="1">
      <alignment horizontal="center"/>
    </xf>
    <xf numFmtId="49" fontId="17" fillId="5" borderId="5" xfId="543" applyNumberFormat="1" applyFill="1" applyBorder="1" applyAlignment="1">
      <alignment horizontal="center"/>
    </xf>
    <xf numFmtId="0" fontId="17" fillId="0" borderId="8" xfId="543" applyBorder="1" applyAlignment="1">
      <alignment horizontal="left" vertical="top" wrapText="1"/>
    </xf>
    <xf numFmtId="0" fontId="17" fillId="0" borderId="0" xfId="543" applyAlignment="1">
      <alignment horizontal="left" vertical="top" wrapText="1"/>
    </xf>
    <xf numFmtId="0" fontId="17" fillId="0" borderId="12" xfId="543" applyBorder="1" applyAlignment="1">
      <alignment horizontal="left" vertical="top" wrapText="1"/>
    </xf>
    <xf numFmtId="168" fontId="17" fillId="5" borderId="3" xfId="0" applyNumberFormat="1" applyFont="1" applyFill="1" applyBorder="1" applyAlignment="1" applyProtection="1">
      <alignment horizontal="right"/>
      <protection locked="0"/>
    </xf>
    <xf numFmtId="168" fontId="17" fillId="5" borderId="4" xfId="0" applyNumberFormat="1" applyFont="1" applyFill="1" applyBorder="1" applyAlignment="1" applyProtection="1">
      <alignment horizontal="right"/>
      <protection locked="0"/>
    </xf>
    <xf numFmtId="168" fontId="17" fillId="5" borderId="5" xfId="0" applyNumberFormat="1" applyFont="1" applyFill="1" applyBorder="1" applyAlignment="1" applyProtection="1">
      <alignment horizontal="right"/>
      <protection locked="0"/>
    </xf>
    <xf numFmtId="164" fontId="36" fillId="5" borderId="3" xfId="0" applyNumberFormat="1" applyFont="1" applyFill="1" applyBorder="1" applyAlignment="1" applyProtection="1">
      <alignment horizontal="left"/>
      <protection locked="0"/>
    </xf>
    <xf numFmtId="164" fontId="36" fillId="5" borderId="4" xfId="0" applyNumberFormat="1" applyFont="1" applyFill="1" applyBorder="1" applyAlignment="1" applyProtection="1">
      <alignment horizontal="left"/>
      <protection locked="0"/>
    </xf>
    <xf numFmtId="164" fontId="36" fillId="5" borderId="5" xfId="0" applyNumberFormat="1" applyFont="1" applyFill="1" applyBorder="1" applyAlignment="1" applyProtection="1">
      <alignment horizontal="left"/>
      <protection locked="0"/>
    </xf>
    <xf numFmtId="0" fontId="26" fillId="0" borderId="3" xfId="0" applyFont="1" applyBorder="1" applyAlignment="1">
      <alignment horizontal="left"/>
    </xf>
    <xf numFmtId="14" fontId="0" fillId="5" borderId="3" xfId="0" applyNumberFormat="1" applyFill="1" applyBorder="1" applyAlignment="1" applyProtection="1">
      <alignment horizontal="right"/>
      <protection locked="0"/>
    </xf>
    <xf numFmtId="168" fontId="17" fillId="5" borderId="3" xfId="0" applyNumberFormat="1" applyFont="1" applyFill="1" applyBorder="1" applyAlignment="1" applyProtection="1">
      <alignment horizontal="left"/>
      <protection locked="0"/>
    </xf>
    <xf numFmtId="168" fontId="17" fillId="5" borderId="4" xfId="0" applyNumberFormat="1" applyFont="1" applyFill="1" applyBorder="1" applyAlignment="1" applyProtection="1">
      <alignment horizontal="left"/>
      <protection locked="0"/>
    </xf>
    <xf numFmtId="168" fontId="17" fillId="5" borderId="5" xfId="0" applyNumberFormat="1" applyFont="1" applyFill="1" applyBorder="1" applyAlignment="1" applyProtection="1">
      <alignment horizontal="left"/>
      <protection locked="0"/>
    </xf>
    <xf numFmtId="0" fontId="24" fillId="0" borderId="2" xfId="0" applyFont="1" applyBorder="1" applyAlignment="1">
      <alignment horizontal="right"/>
    </xf>
    <xf numFmtId="0" fontId="24" fillId="0" borderId="7" xfId="0" applyFont="1" applyBorder="1" applyAlignment="1">
      <alignment horizontal="right"/>
    </xf>
    <xf numFmtId="0" fontId="24" fillId="0" borderId="1" xfId="0" applyFont="1" applyBorder="1" applyAlignment="1">
      <alignment horizontal="center"/>
    </xf>
    <xf numFmtId="0" fontId="24" fillId="0" borderId="2" xfId="0" applyFont="1" applyBorder="1" applyAlignment="1">
      <alignment horizontal="center"/>
    </xf>
    <xf numFmtId="0" fontId="24" fillId="0" borderId="7" xfId="0" applyFont="1" applyBorder="1" applyAlignment="1">
      <alignment horizontal="center"/>
    </xf>
    <xf numFmtId="0" fontId="53" fillId="5" borderId="3" xfId="0" applyFont="1" applyFill="1" applyBorder="1" applyAlignment="1" applyProtection="1">
      <alignment horizontal="right"/>
      <protection locked="0"/>
    </xf>
    <xf numFmtId="0" fontId="53" fillId="5" borderId="4" xfId="0" applyFont="1" applyFill="1" applyBorder="1" applyAlignment="1" applyProtection="1">
      <alignment horizontal="right"/>
      <protection locked="0"/>
    </xf>
    <xf numFmtId="0" fontId="53" fillId="5" borderId="5" xfId="0" applyFont="1" applyFill="1" applyBorder="1" applyAlignment="1" applyProtection="1">
      <alignment horizontal="right"/>
      <protection locked="0"/>
    </xf>
    <xf numFmtId="0" fontId="17" fillId="5" borderId="3" xfId="0" applyFont="1" applyFill="1" applyBorder="1" applyAlignment="1" applyProtection="1">
      <alignment horizontal="left"/>
      <protection locked="0"/>
    </xf>
    <xf numFmtId="0" fontId="17"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17"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7" fillId="10" borderId="3" xfId="543" applyNumberFormat="1" applyFill="1" applyBorder="1" applyAlignment="1">
      <alignment horizontal="center"/>
    </xf>
    <xf numFmtId="168" fontId="17" fillId="10" borderId="4" xfId="543" applyNumberFormat="1" applyFill="1" applyBorder="1" applyAlignment="1">
      <alignment horizontal="center"/>
    </xf>
    <xf numFmtId="168" fontId="17" fillId="10" borderId="5" xfId="543" applyNumberFormat="1" applyFill="1" applyBorder="1" applyAlignment="1">
      <alignment horizontal="center"/>
    </xf>
    <xf numFmtId="0" fontId="26" fillId="5" borderId="6" xfId="271" applyFill="1" applyBorder="1" applyProtection="1">
      <protection locked="0"/>
    </xf>
    <xf numFmtId="0" fontId="24" fillId="0" borderId="0" xfId="0" applyFont="1" applyAlignment="1">
      <alignment horizontal="center" vertical="center"/>
    </xf>
    <xf numFmtId="1" fontId="17" fillId="0" borderId="3" xfId="0" applyNumberFormat="1" applyFont="1" applyBorder="1" applyAlignment="1">
      <alignment horizontal="center"/>
    </xf>
    <xf numFmtId="1" fontId="26" fillId="0" borderId="4" xfId="0" applyNumberFormat="1" applyFont="1" applyBorder="1" applyAlignment="1">
      <alignment horizontal="center"/>
    </xf>
    <xf numFmtId="1" fontId="26" fillId="0" borderId="5" xfId="0" applyNumberFormat="1" applyFont="1" applyBorder="1" applyAlignment="1">
      <alignment horizontal="center"/>
    </xf>
    <xf numFmtId="0" fontId="24" fillId="0" borderId="1" xfId="543" applyFont="1" applyBorder="1" applyAlignment="1">
      <alignment horizontal="left" vertical="center" wrapText="1"/>
    </xf>
    <xf numFmtId="0" fontId="24" fillId="0" borderId="2" xfId="543" applyFont="1" applyBorder="1" applyAlignment="1">
      <alignment horizontal="left" vertical="center" wrapText="1"/>
    </xf>
    <xf numFmtId="0" fontId="24" fillId="0" borderId="7" xfId="543" applyFont="1" applyBorder="1" applyAlignment="1">
      <alignment horizontal="left" vertical="center" wrapText="1"/>
    </xf>
    <xf numFmtId="0" fontId="17" fillId="0" borderId="9" xfId="543" applyBorder="1" applyAlignment="1">
      <alignment horizontal="left" vertical="top" wrapText="1"/>
    </xf>
    <xf numFmtId="0" fontId="17" fillId="0" borderId="6" xfId="543" applyBorder="1" applyAlignment="1">
      <alignment horizontal="left" vertical="top" wrapText="1"/>
    </xf>
    <xf numFmtId="0" fontId="17" fillId="0" borderId="10" xfId="543" applyBorder="1" applyAlignment="1">
      <alignment horizontal="left" vertical="top" wrapText="1"/>
    </xf>
    <xf numFmtId="0" fontId="36" fillId="0" borderId="3" xfId="543" applyFont="1" applyBorder="1" applyAlignment="1">
      <alignment horizontal="center"/>
    </xf>
    <xf numFmtId="0" fontId="36" fillId="0" borderId="5" xfId="543" applyFont="1" applyBorder="1" applyAlignment="1">
      <alignment horizontal="center"/>
    </xf>
    <xf numFmtId="0" fontId="36" fillId="5" borderId="3" xfId="543" applyFont="1" applyFill="1" applyBorder="1" applyAlignment="1" applyProtection="1">
      <alignment horizontal="center"/>
      <protection locked="0"/>
    </xf>
    <xf numFmtId="0" fontId="36" fillId="5" borderId="5" xfId="543" applyFont="1" applyFill="1" applyBorder="1" applyAlignment="1" applyProtection="1">
      <alignment horizontal="center"/>
      <protection locked="0"/>
    </xf>
    <xf numFmtId="0" fontId="36" fillId="5" borderId="9" xfId="543" applyFont="1" applyFill="1" applyBorder="1" applyAlignment="1" applyProtection="1">
      <alignment horizontal="center"/>
      <protection locked="0"/>
    </xf>
    <xf numFmtId="0" fontId="36" fillId="5" borderId="10" xfId="543" applyFont="1" applyFill="1" applyBorder="1" applyAlignment="1" applyProtection="1">
      <alignment horizontal="center"/>
      <protection locked="0"/>
    </xf>
    <xf numFmtId="0" fontId="24" fillId="0" borderId="1" xfId="0" applyFont="1" applyBorder="1" applyAlignment="1">
      <alignment horizontal="center" wrapText="1"/>
    </xf>
    <xf numFmtId="0" fontId="24" fillId="0" borderId="8" xfId="0" applyFont="1" applyBorder="1" applyAlignment="1">
      <alignment horizontal="center" wrapText="1"/>
    </xf>
    <xf numFmtId="0" fontId="24" fillId="0" borderId="0" xfId="0" applyFont="1" applyAlignment="1">
      <alignment horizontal="center" wrapText="1"/>
    </xf>
    <xf numFmtId="0" fontId="24" fillId="0" borderId="9" xfId="0" applyFont="1" applyBorder="1" applyAlignment="1">
      <alignment horizontal="center" wrapText="1"/>
    </xf>
    <xf numFmtId="168" fontId="17"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4" fillId="0" borderId="8" xfId="543" applyFont="1" applyBorder="1" applyAlignment="1">
      <alignment horizontal="left" vertical="center" wrapText="1"/>
    </xf>
    <xf numFmtId="0" fontId="24" fillId="0" borderId="0" xfId="543" applyFont="1" applyAlignment="1">
      <alignment horizontal="left" vertical="center" wrapText="1"/>
    </xf>
    <xf numFmtId="0" fontId="24" fillId="0" borderId="12" xfId="543" applyFont="1" applyBorder="1" applyAlignment="1">
      <alignment horizontal="left" vertical="center" wrapText="1"/>
    </xf>
    <xf numFmtId="0" fontId="17" fillId="0" borderId="8" xfId="543" applyBorder="1" applyAlignment="1">
      <alignment horizontal="left" vertical="center" wrapText="1"/>
    </xf>
    <xf numFmtId="0" fontId="17" fillId="0" borderId="0" xfId="543" applyAlignment="1">
      <alignment horizontal="left" vertical="center" wrapText="1"/>
    </xf>
    <xf numFmtId="0" fontId="17" fillId="0" borderId="12" xfId="543" applyBorder="1" applyAlignment="1">
      <alignment horizontal="left" vertical="center" wrapText="1"/>
    </xf>
    <xf numFmtId="0" fontId="17" fillId="0" borderId="9" xfId="543" applyBorder="1" applyAlignment="1">
      <alignment horizontal="left" vertical="center" wrapText="1"/>
    </xf>
    <xf numFmtId="0" fontId="17" fillId="0" borderId="6" xfId="543" applyBorder="1" applyAlignment="1">
      <alignment horizontal="left" vertical="center" wrapText="1"/>
    </xf>
    <xf numFmtId="0" fontId="17" fillId="0" borderId="10" xfId="543" applyBorder="1" applyAlignment="1">
      <alignment horizontal="left" vertical="center" wrapText="1"/>
    </xf>
    <xf numFmtId="182" fontId="25" fillId="43" borderId="11" xfId="8721" applyNumberFormat="1" applyFont="1" applyFill="1" applyBorder="1" applyAlignment="1" applyProtection="1">
      <alignment horizontal="center" vertical="center" wrapText="1"/>
      <protection locked="0"/>
    </xf>
    <xf numFmtId="0" fontId="37" fillId="0" borderId="4" xfId="543" applyFont="1" applyBorder="1" applyAlignment="1">
      <alignment horizontal="right" vertical="top" wrapText="1"/>
    </xf>
    <xf numFmtId="0" fontId="37" fillId="0" borderId="5" xfId="543" applyFont="1" applyBorder="1" applyAlignment="1">
      <alignment horizontal="right" vertical="top" wrapText="1"/>
    </xf>
    <xf numFmtId="0" fontId="25" fillId="0" borderId="3" xfId="543" applyFont="1" applyBorder="1" applyAlignment="1">
      <alignment horizontal="center"/>
    </xf>
    <xf numFmtId="0" fontId="25" fillId="0" borderId="5" xfId="543" applyFont="1" applyBorder="1" applyAlignment="1">
      <alignment horizontal="center"/>
    </xf>
    <xf numFmtId="1" fontId="25" fillId="0" borderId="3" xfId="543" applyNumberFormat="1" applyFont="1" applyBorder="1" applyAlignment="1">
      <alignment horizontal="center"/>
    </xf>
    <xf numFmtId="1" fontId="25" fillId="0" borderId="5" xfId="543" applyNumberFormat="1" applyFont="1" applyBorder="1" applyAlignment="1">
      <alignment horizontal="center"/>
    </xf>
    <xf numFmtId="0" fontId="38" fillId="0" borderId="3" xfId="543" applyFont="1" applyBorder="1" applyAlignment="1">
      <alignment horizontal="center"/>
    </xf>
    <xf numFmtId="0" fontId="38" fillId="0" borderId="4" xfId="543" applyFont="1" applyBorder="1" applyAlignment="1">
      <alignment horizontal="center"/>
    </xf>
    <xf numFmtId="0" fontId="38" fillId="0" borderId="5" xfId="543" applyFont="1" applyBorder="1" applyAlignment="1">
      <alignment horizontal="center"/>
    </xf>
    <xf numFmtId="168" fontId="17" fillId="0" borderId="1" xfId="543" applyNumberFormat="1" applyBorder="1" applyAlignment="1">
      <alignment horizontal="center" vertical="center"/>
    </xf>
    <xf numFmtId="168" fontId="17" fillId="0" borderId="2" xfId="543" applyNumberFormat="1" applyBorder="1" applyAlignment="1">
      <alignment horizontal="center" vertical="center"/>
    </xf>
    <xf numFmtId="168" fontId="17" fillId="0" borderId="7" xfId="543" applyNumberFormat="1" applyBorder="1" applyAlignment="1">
      <alignment horizontal="center" vertical="center"/>
    </xf>
    <xf numFmtId="168" fontId="17" fillId="0" borderId="8" xfId="543" applyNumberFormat="1" applyBorder="1" applyAlignment="1">
      <alignment horizontal="center" vertical="center"/>
    </xf>
    <xf numFmtId="168" fontId="17" fillId="0" borderId="0" xfId="543" applyNumberFormat="1" applyAlignment="1">
      <alignment horizontal="center" vertical="center"/>
    </xf>
    <xf numFmtId="168" fontId="17" fillId="0" borderId="12" xfId="543" applyNumberFormat="1" applyBorder="1" applyAlignment="1">
      <alignment horizontal="center" vertical="center"/>
    </xf>
    <xf numFmtId="168" fontId="17" fillId="0" borderId="9" xfId="543" applyNumberFormat="1" applyBorder="1" applyAlignment="1">
      <alignment horizontal="center" vertical="center"/>
    </xf>
    <xf numFmtId="168" fontId="17" fillId="0" borderId="6" xfId="543" applyNumberFormat="1" applyBorder="1" applyAlignment="1">
      <alignment horizontal="center" vertical="center"/>
    </xf>
    <xf numFmtId="168" fontId="17" fillId="0" borderId="10" xfId="543" applyNumberFormat="1" applyBorder="1" applyAlignment="1">
      <alignment horizontal="center" vertical="center"/>
    </xf>
    <xf numFmtId="0" fontId="37" fillId="0" borderId="1" xfId="543" applyFont="1" applyBorder="1" applyAlignment="1">
      <alignment horizontal="right"/>
    </xf>
    <xf numFmtId="0" fontId="37" fillId="0" borderId="2" xfId="543" applyFont="1" applyBorder="1" applyAlignment="1">
      <alignment horizontal="right"/>
    </xf>
    <xf numFmtId="0" fontId="37" fillId="0" borderId="7" xfId="543" applyFont="1" applyBorder="1" applyAlignment="1">
      <alignment horizontal="right"/>
    </xf>
    <xf numFmtId="168" fontId="17" fillId="0" borderId="11" xfId="543" applyNumberFormat="1" applyBorder="1" applyAlignment="1">
      <alignment horizontal="center"/>
    </xf>
    <xf numFmtId="0" fontId="17" fillId="2" borderId="3" xfId="543" applyFill="1" applyBorder="1" applyAlignment="1">
      <alignment horizontal="center"/>
    </xf>
    <xf numFmtId="0" fontId="17" fillId="2" borderId="4" xfId="543" applyFill="1" applyBorder="1" applyAlignment="1">
      <alignment horizontal="center"/>
    </xf>
    <xf numFmtId="0" fontId="17" fillId="2" borderId="5" xfId="543" applyFill="1" applyBorder="1" applyAlignment="1">
      <alignment horizontal="center"/>
    </xf>
    <xf numFmtId="168" fontId="24" fillId="0" borderId="3" xfId="543" applyNumberFormat="1" applyFont="1" applyBorder="1" applyAlignment="1">
      <alignment horizontal="center" vertical="center"/>
    </xf>
    <xf numFmtId="168" fontId="24" fillId="0" borderId="4" xfId="543" applyNumberFormat="1" applyFont="1" applyBorder="1" applyAlignment="1">
      <alignment horizontal="center" vertical="center"/>
    </xf>
    <xf numFmtId="168" fontId="24" fillId="0" borderId="5" xfId="543" applyNumberFormat="1" applyFont="1" applyBorder="1" applyAlignment="1">
      <alignment horizontal="center" vertical="center"/>
    </xf>
    <xf numFmtId="0" fontId="17" fillId="0" borderId="8" xfId="0" applyFont="1" applyBorder="1" applyAlignment="1">
      <alignment horizontal="left" wrapText="1"/>
    </xf>
    <xf numFmtId="0" fontId="17" fillId="0" borderId="12" xfId="0" applyFont="1" applyBorder="1" applyAlignment="1">
      <alignment horizontal="left" wrapText="1"/>
    </xf>
    <xf numFmtId="0" fontId="17" fillId="0" borderId="9" xfId="0" applyFont="1" applyBorder="1" applyAlignment="1">
      <alignment horizontal="left" wrapText="1"/>
    </xf>
    <xf numFmtId="0" fontId="17" fillId="0" borderId="6" xfId="0" applyFont="1" applyBorder="1" applyAlignment="1">
      <alignment horizontal="left" wrapText="1"/>
    </xf>
    <xf numFmtId="0" fontId="17" fillId="0" borderId="10" xfId="0" applyFont="1" applyBorder="1" applyAlignment="1">
      <alignment horizontal="left" wrapText="1"/>
    </xf>
    <xf numFmtId="1" fontId="17" fillId="0" borderId="3" xfId="543" applyNumberFormat="1" applyBorder="1" applyAlignment="1">
      <alignment horizontal="center"/>
    </xf>
    <xf numFmtId="1" fontId="17" fillId="0" borderId="4" xfId="543" applyNumberFormat="1" applyBorder="1" applyAlignment="1">
      <alignment horizontal="center"/>
    </xf>
    <xf numFmtId="1" fontId="17" fillId="0" borderId="5" xfId="543" applyNumberFormat="1" applyBorder="1" applyAlignment="1">
      <alignment horizontal="center"/>
    </xf>
    <xf numFmtId="0" fontId="25" fillId="5" borderId="3" xfId="543" applyFont="1"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24" fillId="10" borderId="3" xfId="543" applyFont="1" applyFill="1" applyBorder="1" applyAlignment="1">
      <alignment horizontal="center"/>
    </xf>
    <xf numFmtId="0" fontId="24" fillId="10" borderId="4" xfId="543" applyFont="1" applyFill="1" applyBorder="1" applyAlignment="1">
      <alignment horizontal="center"/>
    </xf>
    <xf numFmtId="0" fontId="24" fillId="10" borderId="5" xfId="543" applyFont="1" applyFill="1" applyBorder="1" applyAlignment="1">
      <alignment horizontal="center"/>
    </xf>
    <xf numFmtId="0" fontId="36" fillId="5" borderId="3" xfId="543" applyFont="1" applyFill="1" applyBorder="1" applyAlignment="1" applyProtection="1">
      <alignment horizontal="center" vertical="top"/>
      <protection locked="0"/>
    </xf>
    <xf numFmtId="0" fontId="36" fillId="5" borderId="5" xfId="543" applyFont="1" applyFill="1" applyBorder="1" applyAlignment="1" applyProtection="1">
      <alignment horizontal="center" vertical="top"/>
      <protection locked="0"/>
    </xf>
    <xf numFmtId="0" fontId="44" fillId="0" borderId="8" xfId="543" applyFont="1" applyBorder="1" applyAlignment="1">
      <alignment horizontal="center" vertical="center" wrapText="1"/>
    </xf>
    <xf numFmtId="0" fontId="44" fillId="0" borderId="0" xfId="543" applyFont="1" applyAlignment="1">
      <alignment horizontal="center" vertical="center" wrapText="1"/>
    </xf>
    <xf numFmtId="0" fontId="44" fillId="0" borderId="12" xfId="543" applyFont="1" applyBorder="1" applyAlignment="1">
      <alignment horizontal="center" vertical="center" wrapText="1"/>
    </xf>
    <xf numFmtId="0" fontId="24" fillId="0" borderId="3" xfId="543" applyFont="1" applyBorder="1" applyAlignment="1">
      <alignment horizontal="right"/>
    </xf>
    <xf numFmtId="0" fontId="24" fillId="0" borderId="4" xfId="543" applyFont="1" applyBorder="1" applyAlignment="1">
      <alignment horizontal="right"/>
    </xf>
    <xf numFmtId="0" fontId="24" fillId="0" borderId="5" xfId="543" applyFont="1" applyBorder="1" applyAlignment="1">
      <alignment horizontal="right"/>
    </xf>
    <xf numFmtId="0" fontId="17" fillId="5" borderId="3" xfId="543"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24" fillId="0" borderId="1" xfId="543" applyFont="1" applyBorder="1" applyAlignment="1">
      <alignment horizontal="left" vertical="top" wrapText="1"/>
    </xf>
    <xf numFmtId="0" fontId="24" fillId="0" borderId="2" xfId="543" applyFont="1" applyBorder="1" applyAlignment="1">
      <alignment horizontal="left" vertical="top" wrapText="1"/>
    </xf>
    <xf numFmtId="0" fontId="24" fillId="0" borderId="7" xfId="543" applyFont="1" applyBorder="1" applyAlignment="1">
      <alignment horizontal="left" vertical="top" wrapText="1"/>
    </xf>
    <xf numFmtId="0" fontId="24" fillId="0" borderId="8" xfId="543" applyFont="1" applyBorder="1" applyAlignment="1">
      <alignment horizontal="left" vertical="top" wrapText="1"/>
    </xf>
    <xf numFmtId="0" fontId="24" fillId="0" borderId="0" xfId="543" applyFont="1" applyAlignment="1">
      <alignment horizontal="left" vertical="top" wrapText="1"/>
    </xf>
    <xf numFmtId="0" fontId="24"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9" fontId="0" fillId="5" borderId="3" xfId="0" applyNumberFormat="1" applyFill="1" applyBorder="1" applyAlignment="1" applyProtection="1">
      <alignment horizontal="right"/>
      <protection locked="0"/>
    </xf>
    <xf numFmtId="0" fontId="24" fillId="0" borderId="12" xfId="0" applyFont="1" applyBorder="1" applyAlignment="1">
      <alignment horizontal="center" wrapText="1"/>
    </xf>
    <xf numFmtId="180" fontId="0" fillId="0" borderId="6" xfId="0" applyNumberFormat="1" applyBorder="1" applyAlignment="1">
      <alignment horizontal="center"/>
    </xf>
    <xf numFmtId="0" fontId="50" fillId="0" borderId="0" xfId="0" applyFont="1" applyAlignment="1">
      <alignment horizontal="center"/>
    </xf>
    <xf numFmtId="0" fontId="24" fillId="0" borderId="0" xfId="0" applyFont="1" applyAlignment="1">
      <alignment horizontal="center"/>
    </xf>
    <xf numFmtId="0" fontId="17" fillId="0" borderId="0" xfId="0" applyFont="1" applyAlignment="1">
      <alignment horizontal="center"/>
    </xf>
    <xf numFmtId="0" fontId="32" fillId="0" borderId="0" xfId="0" applyFont="1" applyAlignment="1">
      <alignment horizontal="center"/>
    </xf>
    <xf numFmtId="0" fontId="17" fillId="0" borderId="0" xfId="0" applyFont="1" applyAlignment="1">
      <alignment horizontal="center" vertical="top"/>
    </xf>
    <xf numFmtId="168" fontId="26" fillId="0" borderId="6" xfId="0" applyNumberFormat="1" applyFont="1" applyBorder="1" applyAlignment="1">
      <alignment horizontal="center"/>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6" fillId="0" borderId="0" xfId="543" applyFont="1" applyAlignment="1">
      <alignment horizontal="center"/>
    </xf>
    <xf numFmtId="0" fontId="17" fillId="0" borderId="0" xfId="0" applyFont="1" applyAlignment="1">
      <alignment vertical="center" wrapText="1"/>
    </xf>
    <xf numFmtId="0" fontId="17" fillId="0" borderId="0" xfId="543" applyAlignment="1">
      <alignment wrapText="1"/>
    </xf>
    <xf numFmtId="0" fontId="26" fillId="0" borderId="2" xfId="0" applyFont="1" applyBorder="1" applyAlignment="1">
      <alignment horizontal="left" vertical="top" wrapText="1"/>
    </xf>
    <xf numFmtId="177" fontId="26" fillId="5" borderId="6" xfId="0" applyNumberFormat="1" applyFont="1" applyFill="1" applyBorder="1" applyAlignment="1" applyProtection="1">
      <alignment horizontal="left" vertical="top" wrapText="1"/>
      <protection locked="0"/>
    </xf>
    <xf numFmtId="0" fontId="54" fillId="0" borderId="0" xfId="0" applyFont="1" applyAlignment="1">
      <alignment vertical="top" wrapText="1"/>
    </xf>
    <xf numFmtId="0" fontId="26" fillId="0" borderId="0" xfId="0" applyFont="1" applyAlignment="1">
      <alignment vertical="top" wrapText="1"/>
    </xf>
    <xf numFmtId="0" fontId="26" fillId="0" borderId="6" xfId="0" applyFont="1" applyBorder="1" applyAlignment="1">
      <alignment horizontal="right" vertical="top" wrapText="1"/>
    </xf>
    <xf numFmtId="0" fontId="26" fillId="0" borderId="6" xfId="0" applyFont="1" applyBorder="1" applyAlignment="1">
      <alignment vertical="top" wrapText="1"/>
    </xf>
    <xf numFmtId="0" fontId="58" fillId="2" borderId="3" xfId="0" applyFont="1" applyFill="1" applyBorder="1" applyAlignment="1">
      <alignment horizontal="center" vertical="top"/>
    </xf>
    <xf numFmtId="0" fontId="58" fillId="2" borderId="4" xfId="0" applyFont="1" applyFill="1" applyBorder="1" applyAlignment="1">
      <alignment horizontal="center" vertical="top"/>
    </xf>
    <xf numFmtId="0" fontId="58" fillId="2" borderId="5" xfId="0" applyFont="1" applyFill="1" applyBorder="1" applyAlignment="1">
      <alignment horizontal="center" vertical="top"/>
    </xf>
    <xf numFmtId="0" fontId="26" fillId="0" borderId="2" xfId="0" applyFont="1" applyBorder="1" applyAlignment="1">
      <alignment vertical="top" wrapText="1"/>
    </xf>
    <xf numFmtId="0" fontId="53" fillId="0" borderId="0" xfId="0" applyFont="1" applyAlignment="1">
      <alignment vertical="top" wrapText="1"/>
    </xf>
    <xf numFmtId="0" fontId="54" fillId="0" borderId="0" xfId="569" applyFont="1" applyAlignment="1">
      <alignment vertical="top" wrapText="1"/>
    </xf>
    <xf numFmtId="0" fontId="17" fillId="0" borderId="0" xfId="569" applyAlignment="1">
      <alignment horizontal="right" vertical="top" wrapText="1"/>
    </xf>
    <xf numFmtId="0" fontId="23" fillId="3" borderId="3" xfId="0" applyFont="1" applyFill="1" applyBorder="1" applyAlignment="1">
      <alignment horizontal="left" vertical="top"/>
    </xf>
    <xf numFmtId="0" fontId="23" fillId="3" borderId="4" xfId="0" applyFont="1" applyFill="1" applyBorder="1" applyAlignment="1">
      <alignment horizontal="left" vertical="top"/>
    </xf>
    <xf numFmtId="0" fontId="23" fillId="3" borderId="5" xfId="0" applyFont="1" applyFill="1" applyBorder="1" applyAlignment="1">
      <alignment horizontal="left" vertical="top"/>
    </xf>
    <xf numFmtId="0" fontId="169" fillId="44" borderId="80" xfId="8733" applyFont="1" applyFill="1" applyBorder="1" applyAlignment="1">
      <alignment horizontal="left"/>
    </xf>
    <xf numFmtId="0" fontId="169" fillId="44" borderId="79" xfId="8733" applyFont="1" applyFill="1" applyBorder="1" applyAlignment="1">
      <alignment horizontal="left"/>
    </xf>
    <xf numFmtId="0" fontId="169" fillId="44" borderId="78" xfId="8733" applyFont="1" applyFill="1" applyBorder="1" applyAlignment="1">
      <alignment horizontal="left"/>
    </xf>
    <xf numFmtId="0" fontId="170" fillId="45" borderId="11" xfId="8733" applyFont="1" applyFill="1" applyBorder="1" applyAlignment="1">
      <alignment horizontal="right"/>
    </xf>
    <xf numFmtId="1" fontId="169" fillId="48" borderId="11" xfId="8733" applyNumberFormat="1" applyFont="1" applyFill="1" applyBorder="1" applyAlignment="1" applyProtection="1">
      <alignment horizontal="center"/>
      <protection locked="0"/>
    </xf>
    <xf numFmtId="0" fontId="2" fillId="44" borderId="80" xfId="8733" applyFill="1" applyBorder="1" applyAlignment="1">
      <alignment horizontal="center"/>
    </xf>
    <xf numFmtId="0" fontId="2" fillId="44" borderId="79" xfId="8733" applyFill="1" applyBorder="1" applyAlignment="1">
      <alignment horizontal="center"/>
    </xf>
    <xf numFmtId="0" fontId="2" fillId="44" borderId="78" xfId="8733" applyFill="1" applyBorder="1" applyAlignment="1">
      <alignment horizontal="center"/>
    </xf>
    <xf numFmtId="0" fontId="181" fillId="51" borderId="65" xfId="8733" applyFont="1" applyFill="1" applyBorder="1" applyAlignment="1">
      <alignment horizontal="center"/>
    </xf>
    <xf numFmtId="0" fontId="181" fillId="51" borderId="29" xfId="8733" applyFont="1" applyFill="1" applyBorder="1" applyAlignment="1">
      <alignment horizontal="center"/>
    </xf>
    <xf numFmtId="0" fontId="181" fillId="51" borderId="31" xfId="8733" applyFont="1" applyFill="1" applyBorder="1" applyAlignment="1">
      <alignment horizontal="center"/>
    </xf>
    <xf numFmtId="0" fontId="166" fillId="48" borderId="66" xfId="8733" applyFont="1" applyFill="1" applyBorder="1" applyAlignment="1">
      <alignment horizontal="center"/>
    </xf>
    <xf numFmtId="0" fontId="166" fillId="48" borderId="0" xfId="8733" applyFont="1" applyFill="1" applyAlignment="1">
      <alignment horizontal="center"/>
    </xf>
    <xf numFmtId="0" fontId="166" fillId="48" borderId="41" xfId="8733" applyFont="1" applyFill="1" applyBorder="1" applyAlignment="1">
      <alignment horizontal="center"/>
    </xf>
    <xf numFmtId="0" fontId="176" fillId="45" borderId="11" xfId="8733" applyFont="1" applyFill="1" applyBorder="1" applyAlignment="1">
      <alignment horizontal="right"/>
    </xf>
    <xf numFmtId="14" fontId="169" fillId="48" borderId="11" xfId="8733" applyNumberFormat="1" applyFont="1" applyFill="1" applyBorder="1" applyAlignment="1" applyProtection="1">
      <alignment horizontal="center"/>
      <protection locked="0"/>
    </xf>
    <xf numFmtId="0" fontId="169" fillId="48" borderId="11" xfId="8733" applyFont="1" applyFill="1" applyBorder="1" applyAlignment="1" applyProtection="1">
      <alignment horizontal="center"/>
      <protection locked="0"/>
    </xf>
    <xf numFmtId="0" fontId="102" fillId="45" borderId="80" xfId="8733" applyFont="1" applyFill="1" applyBorder="1" applyAlignment="1">
      <alignment horizontal="center"/>
    </xf>
    <xf numFmtId="0" fontId="102" fillId="45" borderId="79" xfId="8733" applyFont="1" applyFill="1" applyBorder="1" applyAlignment="1">
      <alignment horizontal="center"/>
    </xf>
    <xf numFmtId="0" fontId="102" fillId="45" borderId="78" xfId="8733" applyFont="1" applyFill="1" applyBorder="1" applyAlignment="1">
      <alignment horizontal="center"/>
    </xf>
    <xf numFmtId="0" fontId="169" fillId="48" borderId="80" xfId="8733" applyFont="1" applyFill="1" applyBorder="1" applyAlignment="1" applyProtection="1">
      <alignment horizontal="center"/>
      <protection locked="0"/>
    </xf>
    <xf numFmtId="0" fontId="169" fillId="48" borderId="79" xfId="8733" applyFont="1" applyFill="1" applyBorder="1" applyAlignment="1" applyProtection="1">
      <alignment horizontal="center"/>
      <protection locked="0"/>
    </xf>
    <xf numFmtId="0" fontId="169" fillId="48" borderId="78" xfId="8733" applyFont="1" applyFill="1" applyBorder="1" applyAlignment="1" applyProtection="1">
      <alignment horizontal="center"/>
      <protection locked="0"/>
    </xf>
    <xf numFmtId="0" fontId="173" fillId="45" borderId="11" xfId="8733" applyFont="1" applyFill="1" applyBorder="1" applyAlignment="1">
      <alignment horizontal="right"/>
    </xf>
    <xf numFmtId="1" fontId="2" fillId="44" borderId="11" xfId="8733" applyNumberFormat="1" applyFill="1" applyBorder="1" applyAlignment="1">
      <alignment horizontal="center"/>
    </xf>
    <xf numFmtId="0" fontId="2" fillId="44" borderId="11" xfId="8733" applyFill="1" applyBorder="1" applyAlignment="1">
      <alignment horizontal="center"/>
    </xf>
    <xf numFmtId="0" fontId="170" fillId="45" borderId="11" xfId="8733" applyFont="1" applyFill="1" applyBorder="1" applyAlignment="1">
      <alignment horizontal="right" wrapText="1"/>
    </xf>
    <xf numFmtId="14" fontId="169" fillId="48" borderId="11" xfId="8733" applyNumberFormat="1" applyFont="1" applyFill="1" applyBorder="1" applyAlignment="1" applyProtection="1">
      <alignment horizontal="center" vertical="center"/>
      <protection locked="0"/>
    </xf>
    <xf numFmtId="0" fontId="169" fillId="48" borderId="11" xfId="8733" applyFont="1" applyFill="1" applyBorder="1" applyAlignment="1" applyProtection="1">
      <alignment horizontal="center" vertical="center"/>
      <protection locked="0"/>
    </xf>
    <xf numFmtId="168" fontId="174" fillId="44" borderId="11" xfId="8734" applyNumberFormat="1" applyFont="1" applyFill="1" applyBorder="1" applyAlignment="1" applyProtection="1">
      <alignment horizontal="left"/>
    </xf>
    <xf numFmtId="0" fontId="102" fillId="45" borderId="80" xfId="8733" applyFont="1" applyFill="1" applyBorder="1" applyAlignment="1">
      <alignment horizontal="right"/>
    </xf>
    <xf numFmtId="0" fontId="102" fillId="45" borderId="79" xfId="8733" applyFont="1" applyFill="1" applyBorder="1" applyAlignment="1">
      <alignment horizontal="right"/>
    </xf>
    <xf numFmtId="0" fontId="102" fillId="45" borderId="103" xfId="8733" applyFont="1" applyFill="1" applyBorder="1" applyAlignment="1">
      <alignment horizontal="right"/>
    </xf>
    <xf numFmtId="0" fontId="2" fillId="44" borderId="84" xfId="8733" applyFill="1" applyBorder="1" applyAlignment="1">
      <alignment horizontal="center"/>
    </xf>
    <xf numFmtId="0" fontId="2" fillId="44" borderId="102" xfId="8733" applyFill="1" applyBorder="1" applyAlignment="1">
      <alignment horizontal="center"/>
    </xf>
    <xf numFmtId="0" fontId="166" fillId="45" borderId="93" xfId="8733" applyFont="1" applyFill="1" applyBorder="1" applyAlignment="1">
      <alignment horizontal="center"/>
    </xf>
    <xf numFmtId="0" fontId="166" fillId="45" borderId="92" xfId="8733" applyFont="1" applyFill="1" applyBorder="1" applyAlignment="1">
      <alignment horizontal="center"/>
    </xf>
    <xf numFmtId="0" fontId="166" fillId="45" borderId="91" xfId="8733" applyFont="1" applyFill="1" applyBorder="1" applyAlignment="1">
      <alignment horizontal="center"/>
    </xf>
    <xf numFmtId="0" fontId="173" fillId="45" borderId="97" xfId="8733" applyFont="1" applyFill="1" applyBorder="1" applyAlignment="1">
      <alignment horizontal="center"/>
    </xf>
    <xf numFmtId="0" fontId="173" fillId="45" borderId="2" xfId="8733" applyFont="1" applyFill="1" applyBorder="1" applyAlignment="1">
      <alignment horizontal="center"/>
    </xf>
    <xf numFmtId="0" fontId="173" fillId="45" borderId="7" xfId="8733" applyFont="1" applyFill="1" applyBorder="1" applyAlignment="1">
      <alignment horizontal="center"/>
    </xf>
    <xf numFmtId="0" fontId="173" fillId="45" borderId="3" xfId="8733" applyFont="1" applyFill="1" applyBorder="1" applyAlignment="1">
      <alignment horizontal="center"/>
    </xf>
    <xf numFmtId="0" fontId="173" fillId="45" borderId="4" xfId="8733" applyFont="1" applyFill="1" applyBorder="1" applyAlignment="1">
      <alignment horizontal="center"/>
    </xf>
    <xf numFmtId="0" fontId="173" fillId="45" borderId="5" xfId="8733" applyFont="1" applyFill="1" applyBorder="1" applyAlignment="1">
      <alignment horizontal="center"/>
    </xf>
    <xf numFmtId="0" fontId="173" fillId="45" borderId="81" xfId="8733" applyFont="1" applyFill="1" applyBorder="1" applyAlignment="1">
      <alignment horizontal="center"/>
    </xf>
    <xf numFmtId="9" fontId="172" fillId="48" borderId="90" xfId="8733" applyNumberFormat="1" applyFont="1" applyFill="1" applyBorder="1" applyAlignment="1" applyProtection="1">
      <alignment horizontal="center"/>
      <protection locked="0"/>
    </xf>
    <xf numFmtId="9" fontId="172" fillId="48" borderId="4" xfId="8733" applyNumberFormat="1" applyFont="1" applyFill="1" applyBorder="1" applyAlignment="1" applyProtection="1">
      <alignment horizontal="center"/>
      <protection locked="0"/>
    </xf>
    <xf numFmtId="9" fontId="172" fillId="48" borderId="5" xfId="8733" applyNumberFormat="1" applyFont="1" applyFill="1" applyBorder="1" applyAlignment="1" applyProtection="1">
      <alignment horizontal="center"/>
      <protection locked="0"/>
    </xf>
    <xf numFmtId="0" fontId="172" fillId="44" borderId="3" xfId="8733" applyFont="1" applyFill="1" applyBorder="1" applyAlignment="1">
      <alignment horizontal="center"/>
    </xf>
    <xf numFmtId="0" fontId="172" fillId="44" borderId="4" xfId="8733" applyFont="1" applyFill="1" applyBorder="1" applyAlignment="1">
      <alignment horizontal="center"/>
    </xf>
    <xf numFmtId="0" fontId="172" fillId="44" borderId="5" xfId="8733" applyFont="1" applyFill="1" applyBorder="1" applyAlignment="1">
      <alignment horizontal="center"/>
    </xf>
    <xf numFmtId="9" fontId="173" fillId="44" borderId="3" xfId="8733" applyNumberFormat="1" applyFont="1" applyFill="1" applyBorder="1" applyAlignment="1">
      <alignment horizontal="center"/>
    </xf>
    <xf numFmtId="9" fontId="173" fillId="44" borderId="4" xfId="8733" applyNumberFormat="1" applyFont="1" applyFill="1" applyBorder="1" applyAlignment="1">
      <alignment horizontal="center"/>
    </xf>
    <xf numFmtId="9" fontId="173" fillId="44" borderId="81" xfId="8733" applyNumberFormat="1" applyFont="1" applyFill="1" applyBorder="1" applyAlignment="1">
      <alignment horizontal="center"/>
    </xf>
    <xf numFmtId="0" fontId="172" fillId="48" borderId="3" xfId="8733" applyFont="1" applyFill="1" applyBorder="1" applyAlignment="1" applyProtection="1">
      <alignment horizontal="center"/>
      <protection locked="0"/>
    </xf>
    <xf numFmtId="0" fontId="172" fillId="48" borderId="4" xfId="8733" applyFont="1" applyFill="1" applyBorder="1" applyAlignment="1" applyProtection="1">
      <alignment horizontal="center"/>
      <protection locked="0"/>
    </xf>
    <xf numFmtId="0" fontId="172" fillId="48" borderId="5" xfId="8733" applyFont="1" applyFill="1" applyBorder="1" applyAlignment="1" applyProtection="1">
      <alignment horizontal="center"/>
      <protection locked="0"/>
    </xf>
    <xf numFmtId="0" fontId="173" fillId="44" borderId="87" xfId="8733" applyFont="1" applyFill="1" applyBorder="1" applyAlignment="1">
      <alignment horizontal="center"/>
    </xf>
    <xf numFmtId="0" fontId="173" fillId="44" borderId="86" xfId="8733" applyFont="1" applyFill="1" applyBorder="1" applyAlignment="1">
      <alignment horizontal="center"/>
    </xf>
    <xf numFmtId="0" fontId="173" fillId="44" borderId="95" xfId="8733" applyFont="1" applyFill="1" applyBorder="1" applyAlignment="1">
      <alignment horizontal="center"/>
    </xf>
    <xf numFmtId="0" fontId="172" fillId="44" borderId="94"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9" fontId="173" fillId="44" borderId="94" xfId="8733" applyNumberFormat="1" applyFont="1" applyFill="1" applyBorder="1" applyAlignment="1">
      <alignment horizontal="center"/>
    </xf>
    <xf numFmtId="9" fontId="173" fillId="44" borderId="86" xfId="8733" applyNumberFormat="1" applyFont="1" applyFill="1" applyBorder="1" applyAlignment="1">
      <alignment horizontal="center"/>
    </xf>
    <xf numFmtId="9" fontId="173" fillId="44" borderId="85" xfId="8733" applyNumberFormat="1" applyFont="1" applyFill="1" applyBorder="1" applyAlignment="1">
      <alignment horizontal="center"/>
    </xf>
    <xf numFmtId="0" fontId="173" fillId="44" borderId="101" xfId="8733" applyFont="1" applyFill="1" applyBorder="1" applyAlignment="1">
      <alignment horizontal="center"/>
    </xf>
    <xf numFmtId="0" fontId="173" fillId="44" borderId="42" xfId="8733" applyFont="1" applyFill="1" applyBorder="1" applyAlignment="1">
      <alignment horizontal="center"/>
    </xf>
    <xf numFmtId="0" fontId="173" fillId="44" borderId="96" xfId="8733"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3" applyFont="1" applyFill="1" applyBorder="1" applyAlignment="1">
      <alignment horizontal="center"/>
    </xf>
    <xf numFmtId="0" fontId="166" fillId="45" borderId="79" xfId="8733" applyFont="1" applyFill="1" applyBorder="1" applyAlignment="1">
      <alignment horizontal="center"/>
    </xf>
    <xf numFmtId="0" fontId="166" fillId="45" borderId="78" xfId="8733" applyFont="1" applyFill="1" applyBorder="1" applyAlignment="1">
      <alignment horizontal="center"/>
    </xf>
    <xf numFmtId="0" fontId="165" fillId="45" borderId="98" xfId="8733" applyFont="1" applyFill="1" applyBorder="1" applyAlignment="1">
      <alignment horizontal="center" vertical="center" wrapText="1"/>
    </xf>
    <xf numFmtId="0" fontId="165" fillId="45" borderId="13" xfId="8733" applyFont="1" applyFill="1" applyBorder="1" applyAlignment="1">
      <alignment horizontal="center" vertical="center"/>
    </xf>
    <xf numFmtId="0" fontId="165" fillId="45" borderId="72" xfId="8733" applyFont="1" applyFill="1" applyBorder="1" applyAlignment="1">
      <alignment horizontal="center" vertical="center"/>
    </xf>
    <xf numFmtId="0" fontId="165" fillId="45" borderId="11" xfId="8733" applyFont="1" applyFill="1" applyBorder="1" applyAlignment="1">
      <alignment horizontal="center" vertical="center"/>
    </xf>
    <xf numFmtId="0" fontId="173" fillId="45" borderId="13" xfId="8733" applyFont="1" applyFill="1" applyBorder="1" applyAlignment="1">
      <alignment horizontal="center" vertical="center" wrapText="1"/>
    </xf>
    <xf numFmtId="0" fontId="173" fillId="45" borderId="13" xfId="8733" applyFont="1" applyFill="1" applyBorder="1" applyAlignment="1">
      <alignment horizontal="center" vertical="center"/>
    </xf>
    <xf numFmtId="0" fontId="173" fillId="45" borderId="11" xfId="8733" applyFont="1" applyFill="1" applyBorder="1" applyAlignment="1">
      <alignment horizontal="center" vertical="center"/>
    </xf>
    <xf numFmtId="0" fontId="173" fillId="45" borderId="9" xfId="8733" applyFont="1" applyFill="1" applyBorder="1" applyAlignment="1">
      <alignment horizontal="center" vertical="center"/>
    </xf>
    <xf numFmtId="0" fontId="173" fillId="45" borderId="3" xfId="8733" applyFont="1" applyFill="1" applyBorder="1" applyAlignment="1">
      <alignment horizontal="center" vertic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5" fillId="45" borderId="65" xfId="8733" applyFont="1" applyFill="1" applyBorder="1" applyAlignment="1">
      <alignment horizontal="center" vertical="center" wrapText="1"/>
    </xf>
    <xf numFmtId="0" fontId="165" fillId="45" borderId="29" xfId="8733" applyFont="1" applyFill="1" applyBorder="1" applyAlignment="1">
      <alignment horizontal="center" vertical="center" wrapText="1"/>
    </xf>
    <xf numFmtId="0" fontId="165" fillId="45" borderId="31" xfId="8733" applyFont="1" applyFill="1" applyBorder="1" applyAlignment="1">
      <alignment horizontal="center" vertical="center" wrapText="1"/>
    </xf>
    <xf numFmtId="0" fontId="165" fillId="45" borderId="73" xfId="8733" applyFont="1" applyFill="1" applyBorder="1" applyAlignment="1">
      <alignment horizontal="center" vertical="center" wrapText="1"/>
    </xf>
    <xf numFmtId="0" fontId="165" fillId="45" borderId="42" xfId="8733" applyFont="1" applyFill="1" applyBorder="1" applyAlignment="1">
      <alignment horizontal="center" vertical="center" wrapText="1"/>
    </xf>
    <xf numFmtId="0" fontId="165" fillId="45" borderId="44" xfId="8733" applyFont="1" applyFill="1" applyBorder="1" applyAlignment="1">
      <alignment horizontal="center" vertical="center" wrapText="1"/>
    </xf>
    <xf numFmtId="9" fontId="173" fillId="48" borderId="13" xfId="8733" applyNumberFormat="1" applyFont="1" applyFill="1" applyBorder="1" applyAlignment="1" applyProtection="1">
      <alignment horizontal="center"/>
      <protection locked="0"/>
    </xf>
    <xf numFmtId="0" fontId="173" fillId="44" borderId="73" xfId="8733" applyFont="1" applyFill="1" applyBorder="1" applyAlignment="1">
      <alignment horizontal="center"/>
    </xf>
    <xf numFmtId="0" fontId="165" fillId="44" borderId="9" xfId="8733" applyFont="1" applyFill="1" applyBorder="1" applyAlignment="1">
      <alignment horizontal="center"/>
    </xf>
    <xf numFmtId="0" fontId="165" fillId="44" borderId="6" xfId="8733" applyFont="1" applyFill="1" applyBorder="1" applyAlignment="1">
      <alignment horizontal="center"/>
    </xf>
    <xf numFmtId="0" fontId="165" fillId="44" borderId="82" xfId="8733" applyFont="1" applyFill="1" applyBorder="1" applyAlignment="1">
      <alignment horizontal="center"/>
    </xf>
    <xf numFmtId="9" fontId="173" fillId="48" borderId="9" xfId="8733" applyNumberFormat="1" applyFont="1" applyFill="1" applyBorder="1" applyAlignment="1" applyProtection="1">
      <alignment horizontal="center"/>
      <protection locked="0"/>
    </xf>
    <xf numFmtId="9" fontId="173" fillId="48" borderId="6" xfId="8733" applyNumberFormat="1" applyFont="1" applyFill="1" applyBorder="1" applyAlignment="1" applyProtection="1">
      <alignment horizontal="center"/>
      <protection locked="0"/>
    </xf>
    <xf numFmtId="9" fontId="173" fillId="48" borderId="10" xfId="8733" applyNumberFormat="1" applyFont="1" applyFill="1" applyBorder="1" applyAlignment="1" applyProtection="1">
      <alignment horizontal="center"/>
      <protection locked="0"/>
    </xf>
    <xf numFmtId="9" fontId="165" fillId="48" borderId="9" xfId="8733" applyNumberFormat="1" applyFont="1" applyFill="1" applyBorder="1" applyAlignment="1" applyProtection="1">
      <alignment horizontal="center"/>
      <protection locked="0"/>
    </xf>
    <xf numFmtId="9" fontId="165" fillId="48" borderId="6" xfId="8733" applyNumberFormat="1" applyFont="1" applyFill="1" applyBorder="1" applyAlignment="1" applyProtection="1">
      <alignment horizontal="center"/>
      <protection locked="0"/>
    </xf>
    <xf numFmtId="9" fontId="165" fillId="48" borderId="10" xfId="8733" applyNumberFormat="1" applyFont="1" applyFill="1" applyBorder="1" applyAlignment="1" applyProtection="1">
      <alignment horizontal="center"/>
      <protection locked="0"/>
    </xf>
    <xf numFmtId="0" fontId="165" fillId="44" borderId="10" xfId="8733" applyFont="1" applyFill="1" applyBorder="1" applyAlignment="1">
      <alignment horizontal="center"/>
    </xf>
    <xf numFmtId="1" fontId="177" fillId="48" borderId="3" xfId="8733" applyNumberFormat="1" applyFont="1" applyFill="1" applyBorder="1" applyAlignment="1" applyProtection="1">
      <alignment horizontal="center"/>
      <protection locked="0"/>
    </xf>
    <xf numFmtId="1" fontId="177" fillId="48" borderId="4" xfId="8733" applyNumberFormat="1" applyFont="1" applyFill="1" applyBorder="1" applyAlignment="1" applyProtection="1">
      <alignment horizontal="center"/>
      <protection locked="0"/>
    </xf>
    <xf numFmtId="1" fontId="177" fillId="48" borderId="5" xfId="8733" applyNumberFormat="1" applyFont="1" applyFill="1" applyBorder="1" applyAlignment="1" applyProtection="1">
      <alignment horizontal="center"/>
      <protection locked="0"/>
    </xf>
    <xf numFmtId="1" fontId="165" fillId="44" borderId="3" xfId="8733" applyNumberFormat="1" applyFont="1" applyFill="1" applyBorder="1" applyAlignment="1">
      <alignment horizontal="center"/>
    </xf>
    <xf numFmtId="1" fontId="165" fillId="44" borderId="4" xfId="8733" applyNumberFormat="1" applyFont="1" applyFill="1" applyBorder="1" applyAlignment="1">
      <alignment horizontal="center"/>
    </xf>
    <xf numFmtId="1" fontId="165" fillId="44" borderId="5" xfId="8733" applyNumberFormat="1" applyFont="1" applyFill="1" applyBorder="1" applyAlignment="1">
      <alignment horizontal="center"/>
    </xf>
    <xf numFmtId="9" fontId="165" fillId="44" borderId="3" xfId="8735" applyFont="1" applyFill="1" applyBorder="1" applyAlignment="1">
      <alignment horizontal="center"/>
    </xf>
    <xf numFmtId="9" fontId="165" fillId="44" borderId="4" xfId="8735" applyFont="1" applyFill="1" applyBorder="1" applyAlignment="1">
      <alignment horizontal="center"/>
    </xf>
    <xf numFmtId="9" fontId="165" fillId="44" borderId="81" xfId="8735" applyFont="1" applyFill="1" applyBorder="1" applyAlignment="1">
      <alignment horizontal="center"/>
    </xf>
    <xf numFmtId="0" fontId="174" fillId="48" borderId="72" xfId="8733" applyFont="1" applyFill="1" applyBorder="1" applyAlignment="1" applyProtection="1">
      <alignment horizontal="right"/>
      <protection locked="0"/>
    </xf>
    <xf numFmtId="0" fontId="174" fillId="48" borderId="11" xfId="8733" applyFont="1" applyFill="1" applyBorder="1" applyAlignment="1" applyProtection="1">
      <alignment horizontal="right"/>
      <protection locked="0"/>
    </xf>
    <xf numFmtId="0" fontId="177" fillId="48" borderId="11" xfId="8733" applyFont="1" applyFill="1" applyBorder="1" applyAlignment="1" applyProtection="1">
      <alignment horizontal="center"/>
      <protection locked="0"/>
    </xf>
    <xf numFmtId="1" fontId="177" fillId="48" borderId="11" xfId="8733" applyNumberFormat="1" applyFont="1" applyFill="1" applyBorder="1" applyAlignment="1" applyProtection="1">
      <alignment horizontal="center"/>
      <protection locked="0"/>
    </xf>
    <xf numFmtId="0" fontId="172" fillId="48" borderId="72" xfId="8733" applyFont="1" applyFill="1" applyBorder="1" applyAlignment="1" applyProtection="1">
      <alignment horizontal="right"/>
      <protection locked="0"/>
    </xf>
    <xf numFmtId="0" fontId="172" fillId="48" borderId="11" xfId="8733" applyFont="1" applyFill="1" applyBorder="1" applyAlignment="1" applyProtection="1">
      <alignment horizontal="right"/>
      <protection locked="0"/>
    </xf>
    <xf numFmtId="0" fontId="172" fillId="48" borderId="69" xfId="8733" applyFont="1" applyFill="1" applyBorder="1" applyAlignment="1" applyProtection="1">
      <alignment horizontal="right"/>
      <protection locked="0"/>
    </xf>
    <xf numFmtId="0" fontId="172" fillId="48" borderId="70" xfId="8733" applyFont="1" applyFill="1" applyBorder="1" applyAlignment="1" applyProtection="1">
      <alignment horizontal="right"/>
      <protection locked="0"/>
    </xf>
    <xf numFmtId="0" fontId="177" fillId="48" borderId="70" xfId="8733" applyFont="1" applyFill="1" applyBorder="1" applyAlignment="1" applyProtection="1">
      <alignment horizontal="center"/>
      <protection locked="0"/>
    </xf>
    <xf numFmtId="1" fontId="177" fillId="48" borderId="70" xfId="8733" applyNumberFormat="1" applyFont="1" applyFill="1" applyBorder="1" applyAlignment="1" applyProtection="1">
      <alignment horizontal="center"/>
      <protection locked="0"/>
    </xf>
    <xf numFmtId="9" fontId="165" fillId="44" borderId="94" xfId="8735" applyFont="1" applyFill="1" applyBorder="1" applyAlignment="1">
      <alignment horizontal="center"/>
    </xf>
    <xf numFmtId="9" fontId="165" fillId="44" borderId="86" xfId="8735" applyFont="1" applyFill="1" applyBorder="1" applyAlignment="1">
      <alignment horizontal="center"/>
    </xf>
    <xf numFmtId="9" fontId="165" fillId="44" borderId="85" xfId="8735" applyFont="1" applyFill="1" applyBorder="1" applyAlignment="1">
      <alignment horizontal="center"/>
    </xf>
    <xf numFmtId="1" fontId="177" fillId="48" borderId="94" xfId="8733" applyNumberFormat="1" applyFont="1" applyFill="1" applyBorder="1" applyAlignment="1" applyProtection="1">
      <alignment horizontal="center"/>
      <protection locked="0"/>
    </xf>
    <xf numFmtId="1" fontId="177" fillId="48" borderId="86" xfId="8733" applyNumberFormat="1" applyFont="1" applyFill="1" applyBorder="1" applyAlignment="1" applyProtection="1">
      <alignment horizontal="center"/>
      <protection locked="0"/>
    </xf>
    <xf numFmtId="1" fontId="177" fillId="48" borderId="95" xfId="8733" applyNumberFormat="1" applyFont="1" applyFill="1" applyBorder="1" applyAlignment="1" applyProtection="1">
      <alignment horizontal="center"/>
      <protection locked="0"/>
    </xf>
    <xf numFmtId="0" fontId="166" fillId="45" borderId="67" xfId="8733" applyFont="1" applyFill="1" applyBorder="1" applyAlignment="1">
      <alignment horizontal="center"/>
    </xf>
    <xf numFmtId="0" fontId="166" fillId="45" borderId="68" xfId="8733" applyFont="1" applyFill="1" applyBorder="1" applyAlignment="1">
      <alignment horizontal="center"/>
    </xf>
    <xf numFmtId="0" fontId="166" fillId="45" borderId="71" xfId="8733" applyFont="1" applyFill="1" applyBorder="1" applyAlignment="1">
      <alignment horizontal="center"/>
    </xf>
    <xf numFmtId="0" fontId="173" fillId="45" borderId="72" xfId="8733" applyFont="1" applyFill="1" applyBorder="1" applyAlignment="1">
      <alignment horizontal="center"/>
    </xf>
    <xf numFmtId="0" fontId="173" fillId="45" borderId="11" xfId="8733" applyFont="1" applyFill="1" applyBorder="1" applyAlignment="1">
      <alignment horizontal="center"/>
    </xf>
    <xf numFmtId="0" fontId="165" fillId="45" borderId="11" xfId="8733" applyFont="1" applyFill="1" applyBorder="1" applyAlignment="1">
      <alignment horizontal="center" vertical="center" wrapText="1"/>
    </xf>
    <xf numFmtId="0" fontId="165" fillId="45" borderId="76" xfId="8733" applyFont="1" applyFill="1" applyBorder="1" applyAlignment="1">
      <alignment horizontal="center" vertical="center" wrapText="1"/>
    </xf>
    <xf numFmtId="0" fontId="172" fillId="48" borderId="11" xfId="8733" applyFont="1" applyFill="1" applyBorder="1" applyAlignment="1" applyProtection="1">
      <alignment horizontal="center"/>
      <protection locked="0"/>
    </xf>
    <xf numFmtId="168" fontId="172" fillId="48" borderId="11" xfId="8734" applyNumberFormat="1" applyFont="1" applyFill="1" applyBorder="1" applyAlignment="1" applyProtection="1">
      <alignment horizontal="center"/>
      <protection locked="0"/>
    </xf>
    <xf numFmtId="1" fontId="172" fillId="48" borderId="11" xfId="8733"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3" applyFont="1" applyFill="1" applyBorder="1" applyAlignment="1">
      <alignment horizontal="center"/>
    </xf>
    <xf numFmtId="0" fontId="166" fillId="45" borderId="29" xfId="8733" applyFont="1" applyFill="1" applyBorder="1" applyAlignment="1">
      <alignment horizontal="center"/>
    </xf>
    <xf numFmtId="0" fontId="166" fillId="45" borderId="31" xfId="8733" applyFont="1" applyFill="1" applyBorder="1" applyAlignment="1">
      <alignment horizontal="center"/>
    </xf>
    <xf numFmtId="0" fontId="172" fillId="44" borderId="72" xfId="8733" applyFont="1" applyFill="1" applyBorder="1" applyAlignment="1" applyProtection="1">
      <alignment horizontal="right"/>
      <protection locked="0"/>
    </xf>
    <xf numFmtId="0" fontId="172" fillId="44" borderId="11" xfId="8733" applyFont="1" applyFill="1" applyBorder="1" applyAlignment="1" applyProtection="1">
      <alignment horizontal="right"/>
      <protection locked="0"/>
    </xf>
    <xf numFmtId="0" fontId="172" fillId="44" borderId="76" xfId="8733" applyFont="1" applyFill="1" applyBorder="1" applyAlignment="1" applyProtection="1">
      <alignment horizontal="right"/>
      <protection locked="0"/>
    </xf>
    <xf numFmtId="0" fontId="172" fillId="48" borderId="5" xfId="8733" applyFont="1" applyFill="1" applyBorder="1" applyAlignment="1" applyProtection="1">
      <alignment horizontal="left"/>
      <protection locked="0"/>
    </xf>
    <xf numFmtId="0" fontId="172" fillId="48" borderId="11" xfId="8733" applyFont="1" applyFill="1" applyBorder="1" applyAlignment="1" applyProtection="1">
      <alignment horizontal="left"/>
      <protection locked="0"/>
    </xf>
    <xf numFmtId="0" fontId="172" fillId="48" borderId="76" xfId="8733" applyFont="1" applyFill="1" applyBorder="1" applyAlignment="1" applyProtection="1">
      <alignment horizontal="left"/>
      <protection locked="0"/>
    </xf>
    <xf numFmtId="0" fontId="173" fillId="45" borderId="69" xfId="8733" applyFont="1" applyFill="1" applyBorder="1" applyAlignment="1">
      <alignment horizontal="center"/>
    </xf>
    <xf numFmtId="0" fontId="173" fillId="45" borderId="70" xfId="8733" applyFont="1" applyFill="1" applyBorder="1" applyAlignment="1">
      <alignment horizontal="center"/>
    </xf>
    <xf numFmtId="168" fontId="173" fillId="45" borderId="70" xfId="8734" applyNumberFormat="1" applyFont="1" applyFill="1" applyBorder="1" applyAlignment="1">
      <alignment horizontal="center"/>
    </xf>
    <xf numFmtId="1" fontId="173" fillId="45" borderId="70" xfId="8734" applyNumberFormat="1" applyFont="1" applyFill="1" applyBorder="1" applyAlignment="1">
      <alignment horizontal="center"/>
    </xf>
    <xf numFmtId="0" fontId="173" fillId="45" borderId="70" xfId="8734" applyNumberFormat="1" applyFont="1" applyFill="1" applyBorder="1" applyAlignment="1">
      <alignment horizontal="center"/>
    </xf>
    <xf numFmtId="0" fontId="173" fillId="45" borderId="77" xfId="8734" applyNumberFormat="1" applyFont="1" applyFill="1" applyBorder="1" applyAlignment="1">
      <alignment horizontal="center"/>
    </xf>
    <xf numFmtId="0" fontId="169" fillId="48" borderId="74" xfId="8733" applyFont="1" applyFill="1" applyBorder="1" applyAlignment="1" applyProtection="1">
      <alignment horizontal="left"/>
      <protection locked="0"/>
    </xf>
    <xf numFmtId="0" fontId="169" fillId="48" borderId="68" xfId="8733" applyFont="1" applyFill="1" applyBorder="1" applyAlignment="1" applyProtection="1">
      <alignment horizontal="left"/>
      <protection locked="0"/>
    </xf>
    <xf numFmtId="0" fontId="169" fillId="48" borderId="71" xfId="8733" applyFont="1" applyFill="1" applyBorder="1" applyAlignment="1" applyProtection="1">
      <alignment horizontal="left"/>
      <protection locked="0"/>
    </xf>
    <xf numFmtId="0" fontId="166" fillId="45" borderId="72" xfId="8733" applyFont="1" applyFill="1" applyBorder="1" applyAlignment="1">
      <alignment horizontal="center"/>
    </xf>
    <xf numFmtId="0" fontId="166" fillId="45" borderId="11" xfId="8733" applyFont="1" applyFill="1" applyBorder="1" applyAlignment="1">
      <alignment horizontal="center"/>
    </xf>
    <xf numFmtId="0" fontId="166" fillId="45" borderId="3" xfId="8733" applyFont="1" applyFill="1" applyBorder="1" applyAlignment="1">
      <alignment horizontal="center"/>
    </xf>
    <xf numFmtId="0" fontId="166" fillId="45" borderId="4" xfId="8733" applyFont="1" applyFill="1" applyBorder="1" applyAlignment="1">
      <alignment horizontal="center"/>
    </xf>
    <xf numFmtId="0" fontId="166" fillId="45" borderId="81" xfId="8733" applyFont="1" applyFill="1" applyBorder="1" applyAlignment="1">
      <alignment horizontal="center"/>
    </xf>
    <xf numFmtId="0" fontId="102" fillId="45" borderId="69" xfId="8733" applyFont="1" applyFill="1" applyBorder="1" applyAlignment="1">
      <alignment horizontal="center"/>
    </xf>
    <xf numFmtId="0" fontId="102" fillId="45" borderId="70" xfId="8733" applyFont="1" applyFill="1" applyBorder="1" applyAlignment="1">
      <alignment horizontal="center"/>
    </xf>
    <xf numFmtId="0" fontId="172" fillId="44" borderId="69" xfId="8733" applyFont="1" applyFill="1" applyBorder="1" applyAlignment="1" applyProtection="1">
      <alignment horizontal="right"/>
      <protection locked="0"/>
    </xf>
    <xf numFmtId="0" fontId="172" fillId="44" borderId="70" xfId="8733" applyFont="1" applyFill="1" applyBorder="1" applyAlignment="1" applyProtection="1">
      <alignment horizontal="right"/>
      <protection locked="0"/>
    </xf>
    <xf numFmtId="0" fontId="172" fillId="44" borderId="77" xfId="8733" applyFont="1" applyFill="1" applyBorder="1" applyAlignment="1" applyProtection="1">
      <alignment horizontal="right"/>
      <protection locked="0"/>
    </xf>
    <xf numFmtId="0" fontId="172" fillId="48" borderId="95" xfId="8733" applyFont="1" applyFill="1" applyBorder="1" applyAlignment="1" applyProtection="1">
      <alignment horizontal="left"/>
      <protection locked="0"/>
    </xf>
    <xf numFmtId="0" fontId="172" fillId="48" borderId="70" xfId="8733" applyFont="1" applyFill="1" applyBorder="1" applyAlignment="1" applyProtection="1">
      <alignment horizontal="left"/>
      <protection locked="0"/>
    </xf>
    <xf numFmtId="0" fontId="172" fillId="48" borderId="77" xfId="8733"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3" applyFont="1" applyFill="1" applyBorder="1" applyAlignment="1" applyProtection="1">
      <alignment horizontal="left"/>
      <protection locked="0"/>
    </xf>
    <xf numFmtId="0" fontId="172" fillId="48" borderId="71" xfId="8733" applyFont="1" applyFill="1" applyBorder="1" applyAlignment="1" applyProtection="1">
      <alignment horizontal="left"/>
      <protection locked="0"/>
    </xf>
    <xf numFmtId="0" fontId="166" fillId="45" borderId="69" xfId="8733" applyFont="1" applyFill="1" applyBorder="1" applyAlignment="1">
      <alignment horizontal="center"/>
    </xf>
    <xf numFmtId="0" fontId="166" fillId="45" borderId="70" xfId="8733" applyFont="1" applyFill="1" applyBorder="1" applyAlignment="1">
      <alignment horizontal="center"/>
    </xf>
    <xf numFmtId="0" fontId="102" fillId="45" borderId="67" xfId="8733" applyFont="1" applyFill="1" applyBorder="1" applyAlignment="1">
      <alignment horizontal="center"/>
    </xf>
    <xf numFmtId="0" fontId="102" fillId="45" borderId="68" xfId="8733" applyFont="1" applyFill="1" applyBorder="1" applyAlignment="1">
      <alignment horizontal="center"/>
    </xf>
    <xf numFmtId="0" fontId="2" fillId="48" borderId="9" xfId="8733" applyFill="1" applyBorder="1" applyAlignment="1" applyProtection="1">
      <alignment horizontal="center"/>
      <protection locked="0"/>
    </xf>
    <xf numFmtId="0" fontId="2" fillId="48" borderId="6" xfId="8733" applyFill="1" applyBorder="1" applyAlignment="1" applyProtection="1">
      <alignment horizontal="center"/>
      <protection locked="0"/>
    </xf>
    <xf numFmtId="0" fontId="2" fillId="48" borderId="82" xfId="8733" applyFill="1" applyBorder="1" applyAlignment="1" applyProtection="1">
      <alignment horizontal="center"/>
      <protection locked="0"/>
    </xf>
    <xf numFmtId="0" fontId="173" fillId="45" borderId="97" xfId="8733" applyFont="1" applyFill="1" applyBorder="1" applyAlignment="1">
      <alignment horizontal="left"/>
    </xf>
    <xf numFmtId="0" fontId="173" fillId="45" borderId="2" xfId="8733" applyFont="1" applyFill="1" applyBorder="1" applyAlignment="1">
      <alignment horizontal="left"/>
    </xf>
    <xf numFmtId="10" fontId="2" fillId="0" borderId="94" xfId="8733" applyNumberFormat="1" applyBorder="1" applyAlignment="1">
      <alignment horizontal="center"/>
    </xf>
    <xf numFmtId="10" fontId="2" fillId="0" borderId="86" xfId="8733" applyNumberFormat="1" applyBorder="1" applyAlignment="1">
      <alignment horizontal="center"/>
    </xf>
    <xf numFmtId="10" fontId="2" fillId="0" borderId="85" xfId="8733" applyNumberFormat="1" applyBorder="1" applyAlignment="1">
      <alignment horizontal="center"/>
    </xf>
    <xf numFmtId="0" fontId="173" fillId="45" borderId="73" xfId="8733" applyFont="1" applyFill="1" applyBorder="1" applyAlignment="1">
      <alignment horizontal="left"/>
    </xf>
    <xf numFmtId="0" fontId="173" fillId="45" borderId="42" xfId="8733" applyFont="1" applyFill="1" applyBorder="1" applyAlignment="1">
      <alignment horizontal="left"/>
    </xf>
    <xf numFmtId="10" fontId="2" fillId="48" borderId="94" xfId="8733" applyNumberFormat="1" applyFill="1" applyBorder="1" applyAlignment="1" applyProtection="1">
      <alignment horizontal="center"/>
      <protection locked="0"/>
    </xf>
    <xf numFmtId="10" fontId="2" fillId="48" borderId="86" xfId="8733" applyNumberFormat="1" applyFill="1" applyBorder="1" applyAlignment="1" applyProtection="1">
      <alignment horizontal="center"/>
      <protection locked="0"/>
    </xf>
    <xf numFmtId="10" fontId="2" fillId="48" borderId="85" xfId="8733" applyNumberFormat="1" applyFill="1" applyBorder="1" applyAlignment="1" applyProtection="1">
      <alignment horizontal="center"/>
      <protection locked="0"/>
    </xf>
    <xf numFmtId="0" fontId="102" fillId="45" borderId="67" xfId="8733" applyFont="1" applyFill="1" applyBorder="1" applyAlignment="1">
      <alignment horizontal="center" wrapText="1"/>
    </xf>
    <xf numFmtId="0" fontId="102" fillId="45" borderId="68" xfId="8733" applyFont="1" applyFill="1" applyBorder="1" applyAlignment="1">
      <alignment horizontal="center" wrapText="1"/>
    </xf>
    <xf numFmtId="0" fontId="102" fillId="45" borderId="71" xfId="8733" applyFont="1" applyFill="1" applyBorder="1" applyAlignment="1">
      <alignment horizontal="center" wrapText="1"/>
    </xf>
    <xf numFmtId="0" fontId="166" fillId="45" borderId="98" xfId="8733" applyFont="1" applyFill="1" applyBorder="1" applyAlignment="1">
      <alignment horizontal="center"/>
    </xf>
    <xf numFmtId="0" fontId="166" fillId="45" borderId="13" xfId="8733" applyFont="1" applyFill="1" applyBorder="1" applyAlignment="1">
      <alignment horizontal="center"/>
    </xf>
    <xf numFmtId="0" fontId="172" fillId="48" borderId="72" xfId="8733" applyFont="1" applyFill="1" applyBorder="1" applyAlignment="1" applyProtection="1">
      <alignment horizontal="left" vertical="top"/>
      <protection locked="0"/>
    </xf>
    <xf numFmtId="0" fontId="172" fillId="48" borderId="11" xfId="8733" applyFont="1" applyFill="1" applyBorder="1" applyAlignment="1" applyProtection="1">
      <alignment horizontal="left" vertical="top"/>
      <protection locked="0"/>
    </xf>
    <xf numFmtId="0" fontId="172" fillId="48" borderId="76" xfId="8733" applyFont="1" applyFill="1" applyBorder="1" applyAlignment="1" applyProtection="1">
      <alignment horizontal="left" vertical="top"/>
      <protection locked="0"/>
    </xf>
    <xf numFmtId="0" fontId="172" fillId="48" borderId="69" xfId="8733" applyFont="1" applyFill="1" applyBorder="1" applyAlignment="1" applyProtection="1">
      <alignment horizontal="left" vertical="top"/>
      <protection locked="0"/>
    </xf>
    <xf numFmtId="0" fontId="172" fillId="48" borderId="70" xfId="8733" applyFont="1" applyFill="1" applyBorder="1" applyAlignment="1" applyProtection="1">
      <alignment horizontal="left" vertical="top"/>
      <protection locked="0"/>
    </xf>
    <xf numFmtId="0" fontId="172" fillId="48" borderId="77" xfId="8733" applyFont="1" applyFill="1" applyBorder="1" applyAlignment="1" applyProtection="1">
      <alignment horizontal="left" vertical="top"/>
      <protection locked="0"/>
    </xf>
    <xf numFmtId="0" fontId="172" fillId="48" borderId="72" xfId="8733" applyFont="1" applyFill="1" applyBorder="1" applyAlignment="1" applyProtection="1">
      <alignment horizontal="center"/>
      <protection locked="0"/>
    </xf>
    <xf numFmtId="0" fontId="166" fillId="45" borderId="89" xfId="8733" applyFont="1" applyFill="1" applyBorder="1" applyAlignment="1">
      <alignment horizontal="right"/>
    </xf>
    <xf numFmtId="0" fontId="166" fillId="45" borderId="43" xfId="8733" applyFont="1" applyFill="1" applyBorder="1" applyAlignment="1">
      <alignment horizontal="right"/>
    </xf>
    <xf numFmtId="168" fontId="166" fillId="45" borderId="43" xfId="8733" applyNumberFormat="1" applyFont="1" applyFill="1" applyBorder="1" applyAlignment="1">
      <alignment horizontal="left"/>
    </xf>
    <xf numFmtId="168" fontId="166" fillId="45" borderId="88" xfId="8733" applyNumberFormat="1" applyFont="1" applyFill="1" applyBorder="1" applyAlignment="1">
      <alignment horizontal="left"/>
    </xf>
    <xf numFmtId="0" fontId="2" fillId="48" borderId="11" xfId="8733" applyFill="1" applyBorder="1" applyAlignment="1" applyProtection="1">
      <alignment horizontal="center"/>
      <protection locked="0"/>
    </xf>
    <xf numFmtId="0" fontId="2" fillId="48" borderId="76" xfId="8733" applyFill="1" applyBorder="1" applyAlignment="1" applyProtection="1">
      <alignment horizontal="center"/>
      <protection locked="0"/>
    </xf>
    <xf numFmtId="0" fontId="102" fillId="45" borderId="67" xfId="8733" applyFont="1" applyFill="1" applyBorder="1" applyAlignment="1">
      <alignment horizontal="left" wrapText="1"/>
    </xf>
    <xf numFmtId="0" fontId="102" fillId="45" borderId="68" xfId="8733" applyFont="1" applyFill="1" applyBorder="1" applyAlignment="1">
      <alignment horizontal="left" wrapText="1"/>
    </xf>
    <xf numFmtId="0" fontId="102" fillId="45" borderId="72" xfId="8733" applyFont="1" applyFill="1" applyBorder="1" applyAlignment="1">
      <alignment horizontal="left" wrapText="1"/>
    </xf>
    <xf numFmtId="0" fontId="102" fillId="45" borderId="11" xfId="8733" applyFont="1" applyFill="1" applyBorder="1" applyAlignment="1">
      <alignment horizontal="left" wrapText="1"/>
    </xf>
    <xf numFmtId="0" fontId="169" fillId="48" borderId="68" xfId="8733" applyFont="1" applyFill="1" applyBorder="1" applyAlignment="1" applyProtection="1">
      <alignment horizontal="left" wrapText="1"/>
      <protection locked="0"/>
    </xf>
    <xf numFmtId="0" fontId="169" fillId="48" borderId="71" xfId="8733" applyFont="1" applyFill="1" applyBorder="1" applyAlignment="1" applyProtection="1">
      <alignment horizontal="left" wrapText="1"/>
      <protection locked="0"/>
    </xf>
    <xf numFmtId="0" fontId="169" fillId="48" borderId="11" xfId="8733" applyFont="1" applyFill="1" applyBorder="1" applyAlignment="1" applyProtection="1">
      <alignment horizontal="left" wrapText="1"/>
      <protection locked="0"/>
    </xf>
    <xf numFmtId="0" fontId="169" fillId="48" borderId="76" xfId="8733" applyFont="1" applyFill="1" applyBorder="1" applyAlignment="1" applyProtection="1">
      <alignment horizontal="left" wrapText="1"/>
      <protection locked="0"/>
    </xf>
    <xf numFmtId="0" fontId="173" fillId="45" borderId="11" xfId="8733" applyFont="1" applyFill="1" applyBorder="1" applyAlignment="1">
      <alignment horizontal="center" wrapText="1"/>
    </xf>
    <xf numFmtId="0" fontId="165" fillId="45" borderId="11" xfId="8733" applyFont="1" applyFill="1" applyBorder="1" applyAlignment="1">
      <alignment horizontal="center"/>
    </xf>
    <xf numFmtId="0" fontId="165" fillId="45" borderId="76" xfId="8733" applyFont="1" applyFill="1" applyBorder="1" applyAlignment="1">
      <alignment horizontal="center"/>
    </xf>
    <xf numFmtId="0" fontId="173" fillId="45" borderId="7" xfId="8733" applyFont="1" applyFill="1" applyBorder="1" applyAlignment="1">
      <alignment horizontal="left"/>
    </xf>
    <xf numFmtId="0" fontId="173" fillId="45" borderId="96" xfId="8733" applyFont="1" applyFill="1" applyBorder="1" applyAlignment="1">
      <alignment horizontal="left"/>
    </xf>
    <xf numFmtId="0" fontId="2" fillId="48" borderId="70" xfId="8733" applyFill="1" applyBorder="1" applyAlignment="1" applyProtection="1">
      <alignment horizontal="center"/>
      <protection locked="0"/>
    </xf>
    <xf numFmtId="0" fontId="2" fillId="48" borderId="77" xfId="8733" applyFill="1" applyBorder="1" applyAlignment="1" applyProtection="1">
      <alignment horizontal="center"/>
      <protection locked="0"/>
    </xf>
    <xf numFmtId="0" fontId="169" fillId="48" borderId="3" xfId="8733" applyFont="1" applyFill="1" applyBorder="1" applyAlignment="1" applyProtection="1">
      <alignment horizontal="center"/>
      <protection locked="0"/>
    </xf>
    <xf numFmtId="0" fontId="169" fillId="48" borderId="4" xfId="8733" applyFont="1" applyFill="1" applyBorder="1" applyAlignment="1" applyProtection="1">
      <alignment horizontal="center"/>
      <protection locked="0"/>
    </xf>
    <xf numFmtId="0" fontId="169" fillId="48" borderId="81" xfId="8733" applyFont="1" applyFill="1" applyBorder="1" applyAlignment="1" applyProtection="1">
      <alignment horizontal="center"/>
      <protection locked="0"/>
    </xf>
    <xf numFmtId="0" fontId="102" fillId="45" borderId="71" xfId="8733" applyFont="1" applyFill="1" applyBorder="1" applyAlignment="1">
      <alignment horizontal="center"/>
    </xf>
    <xf numFmtId="0" fontId="179" fillId="45" borderId="11" xfId="8733" applyFont="1" applyFill="1" applyBorder="1" applyAlignment="1">
      <alignment horizontal="left"/>
    </xf>
    <xf numFmtId="0" fontId="179" fillId="45" borderId="76" xfId="8733" applyFont="1" applyFill="1" applyBorder="1" applyAlignment="1">
      <alignment horizontal="left"/>
    </xf>
    <xf numFmtId="0" fontId="176" fillId="45" borderId="72" xfId="8733" applyFont="1" applyFill="1" applyBorder="1" applyAlignment="1">
      <alignment horizontal="left"/>
    </xf>
    <xf numFmtId="0" fontId="176" fillId="45" borderId="11" xfId="8733" applyFont="1" applyFill="1" applyBorder="1" applyAlignment="1">
      <alignment horizontal="left"/>
    </xf>
    <xf numFmtId="0" fontId="176" fillId="45" borderId="69" xfId="8733" applyFont="1" applyFill="1" applyBorder="1" applyAlignment="1">
      <alignment horizontal="left"/>
    </xf>
    <xf numFmtId="0" fontId="176" fillId="45" borderId="70" xfId="8733" applyFont="1" applyFill="1" applyBorder="1" applyAlignment="1">
      <alignment horizontal="left"/>
    </xf>
    <xf numFmtId="0" fontId="2" fillId="51" borderId="70" xfId="8733" applyFill="1" applyBorder="1" applyAlignment="1" applyProtection="1">
      <alignment horizontal="center"/>
      <protection locked="0"/>
    </xf>
    <xf numFmtId="0" fontId="2" fillId="51" borderId="77" xfId="8733" applyFill="1" applyBorder="1" applyAlignment="1" applyProtection="1">
      <alignment horizontal="center"/>
      <protection locked="0"/>
    </xf>
    <xf numFmtId="0" fontId="102" fillId="45" borderId="67" xfId="8733" applyFont="1" applyFill="1" applyBorder="1" applyAlignment="1" applyProtection="1">
      <alignment horizontal="left" vertical="center" wrapText="1"/>
      <protection locked="0"/>
    </xf>
    <xf numFmtId="0" fontId="102" fillId="45" borderId="68" xfId="8733" applyFont="1" applyFill="1" applyBorder="1" applyAlignment="1" applyProtection="1">
      <alignment horizontal="left" vertical="center" wrapText="1"/>
      <protection locked="0"/>
    </xf>
    <xf numFmtId="0" fontId="102" fillId="45" borderId="72" xfId="8733" applyFont="1" applyFill="1" applyBorder="1" applyAlignment="1" applyProtection="1">
      <alignment horizontal="left" vertical="center" wrapText="1"/>
      <protection locked="0"/>
    </xf>
    <xf numFmtId="0" fontId="102" fillId="45" borderId="11" xfId="8733" applyFont="1" applyFill="1" applyBorder="1" applyAlignment="1" applyProtection="1">
      <alignment horizontal="left" vertical="center" wrapText="1"/>
      <protection locked="0"/>
    </xf>
    <xf numFmtId="0" fontId="169" fillId="48" borderId="68" xfId="8733" applyFont="1" applyFill="1" applyBorder="1" applyAlignment="1" applyProtection="1">
      <alignment horizontal="left" vertical="center" wrapText="1"/>
      <protection locked="0"/>
    </xf>
    <xf numFmtId="0" fontId="169" fillId="48" borderId="71" xfId="8733" applyFont="1" applyFill="1" applyBorder="1" applyAlignment="1" applyProtection="1">
      <alignment horizontal="left" vertical="center" wrapText="1"/>
      <protection locked="0"/>
    </xf>
    <xf numFmtId="0" fontId="169" fillId="48" borderId="11" xfId="8733" applyFont="1" applyFill="1" applyBorder="1" applyAlignment="1" applyProtection="1">
      <alignment horizontal="left" vertical="center" wrapText="1"/>
      <protection locked="0"/>
    </xf>
    <xf numFmtId="0" fontId="169" fillId="48" borderId="76" xfId="8733" applyFont="1" applyFill="1" applyBorder="1" applyAlignment="1" applyProtection="1">
      <alignment horizontal="left" vertical="center" wrapText="1"/>
      <protection locked="0"/>
    </xf>
    <xf numFmtId="0" fontId="172" fillId="48" borderId="72" xfId="8733" applyFont="1" applyFill="1" applyBorder="1" applyAlignment="1" applyProtection="1">
      <alignment horizontal="left" vertical="top" wrapText="1"/>
      <protection locked="0"/>
    </xf>
    <xf numFmtId="0" fontId="172" fillId="48" borderId="11" xfId="8733" applyFont="1" applyFill="1" applyBorder="1" applyAlignment="1" applyProtection="1">
      <alignment horizontal="left" vertical="top" wrapText="1"/>
      <protection locked="0"/>
    </xf>
    <xf numFmtId="0" fontId="172" fillId="48" borderId="69" xfId="8733" applyFont="1" applyFill="1" applyBorder="1" applyAlignment="1" applyProtection="1">
      <alignment horizontal="left" vertical="top" wrapText="1"/>
      <protection locked="0"/>
    </xf>
    <xf numFmtId="0" fontId="172" fillId="48" borderId="70" xfId="8733" applyFont="1" applyFill="1" applyBorder="1" applyAlignment="1" applyProtection="1">
      <alignment horizontal="left" vertical="top" wrapText="1"/>
      <protection locked="0"/>
    </xf>
    <xf numFmtId="0" fontId="169" fillId="48" borderId="11" xfId="8733" applyFont="1" applyFill="1" applyBorder="1" applyAlignment="1" applyProtection="1">
      <alignment horizontal="center" vertical="center" wrapText="1"/>
      <protection locked="0"/>
    </xf>
    <xf numFmtId="0" fontId="169" fillId="48" borderId="76" xfId="8733" applyFont="1" applyFill="1" applyBorder="1" applyAlignment="1" applyProtection="1">
      <alignment horizontal="center" vertical="center" wrapText="1"/>
      <protection locked="0"/>
    </xf>
    <xf numFmtId="0" fontId="169" fillId="48" borderId="70" xfId="8733" applyFont="1" applyFill="1" applyBorder="1" applyAlignment="1" applyProtection="1">
      <alignment horizontal="center" vertical="center" wrapText="1"/>
      <protection locked="0"/>
    </xf>
    <xf numFmtId="0" fontId="169" fillId="48" borderId="77" xfId="8733" applyFont="1" applyFill="1" applyBorder="1" applyAlignment="1" applyProtection="1">
      <alignment horizontal="center" vertical="center" wrapText="1"/>
      <protection locked="0"/>
    </xf>
    <xf numFmtId="0" fontId="102" fillId="45" borderId="71" xfId="8733" applyFont="1" applyFill="1" applyBorder="1" applyAlignment="1">
      <alignment horizontal="left" wrapText="1"/>
    </xf>
    <xf numFmtId="0" fontId="102" fillId="45" borderId="76" xfId="8733" applyFont="1" applyFill="1" applyBorder="1" applyAlignment="1">
      <alignment horizontal="left" wrapText="1"/>
    </xf>
    <xf numFmtId="0" fontId="102" fillId="45" borderId="65" xfId="8733" applyFont="1" applyFill="1" applyBorder="1" applyAlignment="1">
      <alignment horizontal="center"/>
    </xf>
    <xf numFmtId="0" fontId="102" fillId="45" borderId="29" xfId="8733" applyFont="1" applyFill="1" applyBorder="1" applyAlignment="1">
      <alignment horizontal="center"/>
    </xf>
    <xf numFmtId="0" fontId="102" fillId="45" borderId="31" xfId="8733" applyFont="1" applyFill="1" applyBorder="1" applyAlignment="1">
      <alignment horizontal="center"/>
    </xf>
    <xf numFmtId="0" fontId="165" fillId="48" borderId="90" xfId="8733" applyFont="1" applyFill="1" applyBorder="1" applyAlignment="1">
      <alignment horizontal="left"/>
    </xf>
    <xf numFmtId="0" fontId="165" fillId="48" borderId="4" xfId="8733" applyFont="1" applyFill="1" applyBorder="1" applyAlignment="1">
      <alignment horizontal="left"/>
    </xf>
    <xf numFmtId="0" fontId="165" fillId="48" borderId="5" xfId="8733" applyFont="1" applyFill="1" applyBorder="1" applyAlignment="1">
      <alignment horizontal="left"/>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77" fillId="48" borderId="11" xfId="8733" applyFont="1" applyFill="1" applyBorder="1" applyAlignment="1" applyProtection="1">
      <alignment horizontal="left"/>
      <protection locked="0"/>
    </xf>
    <xf numFmtId="0" fontId="177" fillId="48" borderId="76" xfId="8733" applyFont="1" applyFill="1" applyBorder="1" applyAlignment="1" applyProtection="1">
      <alignment horizontal="left"/>
      <protection locked="0"/>
    </xf>
    <xf numFmtId="0" fontId="174" fillId="48" borderId="72" xfId="8733" applyFont="1" applyFill="1" applyBorder="1" applyAlignment="1" applyProtection="1">
      <alignment horizontal="left" vertical="top"/>
      <protection locked="0"/>
    </xf>
    <xf numFmtId="0" fontId="174" fillId="48" borderId="11" xfId="8733" applyFont="1" applyFill="1" applyBorder="1" applyAlignment="1" applyProtection="1">
      <alignment horizontal="left" vertical="top"/>
      <protection locked="0"/>
    </xf>
    <xf numFmtId="0" fontId="174" fillId="48" borderId="76" xfId="8733" applyFont="1" applyFill="1" applyBorder="1" applyAlignment="1" applyProtection="1">
      <alignment horizontal="left" vertical="top"/>
      <protection locked="0"/>
    </xf>
    <xf numFmtId="0" fontId="174" fillId="48" borderId="69" xfId="8733" applyFont="1" applyFill="1" applyBorder="1" applyAlignment="1" applyProtection="1">
      <alignment horizontal="left" vertical="top"/>
      <protection locked="0"/>
    </xf>
    <xf numFmtId="0" fontId="174" fillId="48" borderId="70" xfId="8733" applyFont="1" applyFill="1" applyBorder="1" applyAlignment="1" applyProtection="1">
      <alignment horizontal="left" vertical="top"/>
      <protection locked="0"/>
    </xf>
    <xf numFmtId="0" fontId="174" fillId="48" borderId="77" xfId="8733" applyFont="1" applyFill="1" applyBorder="1" applyAlignment="1" applyProtection="1">
      <alignment horizontal="left" vertical="top"/>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02" fillId="45" borderId="72" xfId="8733" applyFont="1" applyFill="1" applyBorder="1" applyAlignment="1">
      <alignment horizontal="center"/>
    </xf>
    <xf numFmtId="0" fontId="102" fillId="45" borderId="11" xfId="8733" applyFont="1" applyFill="1" applyBorder="1" applyAlignment="1">
      <alignment horizontal="center"/>
    </xf>
    <xf numFmtId="0" fontId="165" fillId="45" borderId="11" xfId="8733" applyFont="1" applyFill="1" applyBorder="1" applyAlignment="1">
      <alignment horizontal="center" wrapText="1"/>
    </xf>
    <xf numFmtId="0" fontId="165" fillId="45" borderId="76" xfId="8733" applyFont="1" applyFill="1" applyBorder="1" applyAlignment="1">
      <alignment horizontal="center" wrapText="1"/>
    </xf>
    <xf numFmtId="0" fontId="171" fillId="45" borderId="72" xfId="8733" applyFont="1" applyFill="1" applyBorder="1" applyAlignment="1">
      <alignment horizontal="center"/>
    </xf>
    <xf numFmtId="0" fontId="171" fillId="45" borderId="11" xfId="8733" applyFont="1" applyFill="1" applyBorder="1" applyAlignment="1">
      <alignment horizontal="center"/>
    </xf>
    <xf numFmtId="0" fontId="174" fillId="48" borderId="11" xfId="8733" applyFont="1" applyFill="1" applyBorder="1" applyAlignment="1" applyProtection="1">
      <alignment horizontal="center"/>
      <protection locked="0"/>
    </xf>
    <xf numFmtId="14" fontId="172" fillId="48" borderId="11" xfId="8733" applyNumberFormat="1" applyFont="1" applyFill="1" applyBorder="1" applyAlignment="1" applyProtection="1">
      <alignment horizontal="center"/>
      <protection locked="0"/>
    </xf>
    <xf numFmtId="14" fontId="174" fillId="48" borderId="11" xfId="8733" applyNumberFormat="1" applyFont="1" applyFill="1" applyBorder="1" applyAlignment="1" applyProtection="1">
      <alignment horizontal="center"/>
      <protection locked="0"/>
    </xf>
    <xf numFmtId="0" fontId="102" fillId="45" borderId="76" xfId="8733" applyFont="1" applyFill="1" applyBorder="1" applyAlignment="1">
      <alignment horizontal="center"/>
    </xf>
    <xf numFmtId="168" fontId="174" fillId="48" borderId="11" xfId="8734" applyNumberFormat="1" applyFont="1" applyFill="1" applyBorder="1" applyAlignment="1" applyProtection="1">
      <alignment horizontal="center"/>
      <protection locked="0"/>
    </xf>
    <xf numFmtId="168" fontId="174" fillId="48" borderId="76" xfId="8734" applyNumberFormat="1" applyFont="1" applyFill="1" applyBorder="1" applyAlignment="1" applyProtection="1">
      <alignment horizontal="center"/>
      <protection locked="0"/>
    </xf>
    <xf numFmtId="0" fontId="175" fillId="48" borderId="11" xfId="8733" applyFont="1" applyFill="1" applyBorder="1" applyAlignment="1" applyProtection="1">
      <alignment horizontal="left"/>
      <protection locked="0"/>
    </xf>
    <xf numFmtId="0" fontId="171" fillId="45" borderId="69" xfId="8733" applyFont="1" applyFill="1" applyBorder="1" applyAlignment="1">
      <alignment horizontal="center"/>
    </xf>
    <xf numFmtId="0" fontId="171" fillId="45" borderId="70" xfId="8733" applyFont="1" applyFill="1" applyBorder="1" applyAlignment="1">
      <alignment horizontal="center"/>
    </xf>
    <xf numFmtId="0" fontId="175" fillId="48" borderId="70" xfId="8733" applyFont="1" applyFill="1" applyBorder="1" applyAlignment="1" applyProtection="1">
      <alignment horizontal="left"/>
      <protection locked="0"/>
    </xf>
    <xf numFmtId="0" fontId="174" fillId="48" borderId="70" xfId="8733" applyFont="1" applyFill="1" applyBorder="1" applyAlignment="1" applyProtection="1">
      <alignment horizontal="center"/>
      <protection locked="0"/>
    </xf>
    <xf numFmtId="14" fontId="174" fillId="48" borderId="70" xfId="8733" applyNumberFormat="1" applyFont="1" applyFill="1" applyBorder="1" applyAlignment="1" applyProtection="1">
      <alignment horizontal="center"/>
      <protection locked="0"/>
    </xf>
    <xf numFmtId="168" fontId="174" fillId="48" borderId="70" xfId="8734" applyNumberFormat="1" applyFont="1" applyFill="1" applyBorder="1" applyAlignment="1" applyProtection="1">
      <alignment horizontal="center"/>
      <protection locked="0"/>
    </xf>
    <xf numFmtId="168" fontId="174" fillId="48" borderId="77" xfId="8734" applyNumberFormat="1" applyFont="1" applyFill="1" applyBorder="1" applyAlignment="1" applyProtection="1">
      <alignment horizontal="center"/>
      <protection locked="0"/>
    </xf>
    <xf numFmtId="0" fontId="166" fillId="45" borderId="67" xfId="8733" applyFont="1" applyFill="1" applyBorder="1" applyAlignment="1">
      <alignment horizontal="left"/>
    </xf>
    <xf numFmtId="0" fontId="166" fillId="45" borderId="68" xfId="8733" applyFont="1" applyFill="1" applyBorder="1" applyAlignment="1">
      <alignment horizontal="left"/>
    </xf>
    <xf numFmtId="0" fontId="166" fillId="45" borderId="71" xfId="8733" applyFont="1" applyFill="1" applyBorder="1" applyAlignment="1">
      <alignment horizontal="left"/>
    </xf>
    <xf numFmtId="14" fontId="172" fillId="48" borderId="76" xfId="8733" applyNumberFormat="1" applyFont="1" applyFill="1" applyBorder="1" applyAlignment="1" applyProtection="1">
      <alignment horizontal="center"/>
      <protection locked="0"/>
    </xf>
    <xf numFmtId="0" fontId="172" fillId="48" borderId="69" xfId="8733" applyFont="1" applyFill="1" applyBorder="1" applyAlignment="1" applyProtection="1">
      <alignment horizontal="center"/>
      <protection locked="0"/>
    </xf>
    <xf numFmtId="0" fontId="172" fillId="48" borderId="70" xfId="8733" applyFont="1" applyFill="1" applyBorder="1" applyAlignment="1" applyProtection="1">
      <alignment horizontal="center"/>
      <protection locked="0"/>
    </xf>
    <xf numFmtId="14" fontId="172" fillId="48" borderId="70" xfId="8733" applyNumberFormat="1" applyFont="1" applyFill="1" applyBorder="1" applyAlignment="1" applyProtection="1">
      <alignment horizontal="center"/>
      <protection locked="0"/>
    </xf>
    <xf numFmtId="14" fontId="172" fillId="48" borderId="77" xfId="8733" applyNumberFormat="1" applyFont="1" applyFill="1" applyBorder="1" applyAlignment="1" applyProtection="1">
      <alignment horizontal="center"/>
      <protection locked="0"/>
    </xf>
    <xf numFmtId="0" fontId="172" fillId="45" borderId="72" xfId="8733" applyFont="1" applyFill="1" applyBorder="1" applyAlignment="1">
      <alignment horizontal="right"/>
    </xf>
    <xf numFmtId="0" fontId="172" fillId="45" borderId="11" xfId="8733" applyFont="1" applyFill="1" applyBorder="1" applyAlignment="1">
      <alignment horizontal="right"/>
    </xf>
    <xf numFmtId="168" fontId="174" fillId="44" borderId="11" xfId="700" applyNumberFormat="1" applyFont="1" applyFill="1" applyBorder="1" applyAlignment="1">
      <alignment horizontal="left"/>
    </xf>
    <xf numFmtId="0" fontId="102" fillId="45" borderId="65" xfId="8733" applyFont="1" applyFill="1" applyBorder="1" applyAlignment="1">
      <alignment horizontal="left" wrapText="1"/>
    </xf>
    <xf numFmtId="0" fontId="102" fillId="45" borderId="29" xfId="8733" applyFont="1" applyFill="1" applyBorder="1" applyAlignment="1">
      <alignment horizontal="left" wrapText="1"/>
    </xf>
    <xf numFmtId="0" fontId="102" fillId="45" borderId="31" xfId="8733" applyFont="1" applyFill="1" applyBorder="1" applyAlignment="1">
      <alignment horizontal="left" wrapText="1"/>
    </xf>
    <xf numFmtId="0" fontId="102" fillId="45" borderId="73" xfId="8733" applyFont="1" applyFill="1" applyBorder="1" applyAlignment="1">
      <alignment horizontal="left" wrapText="1"/>
    </xf>
    <xf numFmtId="0" fontId="102" fillId="45" borderId="42" xfId="8733" applyFont="1" applyFill="1" applyBorder="1" applyAlignment="1">
      <alignment horizontal="left" wrapText="1"/>
    </xf>
    <xf numFmtId="0" fontId="102" fillId="45" borderId="44" xfId="8733"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2" fillId="47" borderId="0" xfId="8733" applyFont="1" applyFill="1" applyAlignment="1">
      <alignment horizontal="center"/>
    </xf>
    <xf numFmtId="0" fontId="173" fillId="51" borderId="11" xfId="8733" applyFont="1" applyFill="1" applyBorder="1" applyAlignment="1">
      <alignment horizontal="center"/>
    </xf>
    <xf numFmtId="0" fontId="173" fillId="51" borderId="76" xfId="8733" applyFont="1" applyFill="1" applyBorder="1" applyAlignment="1">
      <alignment horizontal="center"/>
    </xf>
    <xf numFmtId="0" fontId="174" fillId="45" borderId="72" xfId="8733" applyFont="1" applyFill="1" applyBorder="1" applyAlignment="1">
      <alignment horizontal="right"/>
    </xf>
    <xf numFmtId="0" fontId="174" fillId="45" borderId="11" xfId="8733"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3" applyFill="1" applyBorder="1" applyAlignment="1">
      <alignment horizontal="center"/>
    </xf>
    <xf numFmtId="0" fontId="2" fillId="48" borderId="4" xfId="8733" applyFill="1" applyBorder="1" applyAlignment="1">
      <alignment horizontal="center"/>
    </xf>
    <xf numFmtId="0" fontId="2" fillId="48" borderId="81" xfId="8733"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3" applyFont="1" applyFill="1" applyBorder="1" applyAlignment="1">
      <alignment horizontal="center"/>
    </xf>
    <xf numFmtId="0" fontId="172" fillId="48" borderId="6" xfId="8733" applyFont="1" applyFill="1" applyBorder="1" applyAlignment="1">
      <alignment horizontal="center"/>
    </xf>
    <xf numFmtId="0" fontId="172" fillId="48" borderId="82" xfId="8733" applyFont="1" applyFill="1" applyBorder="1" applyAlignment="1">
      <alignment horizontal="center"/>
    </xf>
    <xf numFmtId="0" fontId="174" fillId="48" borderId="11" xfId="8733" applyFont="1" applyFill="1" applyBorder="1" applyAlignment="1" applyProtection="1">
      <alignment horizontal="left"/>
      <protection locked="0"/>
    </xf>
    <xf numFmtId="0" fontId="2" fillId="48" borderId="1" xfId="8733" applyFill="1" applyBorder="1" applyAlignment="1">
      <alignment horizontal="center"/>
    </xf>
    <xf numFmtId="0" fontId="2" fillId="48" borderId="2" xfId="8733" applyFill="1" applyBorder="1" applyAlignment="1">
      <alignment horizontal="center"/>
    </xf>
    <xf numFmtId="0" fontId="2" fillId="48" borderId="112" xfId="8733" applyFill="1" applyBorder="1" applyAlignment="1">
      <alignment horizontal="center"/>
    </xf>
    <xf numFmtId="0" fontId="174" fillId="48" borderId="72" xfId="8733"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3" applyFont="1" applyFill="1" applyBorder="1" applyAlignment="1">
      <alignment horizontal="right"/>
    </xf>
    <xf numFmtId="0" fontId="174" fillId="45" borderId="68" xfId="8733"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3" applyFont="1" applyFill="1" applyBorder="1" applyAlignment="1">
      <alignment horizontal="left" wrapText="1"/>
    </xf>
    <xf numFmtId="0" fontId="171" fillId="48" borderId="0" xfId="8733" applyFont="1" applyFill="1" applyAlignment="1">
      <alignment horizontal="left" wrapText="1"/>
    </xf>
    <xf numFmtId="0" fontId="171" fillId="48" borderId="41" xfId="8733" applyFont="1" applyFill="1" applyBorder="1" applyAlignment="1">
      <alignment horizontal="left" wrapText="1"/>
    </xf>
    <xf numFmtId="0" fontId="171" fillId="48" borderId="73" xfId="8733" applyFont="1" applyFill="1" applyBorder="1" applyAlignment="1">
      <alignment horizontal="left" wrapText="1"/>
    </xf>
    <xf numFmtId="0" fontId="171" fillId="48" borderId="42" xfId="8733" applyFont="1" applyFill="1" applyBorder="1" applyAlignment="1">
      <alignment horizontal="left" wrapText="1"/>
    </xf>
    <xf numFmtId="0" fontId="171" fillId="48" borderId="44" xfId="8733" applyFont="1" applyFill="1" applyBorder="1" applyAlignment="1">
      <alignment horizontal="left" wrapText="1"/>
    </xf>
    <xf numFmtId="0" fontId="173" fillId="45" borderId="69" xfId="8733" applyFont="1" applyFill="1" applyBorder="1" applyAlignment="1">
      <alignment horizontal="right"/>
    </xf>
    <xf numFmtId="0" fontId="173" fillId="45" borderId="70" xfId="8733"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3"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3" applyFont="1" applyFill="1" applyBorder="1" applyAlignment="1" applyProtection="1">
      <alignment horizontal="center"/>
      <protection locked="0"/>
    </xf>
    <xf numFmtId="0" fontId="172" fillId="48" borderId="86" xfId="8733" applyFont="1" applyFill="1" applyBorder="1" applyAlignment="1" applyProtection="1">
      <alignment horizontal="center"/>
      <protection locked="0"/>
    </xf>
    <xf numFmtId="0" fontId="174" fillId="48" borderId="70" xfId="8733" applyFont="1" applyFill="1" applyBorder="1" applyAlignment="1" applyProtection="1">
      <alignment horizontal="left"/>
      <protection locked="0"/>
    </xf>
    <xf numFmtId="0" fontId="174" fillId="48" borderId="77" xfId="8733"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3" applyFont="1" applyFill="1" applyBorder="1" applyAlignment="1" applyProtection="1">
      <alignment horizontal="left"/>
      <protection locked="0"/>
    </xf>
    <xf numFmtId="0" fontId="172" fillId="48" borderId="86" xfId="8733" applyFont="1" applyFill="1" applyBorder="1" applyAlignment="1" applyProtection="1">
      <alignment horizontal="left"/>
      <protection locked="0"/>
    </xf>
    <xf numFmtId="0" fontId="172" fillId="48" borderId="85" xfId="8733" applyFont="1" applyFill="1" applyBorder="1" applyAlignment="1" applyProtection="1">
      <alignment horizontal="left"/>
      <protection locked="0"/>
    </xf>
    <xf numFmtId="0" fontId="102" fillId="48" borderId="80" xfId="8733" applyFont="1" applyFill="1" applyBorder="1" applyAlignment="1">
      <alignment horizontal="left"/>
    </xf>
    <xf numFmtId="0" fontId="102" fillId="48" borderId="79" xfId="8733"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3"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3" applyNumberFormat="1" applyBorder="1" applyAlignment="1">
      <alignment horizontal="center"/>
    </xf>
    <xf numFmtId="0" fontId="2" fillId="0" borderId="13" xfId="8733" applyBorder="1" applyAlignment="1">
      <alignment horizontal="center"/>
    </xf>
    <xf numFmtId="0" fontId="165" fillId="45" borderId="80" xfId="0" applyFont="1" applyFill="1" applyBorder="1" applyAlignment="1" applyProtection="1">
      <alignment horizontal="center" wrapText="1"/>
      <protection hidden="1"/>
    </xf>
    <xf numFmtId="0" fontId="165" fillId="45" borderId="79" xfId="0" applyFont="1" applyFill="1" applyBorder="1" applyAlignment="1" applyProtection="1">
      <alignment horizontal="center" wrapText="1"/>
      <protection hidden="1"/>
    </xf>
    <xf numFmtId="0" fontId="165" fillId="45" borderId="78" xfId="0" applyFont="1" applyFill="1" applyBorder="1" applyAlignment="1" applyProtection="1">
      <alignment horizontal="center" wrapText="1"/>
      <protection hidden="1"/>
    </xf>
    <xf numFmtId="0" fontId="165" fillId="45" borderId="13" xfId="0" applyFont="1" applyFill="1" applyBorder="1" applyAlignment="1" applyProtection="1">
      <alignment horizontal="left" wrapText="1"/>
      <protection hidden="1"/>
    </xf>
    <xf numFmtId="0" fontId="165" fillId="45" borderId="13" xfId="0" applyFont="1" applyFill="1" applyBorder="1" applyAlignment="1" applyProtection="1">
      <alignment horizontal="center" wrapText="1"/>
      <protection hidden="1"/>
    </xf>
    <xf numFmtId="0" fontId="171" fillId="45" borderId="11" xfId="8733"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0"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3" applyFont="1" applyFill="1" applyBorder="1" applyAlignment="1">
      <alignment horizontal="center"/>
    </xf>
    <xf numFmtId="0" fontId="167" fillId="47" borderId="29" xfId="8733" applyFont="1" applyFill="1" applyBorder="1" applyAlignment="1">
      <alignment horizontal="center"/>
    </xf>
    <xf numFmtId="0" fontId="167" fillId="47" borderId="31" xfId="8733" applyFont="1" applyFill="1" applyBorder="1" applyAlignment="1">
      <alignment horizontal="center"/>
    </xf>
    <xf numFmtId="0" fontId="2" fillId="47" borderId="66" xfId="8733" applyFill="1" applyBorder="1" applyAlignment="1">
      <alignment horizontal="center"/>
    </xf>
    <xf numFmtId="0" fontId="2" fillId="47" borderId="0" xfId="8733" applyFill="1" applyAlignment="1">
      <alignment horizontal="center"/>
    </xf>
    <xf numFmtId="0" fontId="2" fillId="47" borderId="41" xfId="8733" applyFill="1" applyBorder="1" applyAlignment="1">
      <alignment horizontal="center"/>
    </xf>
    <xf numFmtId="0" fontId="166" fillId="47" borderId="66" xfId="8733" applyFont="1" applyFill="1" applyBorder="1" applyAlignment="1">
      <alignment horizontal="center"/>
    </xf>
    <xf numFmtId="0" fontId="166" fillId="47" borderId="0" xfId="8733" applyFont="1" applyFill="1" applyAlignment="1">
      <alignment horizontal="center"/>
    </xf>
    <xf numFmtId="0" fontId="166" fillId="47" borderId="41" xfId="8733" applyFont="1" applyFill="1" applyBorder="1" applyAlignment="1">
      <alignment horizontal="center"/>
    </xf>
    <xf numFmtId="0" fontId="102" fillId="47" borderId="66" xfId="8733" applyFont="1" applyFill="1" applyBorder="1" applyAlignment="1">
      <alignment horizontal="center"/>
    </xf>
    <xf numFmtId="0" fontId="102" fillId="47" borderId="41" xfId="8733" applyFont="1" applyFill="1" applyBorder="1" applyAlignment="1">
      <alignment horizontal="center"/>
    </xf>
    <xf numFmtId="0" fontId="102" fillId="47" borderId="0" xfId="8733"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4494"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2" fillId="44" borderId="0" xfId="8733" applyFont="1" applyFill="1" applyAlignment="1">
      <alignment horizontal="left"/>
    </xf>
    <xf numFmtId="0" fontId="2" fillId="48" borderId="80" xfId="8733" applyFill="1" applyBorder="1" applyAlignment="1" applyProtection="1">
      <alignment horizontal="left"/>
      <protection locked="0"/>
    </xf>
    <xf numFmtId="0" fontId="2" fillId="48" borderId="79" xfId="8733" applyFill="1" applyBorder="1" applyAlignment="1" applyProtection="1">
      <alignment horizontal="left"/>
      <protection locked="0"/>
    </xf>
    <xf numFmtId="0" fontId="2" fillId="48" borderId="78" xfId="8733" applyFill="1" applyBorder="1" applyAlignment="1" applyProtection="1">
      <alignment horizontal="left"/>
      <protection locked="0"/>
    </xf>
    <xf numFmtId="0" fontId="165" fillId="44" borderId="0" xfId="8733" applyFont="1" applyFill="1" applyAlignment="1">
      <alignment horizontal="left" vertical="top"/>
    </xf>
    <xf numFmtId="0" fontId="102" fillId="44" borderId="0" xfId="8730" applyFont="1" applyFill="1" applyBorder="1" applyAlignment="1">
      <alignment horizontal="left" vertical="top"/>
    </xf>
    <xf numFmtId="14" fontId="2" fillId="48" borderId="80" xfId="8733" applyNumberFormat="1" applyFill="1" applyBorder="1" applyAlignment="1" applyProtection="1">
      <alignment horizontal="center"/>
      <protection locked="0"/>
    </xf>
    <xf numFmtId="14" fontId="2" fillId="48" borderId="79" xfId="8733" applyNumberFormat="1" applyFill="1" applyBorder="1" applyAlignment="1" applyProtection="1">
      <alignment horizontal="center"/>
      <protection locked="0"/>
    </xf>
    <xf numFmtId="14" fontId="2" fillId="48" borderId="78" xfId="8733" applyNumberFormat="1" applyFill="1" applyBorder="1" applyAlignment="1" applyProtection="1">
      <alignment horizontal="center"/>
      <protection locked="0"/>
    </xf>
    <xf numFmtId="0" fontId="166" fillId="47" borderId="0" xfId="8733" applyFont="1" applyFill="1" applyAlignment="1">
      <alignment horizontal="left" vertical="top" wrapText="1"/>
    </xf>
    <xf numFmtId="0" fontId="102" fillId="47" borderId="42" xfId="8733" applyFont="1" applyFill="1" applyBorder="1" applyAlignment="1">
      <alignment horizontal="center"/>
    </xf>
    <xf numFmtId="0" fontId="2" fillId="48" borderId="80" xfId="8733" applyFill="1" applyBorder="1" applyAlignment="1" applyProtection="1">
      <alignment horizontal="center"/>
      <protection locked="0"/>
    </xf>
    <xf numFmtId="0" fontId="2" fillId="48" borderId="79" xfId="8733" applyFill="1" applyBorder="1" applyAlignment="1" applyProtection="1">
      <alignment horizontal="center"/>
      <protection locked="0"/>
    </xf>
    <xf numFmtId="0" fontId="2" fillId="48" borderId="78" xfId="8733" applyFill="1" applyBorder="1" applyAlignment="1" applyProtection="1">
      <alignment horizontal="center"/>
      <protection locked="0"/>
    </xf>
    <xf numFmtId="168" fontId="17" fillId="2" borderId="3" xfId="569" applyNumberFormat="1" applyFill="1" applyBorder="1" applyAlignment="1">
      <alignment horizontal="center"/>
    </xf>
    <xf numFmtId="168" fontId="17" fillId="2" borderId="4" xfId="569" applyNumberFormat="1" applyFill="1" applyBorder="1" applyAlignment="1">
      <alignment horizontal="center"/>
    </xf>
    <xf numFmtId="168" fontId="17" fillId="2" borderId="5" xfId="569" applyNumberFormat="1" applyFill="1" applyBorder="1" applyAlignment="1">
      <alignment horizontal="center"/>
    </xf>
    <xf numFmtId="168" fontId="17" fillId="5" borderId="5" xfId="569" applyNumberFormat="1" applyFill="1" applyBorder="1" applyAlignment="1" applyProtection="1">
      <alignment horizontal="center"/>
      <protection locked="0"/>
    </xf>
    <xf numFmtId="168" fontId="17" fillId="5" borderId="11" xfId="569" applyNumberFormat="1" applyFill="1" applyBorder="1" applyAlignment="1" applyProtection="1">
      <alignment horizontal="center"/>
      <protection locked="0"/>
    </xf>
    <xf numFmtId="168" fontId="17" fillId="0" borderId="5" xfId="569" applyNumberFormat="1" applyBorder="1" applyAlignment="1">
      <alignment horizontal="center"/>
    </xf>
    <xf numFmtId="168" fontId="17" fillId="0" borderId="11" xfId="569" applyNumberFormat="1" applyBorder="1" applyAlignment="1">
      <alignment horizontal="center"/>
    </xf>
    <xf numFmtId="168" fontId="17" fillId="0" borderId="3" xfId="569" applyNumberFormat="1" applyBorder="1" applyAlignment="1">
      <alignment horizontal="center"/>
    </xf>
    <xf numFmtId="168" fontId="17" fillId="0" borderId="4" xfId="569" applyNumberFormat="1" applyBorder="1" applyAlignment="1">
      <alignment horizontal="center"/>
    </xf>
    <xf numFmtId="179" fontId="24" fillId="0" borderId="0" xfId="569" applyNumberFormat="1" applyFont="1" applyAlignment="1">
      <alignment horizontal="center" wrapText="1"/>
    </xf>
    <xf numFmtId="0" fontId="24" fillId="0" borderId="16" xfId="271" applyFont="1" applyBorder="1" applyAlignment="1">
      <alignment horizontal="center"/>
    </xf>
    <xf numFmtId="164" fontId="24" fillId="0" borderId="0" xfId="569" applyNumberFormat="1" applyFont="1" applyAlignment="1">
      <alignment horizontal="center" wrapText="1"/>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0" fontId="53" fillId="0" borderId="0" xfId="569" applyFont="1" applyAlignment="1">
      <alignment horizontal="left"/>
    </xf>
    <xf numFmtId="0" fontId="17" fillId="0" borderId="3" xfId="569" applyBorder="1" applyAlignment="1">
      <alignment horizontal="right"/>
    </xf>
    <xf numFmtId="0" fontId="17" fillId="0" borderId="4" xfId="569" applyBorder="1" applyAlignment="1">
      <alignment horizontal="right"/>
    </xf>
    <xf numFmtId="0" fontId="17" fillId="0" borderId="5" xfId="569" applyBorder="1" applyAlignment="1">
      <alignment horizontal="right"/>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168" fontId="17" fillId="0" borderId="3" xfId="569" applyNumberFormat="1" applyBorder="1" applyAlignment="1">
      <alignment horizontal="right"/>
    </xf>
    <xf numFmtId="168" fontId="17" fillId="0" borderId="4" xfId="569" applyNumberFormat="1" applyBorder="1" applyAlignment="1">
      <alignment horizontal="right"/>
    </xf>
    <xf numFmtId="168" fontId="17" fillId="0" borderId="5" xfId="569" applyNumberFormat="1" applyBorder="1" applyAlignment="1">
      <alignment horizontal="right"/>
    </xf>
    <xf numFmtId="9" fontId="17" fillId="0" borderId="5" xfId="569" applyNumberFormat="1" applyBorder="1" applyAlignment="1">
      <alignment horizontal="center"/>
    </xf>
    <xf numFmtId="9" fontId="17" fillId="0" borderId="11" xfId="569" applyNumberFormat="1" applyBorder="1" applyAlignment="1">
      <alignment horizontal="center"/>
    </xf>
    <xf numFmtId="0" fontId="24" fillId="0" borderId="3" xfId="569" applyFont="1" applyBorder="1" applyAlignment="1">
      <alignment horizontal="left"/>
    </xf>
    <xf numFmtId="0" fontId="24" fillId="0" borderId="5" xfId="569" applyFont="1" applyBorder="1" applyAlignment="1">
      <alignment horizontal="left"/>
    </xf>
    <xf numFmtId="0" fontId="25" fillId="0" borderId="4" xfId="569" applyFont="1" applyBorder="1" applyAlignment="1">
      <alignment horizontal="left"/>
    </xf>
    <xf numFmtId="0" fontId="25" fillId="0" borderId="5" xfId="569" applyFont="1" applyBorder="1" applyAlignment="1">
      <alignment horizontal="left"/>
    </xf>
    <xf numFmtId="0" fontId="23" fillId="3" borderId="2" xfId="569" applyFont="1" applyFill="1" applyBorder="1" applyAlignment="1">
      <alignment horizontal="center" vertical="center"/>
    </xf>
    <xf numFmtId="0" fontId="23" fillId="3" borderId="16" xfId="569" applyFont="1" applyFill="1" applyBorder="1" applyAlignment="1">
      <alignment horizontal="center" vertical="center"/>
    </xf>
    <xf numFmtId="0" fontId="24" fillId="0" borderId="11" xfId="569" applyFont="1" applyBorder="1" applyAlignment="1">
      <alignment horizontal="center" wrapText="1"/>
    </xf>
    <xf numFmtId="168" fontId="17" fillId="0" borderId="7" xfId="569" applyNumberFormat="1" applyBorder="1" applyAlignment="1">
      <alignment horizontal="center"/>
    </xf>
    <xf numFmtId="168" fontId="17" fillId="0" borderId="15" xfId="569" applyNumberFormat="1" applyBorder="1" applyAlignment="1">
      <alignment horizontal="center"/>
    </xf>
    <xf numFmtId="168" fontId="17" fillId="5" borderId="10" xfId="569" applyNumberFormat="1" applyFill="1" applyBorder="1" applyAlignment="1" applyProtection="1">
      <alignment horizontal="center"/>
      <protection locked="0"/>
    </xf>
    <xf numFmtId="168" fontId="17" fillId="5" borderId="13" xfId="569" applyNumberFormat="1" applyFill="1" applyBorder="1" applyAlignment="1" applyProtection="1">
      <alignment horizontal="center"/>
      <protection locked="0"/>
    </xf>
    <xf numFmtId="5" fontId="17" fillId="0" borderId="5" xfId="569" applyNumberFormat="1" applyBorder="1" applyAlignment="1">
      <alignment horizontal="center"/>
    </xf>
    <xf numFmtId="5" fontId="17" fillId="0" borderId="11" xfId="569" applyNumberFormat="1" applyBorder="1" applyAlignment="1">
      <alignment horizontal="center"/>
    </xf>
    <xf numFmtId="5" fontId="17" fillId="0" borderId="3" xfId="569" applyNumberFormat="1" applyBorder="1" applyAlignment="1">
      <alignment horizontal="center"/>
    </xf>
    <xf numFmtId="5" fontId="17" fillId="0" borderId="4" xfId="569" applyNumberFormat="1" applyBorder="1" applyAlignment="1">
      <alignment horizontal="center"/>
    </xf>
    <xf numFmtId="9" fontId="17" fillId="0" borderId="9" xfId="569" applyNumberFormat="1" applyBorder="1" applyAlignment="1">
      <alignment horizontal="center" vertical="center"/>
    </xf>
    <xf numFmtId="9" fontId="17" fillId="0" borderId="6" xfId="569" applyNumberFormat="1" applyBorder="1" applyAlignment="1">
      <alignment horizontal="center" vertical="center"/>
    </xf>
    <xf numFmtId="9" fontId="17" fillId="0" borderId="10" xfId="569" applyNumberFormat="1" applyBorder="1" applyAlignment="1">
      <alignment horizontal="center" vertical="center"/>
    </xf>
    <xf numFmtId="168" fontId="17" fillId="0" borderId="11" xfId="569" applyNumberFormat="1" applyBorder="1" applyAlignment="1">
      <alignment horizontal="right"/>
    </xf>
    <xf numFmtId="0" fontId="24" fillId="0" borderId="6" xfId="569" applyFont="1" applyBorder="1" applyAlignment="1">
      <alignment horizontal="center"/>
    </xf>
    <xf numFmtId="0" fontId="17" fillId="0" borderId="4" xfId="569" applyBorder="1" applyAlignment="1">
      <alignment horizontal="center"/>
    </xf>
    <xf numFmtId="0" fontId="17" fillId="0" borderId="5" xfId="569" applyBorder="1" applyAlignment="1">
      <alignment horizontal="center"/>
    </xf>
    <xf numFmtId="176" fontId="17" fillId="5" borderId="3" xfId="569" applyNumberFormat="1" applyFill="1" applyBorder="1" applyAlignment="1" applyProtection="1">
      <alignment horizontal="right"/>
      <protection locked="0"/>
    </xf>
    <xf numFmtId="176" fontId="17" fillId="5" borderId="4" xfId="569" applyNumberFormat="1" applyFill="1" applyBorder="1" applyAlignment="1" applyProtection="1">
      <alignment horizontal="right"/>
      <protection locked="0"/>
    </xf>
    <xf numFmtId="176" fontId="17" fillId="5" borderId="5" xfId="569" applyNumberFormat="1" applyFill="1" applyBorder="1" applyAlignment="1" applyProtection="1">
      <alignment horizontal="right"/>
      <protection locked="0"/>
    </xf>
    <xf numFmtId="0" fontId="107" fillId="0" borderId="0" xfId="569" applyFont="1" applyAlignment="1">
      <alignment horizontal="left" wrapText="1"/>
    </xf>
    <xf numFmtId="0" fontId="24" fillId="0" borderId="11" xfId="569" applyFont="1" applyBorder="1" applyAlignment="1">
      <alignment horizontal="center"/>
    </xf>
    <xf numFmtId="165" fontId="17" fillId="0" borderId="11" xfId="569" applyNumberFormat="1" applyBorder="1" applyAlignment="1" applyProtection="1">
      <alignment horizontal="center"/>
      <protection locked="0"/>
    </xf>
    <xf numFmtId="168" fontId="17" fillId="0" borderId="11" xfId="569" applyNumberFormat="1" applyBorder="1"/>
    <xf numFmtId="168" fontId="17" fillId="0" borderId="3" xfId="569" applyNumberFormat="1" applyBorder="1"/>
    <xf numFmtId="168" fontId="17" fillId="0" borderId="4" xfId="569" applyNumberFormat="1" applyBorder="1"/>
    <xf numFmtId="168" fontId="17" fillId="0" borderId="5" xfId="569" applyNumberFormat="1" applyBorder="1"/>
    <xf numFmtId="168" fontId="17" fillId="0" borderId="11" xfId="569" applyNumberFormat="1" applyBorder="1" applyAlignment="1">
      <alignment wrapText="1"/>
    </xf>
    <xf numFmtId="9" fontId="17" fillId="0" borderId="15" xfId="569" applyNumberFormat="1" applyBorder="1" applyAlignment="1">
      <alignment horizontal="center"/>
    </xf>
    <xf numFmtId="0" fontId="17" fillId="0" borderId="11" xfId="569" applyBorder="1" applyAlignment="1">
      <alignment horizontal="center"/>
    </xf>
    <xf numFmtId="0" fontId="107" fillId="0" borderId="0" xfId="0" applyFont="1" applyAlignment="1">
      <alignment horizontal="left" vertical="top" wrapText="1"/>
    </xf>
    <xf numFmtId="0" fontId="24" fillId="0" borderId="0" xfId="4495" applyFont="1" applyAlignment="1">
      <alignment horizontal="left" wrapText="1"/>
    </xf>
    <xf numFmtId="0" fontId="17" fillId="0" borderId="0" xfId="4495" applyFont="1" applyAlignment="1">
      <alignment wrapText="1"/>
    </xf>
    <xf numFmtId="0" fontId="17" fillId="0" borderId="0" xfId="4495" applyFont="1" applyAlignment="1">
      <alignment horizontal="left"/>
    </xf>
    <xf numFmtId="0" fontId="17" fillId="5" borderId="6" xfId="4495" applyFont="1" applyFill="1" applyBorder="1" applyAlignment="1" applyProtection="1">
      <alignment horizontal="center"/>
      <protection locked="0"/>
    </xf>
    <xf numFmtId="164" fontId="17" fillId="0" borderId="50" xfId="4495" applyNumberFormat="1" applyFont="1" applyBorder="1" applyAlignment="1">
      <alignment horizontal="left" vertical="top" wrapText="1"/>
    </xf>
    <xf numFmtId="164" fontId="17" fillId="0" borderId="51" xfId="4495" applyNumberFormat="1" applyFont="1" applyBorder="1" applyAlignment="1">
      <alignment horizontal="left" vertical="top" wrapText="1"/>
    </xf>
    <xf numFmtId="164" fontId="17" fillId="0" borderId="52" xfId="4495" applyNumberFormat="1" applyFont="1" applyBorder="1" applyAlignment="1">
      <alignment horizontal="left" vertical="top" wrapText="1"/>
    </xf>
    <xf numFmtId="164" fontId="17" fillId="0" borderId="53" xfId="4495" applyNumberFormat="1" applyFont="1" applyBorder="1" applyAlignment="1">
      <alignment horizontal="left" vertical="top" wrapText="1"/>
    </xf>
    <xf numFmtId="164" fontId="17" fillId="0" borderId="0" xfId="4495" applyNumberFormat="1" applyFont="1" applyAlignment="1">
      <alignment horizontal="left" vertical="top" wrapText="1"/>
    </xf>
    <xf numFmtId="164" fontId="17" fillId="0" borderId="54" xfId="4495" applyNumberFormat="1" applyFont="1" applyBorder="1" applyAlignment="1">
      <alignment horizontal="left" vertical="top" wrapText="1"/>
    </xf>
    <xf numFmtId="164" fontId="17" fillId="0" borderId="57" xfId="4495" applyNumberFormat="1" applyFont="1" applyBorder="1" applyAlignment="1">
      <alignment horizontal="left" vertical="top" wrapText="1"/>
    </xf>
    <xf numFmtId="164" fontId="17" fillId="0" borderId="58" xfId="4495" applyNumberFormat="1" applyFont="1" applyBorder="1" applyAlignment="1">
      <alignment horizontal="left" vertical="top" wrapText="1"/>
    </xf>
    <xf numFmtId="164" fontId="17" fillId="0" borderId="59" xfId="4495" applyNumberFormat="1" applyFont="1" applyBorder="1" applyAlignment="1">
      <alignment horizontal="left" vertical="top" wrapText="1"/>
    </xf>
    <xf numFmtId="0" fontId="17" fillId="45" borderId="11" xfId="4495" applyFont="1" applyFill="1" applyBorder="1" applyAlignment="1">
      <alignment horizontal="center"/>
    </xf>
    <xf numFmtId="4" fontId="25" fillId="0" borderId="3" xfId="4495" applyNumberFormat="1" applyFont="1" applyBorder="1" applyAlignment="1">
      <alignment horizontal="center"/>
    </xf>
    <xf numFmtId="4" fontId="25" fillId="0" borderId="4" xfId="4495" applyNumberFormat="1" applyFont="1" applyBorder="1" applyAlignment="1">
      <alignment horizontal="center"/>
    </xf>
    <xf numFmtId="4" fontId="25" fillId="0" borderId="5" xfId="4495" applyNumberFormat="1" applyFont="1" applyBorder="1" applyAlignment="1">
      <alignment horizontal="center"/>
    </xf>
    <xf numFmtId="165" fontId="122" fillId="0" borderId="3" xfId="4496" applyNumberFormat="1" applyFont="1" applyBorder="1" applyAlignment="1">
      <alignment horizontal="center" vertical="top" wrapText="1"/>
    </xf>
    <xf numFmtId="165" fontId="122" fillId="0" borderId="4" xfId="4496" applyNumberFormat="1" applyFont="1" applyBorder="1" applyAlignment="1">
      <alignment horizontal="center" vertical="top" wrapText="1"/>
    </xf>
    <xf numFmtId="165" fontId="122" fillId="0" borderId="5" xfId="4496" applyNumberFormat="1" applyFont="1" applyBorder="1" applyAlignment="1">
      <alignment horizontal="center" vertical="top" wrapText="1"/>
    </xf>
    <xf numFmtId="3" fontId="17" fillId="43" borderId="6" xfId="1192" applyNumberFormat="1" applyFill="1" applyBorder="1" applyAlignment="1" applyProtection="1">
      <alignment horizontal="right"/>
      <protection locked="0"/>
    </xf>
    <xf numFmtId="168" fontId="17" fillId="0" borderId="0" xfId="1192" applyNumberFormat="1" applyAlignment="1">
      <alignment horizontal="right"/>
    </xf>
    <xf numFmtId="0" fontId="142" fillId="0" borderId="0" xfId="1192" applyFont="1" applyAlignment="1">
      <alignment horizontal="center"/>
    </xf>
    <xf numFmtId="168" fontId="17" fillId="43" borderId="6" xfId="543" applyNumberFormat="1" applyFill="1" applyBorder="1" applyAlignment="1" applyProtection="1">
      <alignment horizontal="center"/>
      <protection locked="0"/>
    </xf>
    <xf numFmtId="168" fontId="17" fillId="5" borderId="4" xfId="1192" applyNumberFormat="1" applyFill="1" applyBorder="1" applyAlignment="1" applyProtection="1">
      <alignment horizontal="center"/>
      <protection locked="0"/>
    </xf>
    <xf numFmtId="4" fontId="25" fillId="0" borderId="6" xfId="4495" applyNumberFormat="1" applyFont="1" applyBorder="1" applyAlignment="1">
      <alignment horizontal="center"/>
    </xf>
    <xf numFmtId="1" fontId="17" fillId="5" borderId="2" xfId="1192" applyNumberFormat="1" applyFill="1" applyBorder="1" applyAlignment="1" applyProtection="1">
      <alignment horizontal="center"/>
      <protection locked="0"/>
    </xf>
    <xf numFmtId="168" fontId="17" fillId="0" borderId="6" xfId="1192" applyNumberFormat="1" applyBorder="1" applyAlignment="1">
      <alignment horizontal="right"/>
    </xf>
    <xf numFmtId="168" fontId="17" fillId="0" borderId="4" xfId="1192" applyNumberFormat="1" applyBorder="1" applyAlignment="1">
      <alignment horizontal="right"/>
    </xf>
    <xf numFmtId="4" fontId="25" fillId="0" borderId="0" xfId="4495" applyNumberFormat="1" applyFont="1" applyAlignment="1">
      <alignment horizontal="center"/>
    </xf>
    <xf numFmtId="0" fontId="17" fillId="0" borderId="53" xfId="4495" applyFont="1" applyBorder="1" applyAlignment="1">
      <alignment horizontal="left" vertical="top" wrapText="1"/>
    </xf>
    <xf numFmtId="0" fontId="17" fillId="0" borderId="0" xfId="4495" applyFont="1" applyAlignment="1">
      <alignment horizontal="left" vertical="top" wrapText="1"/>
    </xf>
    <xf numFmtId="0" fontId="17" fillId="0" borderId="54" xfId="4495" applyFont="1" applyBorder="1" applyAlignment="1">
      <alignment horizontal="left" vertical="top" wrapText="1"/>
    </xf>
    <xf numFmtId="0" fontId="17" fillId="0" borderId="57" xfId="4495" applyFont="1" applyBorder="1" applyAlignment="1">
      <alignment horizontal="left" vertical="top" wrapText="1"/>
    </xf>
    <xf numFmtId="0" fontId="17" fillId="0" borderId="58" xfId="4495" applyFont="1" applyBorder="1" applyAlignment="1">
      <alignment horizontal="left" vertical="top" wrapText="1"/>
    </xf>
    <xf numFmtId="168" fontId="17" fillId="0" borderId="6" xfId="4496" applyNumberFormat="1" applyFont="1" applyBorder="1" applyAlignment="1">
      <alignment horizontal="center"/>
    </xf>
    <xf numFmtId="168" fontId="17" fillId="0" borderId="4" xfId="4496" applyNumberFormat="1" applyFont="1" applyBorder="1" applyAlignment="1">
      <alignment horizontal="center"/>
    </xf>
    <xf numFmtId="9" fontId="17" fillId="0" borderId="4" xfId="4496" applyNumberFormat="1" applyFont="1" applyBorder="1" applyAlignment="1">
      <alignment horizontal="center"/>
    </xf>
    <xf numFmtId="0" fontId="17" fillId="0" borderId="3" xfId="4495" applyFont="1" applyBorder="1" applyAlignment="1">
      <alignment horizontal="center"/>
    </xf>
    <xf numFmtId="0" fontId="17" fillId="0" borderId="4" xfId="4495" applyFont="1" applyBorder="1" applyAlignment="1">
      <alignment horizontal="center"/>
    </xf>
    <xf numFmtId="0" fontId="17" fillId="0" borderId="5" xfId="4495" applyFont="1" applyBorder="1" applyAlignment="1">
      <alignment horizontal="center"/>
    </xf>
    <xf numFmtId="0" fontId="25" fillId="0" borderId="51" xfId="4495" applyFont="1" applyBorder="1" applyAlignment="1">
      <alignment horizontal="left" vertical="top" wrapText="1"/>
    </xf>
    <xf numFmtId="0" fontId="25" fillId="0" borderId="0" xfId="4495" applyFont="1" applyAlignment="1">
      <alignment horizontal="left" vertical="top" wrapText="1"/>
    </xf>
    <xf numFmtId="0" fontId="25" fillId="0" borderId="58" xfId="4495" applyFont="1" applyBorder="1" applyAlignment="1">
      <alignment horizontal="left" vertical="top" wrapText="1"/>
    </xf>
    <xf numFmtId="10" fontId="25" fillId="0" borderId="2" xfId="4495" applyNumberFormat="1" applyFont="1" applyBorder="1" applyAlignment="1">
      <alignment horizontal="center"/>
    </xf>
    <xf numFmtId="0" fontId="25" fillId="0" borderId="0" xfId="4495" applyFont="1" applyAlignment="1">
      <alignment horizontal="center"/>
    </xf>
    <xf numFmtId="9" fontId="25" fillId="5" borderId="6" xfId="4495" applyNumberFormat="1" applyFont="1" applyFill="1" applyBorder="1" applyAlignment="1">
      <alignment horizontal="left"/>
    </xf>
    <xf numFmtId="0" fontId="130" fillId="0" borderId="0" xfId="4495" applyFont="1" applyAlignment="1">
      <alignment horizontal="left" vertical="top" wrapText="1"/>
    </xf>
    <xf numFmtId="0" fontId="33" fillId="42" borderId="2" xfId="4495" applyFont="1" applyFill="1" applyBorder="1" applyAlignment="1">
      <alignment horizontal="center"/>
    </xf>
    <xf numFmtId="0" fontId="33" fillId="42" borderId="6" xfId="4495" applyFont="1" applyFill="1" applyBorder="1" applyAlignment="1">
      <alignment horizontal="center"/>
    </xf>
    <xf numFmtId="0" fontId="24" fillId="0" borderId="11" xfId="4495" applyFont="1" applyBorder="1" applyAlignment="1">
      <alignment horizontal="center"/>
    </xf>
    <xf numFmtId="0" fontId="120" fillId="5" borderId="55" xfId="4495" applyFill="1" applyBorder="1" applyAlignment="1" applyProtection="1">
      <alignment horizontal="center"/>
      <protection locked="0"/>
    </xf>
    <xf numFmtId="0" fontId="120" fillId="5" borderId="6" xfId="4495" applyFill="1" applyBorder="1" applyAlignment="1" applyProtection="1">
      <alignment horizontal="center"/>
      <protection locked="0"/>
    </xf>
    <xf numFmtId="0" fontId="24" fillId="0" borderId="0" xfId="4495" applyFont="1" applyAlignment="1">
      <alignment horizontal="center"/>
    </xf>
    <xf numFmtId="0" fontId="24" fillId="0" borderId="54" xfId="4495" applyFont="1" applyBorder="1" applyAlignment="1">
      <alignment horizontal="center"/>
    </xf>
    <xf numFmtId="0" fontId="17" fillId="5" borderId="6" xfId="4495" applyFont="1" applyFill="1" applyBorder="1" applyAlignment="1" applyProtection="1">
      <alignment horizontal="center" vertical="center" wrapText="1" shrinkToFit="1"/>
      <protection locked="0"/>
    </xf>
    <xf numFmtId="0" fontId="118" fillId="0" borderId="4" xfId="1192" applyFont="1" applyBorder="1" applyAlignment="1">
      <alignment horizontal="left"/>
    </xf>
    <xf numFmtId="0" fontId="142" fillId="0" borderId="6" xfId="1192" applyFont="1" applyBorder="1" applyAlignment="1">
      <alignment horizontal="center"/>
    </xf>
    <xf numFmtId="168" fontId="17" fillId="43" borderId="6" xfId="1192" applyNumberFormat="1" applyFill="1" applyBorder="1" applyAlignment="1" applyProtection="1">
      <alignment horizontal="right"/>
      <protection locked="0"/>
    </xf>
    <xf numFmtId="0" fontId="25" fillId="5" borderId="58" xfId="4495" applyFont="1" applyFill="1" applyBorder="1" applyAlignment="1">
      <alignment horizontal="left"/>
    </xf>
    <xf numFmtId="0" fontId="120" fillId="5" borderId="50" xfId="4495" applyFill="1" applyBorder="1" applyAlignment="1">
      <alignment horizontal="center"/>
    </xf>
    <xf numFmtId="0" fontId="120" fillId="5" borderId="51" xfId="4495" applyFill="1" applyBorder="1" applyAlignment="1">
      <alignment horizontal="center"/>
    </xf>
    <xf numFmtId="0" fontId="53" fillId="0" borderId="51" xfId="4495" applyFont="1" applyBorder="1" applyAlignment="1">
      <alignment horizontal="left" vertical="top" wrapText="1"/>
    </xf>
    <xf numFmtId="0" fontId="53" fillId="0" borderId="0" xfId="4495" applyFont="1" applyAlignment="1">
      <alignment horizontal="left" vertical="top" wrapText="1"/>
    </xf>
    <xf numFmtId="9" fontId="25" fillId="5" borderId="58" xfId="4495" applyNumberFormat="1" applyFont="1" applyFill="1" applyBorder="1" applyAlignment="1">
      <alignment horizontal="left"/>
    </xf>
    <xf numFmtId="0" fontId="120" fillId="0" borderId="0" xfId="4495" applyAlignment="1">
      <alignment horizontal="center"/>
    </xf>
    <xf numFmtId="0" fontId="25" fillId="5" borderId="6" xfId="4495" applyFont="1" applyFill="1" applyBorder="1" applyAlignment="1">
      <alignment horizontal="left"/>
    </xf>
    <xf numFmtId="0" fontId="120" fillId="5" borderId="62" xfId="4495" applyFill="1" applyBorder="1" applyAlignment="1">
      <alignment horizontal="center"/>
    </xf>
    <xf numFmtId="0" fontId="120" fillId="5" borderId="63" xfId="4495" applyFill="1" applyBorder="1" applyAlignment="1">
      <alignment horizontal="center"/>
    </xf>
    <xf numFmtId="0" fontId="24" fillId="0" borderId="51" xfId="4495" applyFont="1" applyBorder="1" applyAlignment="1">
      <alignment horizontal="center" vertical="top"/>
    </xf>
    <xf numFmtId="0" fontId="24" fillId="0" borderId="52" xfId="4495" applyFont="1" applyBorder="1" applyAlignment="1">
      <alignment horizontal="center" vertical="top"/>
    </xf>
    <xf numFmtId="0" fontId="24" fillId="0" borderId="0" xfId="4495" applyFont="1" applyAlignment="1">
      <alignment horizontal="right"/>
    </xf>
    <xf numFmtId="0" fontId="17" fillId="0" borderId="6" xfId="1192" applyBorder="1" applyAlignment="1">
      <alignment horizontal="right"/>
    </xf>
    <xf numFmtId="9" fontId="17" fillId="5" borderId="4" xfId="1192" applyNumberFormat="1" applyFill="1" applyBorder="1" applyAlignment="1" applyProtection="1">
      <alignment horizontal="left"/>
      <protection locked="0"/>
    </xf>
    <xf numFmtId="0" fontId="122" fillId="0" borderId="50" xfId="4496" applyFont="1" applyBorder="1" applyAlignment="1">
      <alignment horizontal="left" wrapText="1"/>
    </xf>
    <xf numFmtId="0" fontId="122" fillId="0" borderId="51" xfId="4496" applyFont="1" applyBorder="1" applyAlignment="1">
      <alignment horizontal="left" wrapText="1"/>
    </xf>
    <xf numFmtId="0" fontId="122" fillId="0" borderId="52" xfId="4496" applyFont="1" applyBorder="1" applyAlignment="1">
      <alignment horizontal="left" wrapText="1"/>
    </xf>
    <xf numFmtId="0" fontId="122" fillId="0" borderId="57" xfId="4496" applyFont="1" applyBorder="1" applyAlignment="1">
      <alignment horizontal="left" wrapText="1"/>
    </xf>
    <xf numFmtId="0" fontId="122" fillId="0" borderId="58" xfId="4496" applyFont="1" applyBorder="1" applyAlignment="1">
      <alignment horizontal="left" wrapText="1"/>
    </xf>
    <xf numFmtId="0" fontId="122" fillId="0" borderId="59" xfId="4496" applyFont="1" applyBorder="1" applyAlignment="1">
      <alignment horizontal="left" wrapText="1"/>
    </xf>
    <xf numFmtId="0" fontId="120" fillId="0" borderId="53" xfId="4495" applyBorder="1" applyAlignment="1">
      <alignment horizontal="center"/>
    </xf>
    <xf numFmtId="0" fontId="25" fillId="5" borderId="0" xfId="4495" applyFont="1" applyFill="1" applyAlignment="1">
      <alignment horizontal="left" vertical="top"/>
    </xf>
    <xf numFmtId="0" fontId="24" fillId="0" borderId="4" xfId="4495" applyFont="1" applyBorder="1" applyAlignment="1">
      <alignment horizontal="left"/>
    </xf>
    <xf numFmtId="0" fontId="24" fillId="0" borderId="5" xfId="4495" applyFont="1" applyBorder="1" applyAlignment="1">
      <alignment horizontal="left"/>
    </xf>
    <xf numFmtId="1" fontId="24" fillId="0" borderId="11" xfId="4495" applyNumberFormat="1" applyFont="1" applyBorder="1" applyAlignment="1">
      <alignment horizontal="center"/>
    </xf>
    <xf numFmtId="0" fontId="24" fillId="0" borderId="3" xfId="4495" applyFont="1" applyBorder="1" applyAlignment="1">
      <alignment horizontal="center" wrapText="1"/>
    </xf>
    <xf numFmtId="0" fontId="24" fillId="0" borderId="4" xfId="4495" applyFont="1" applyBorder="1" applyAlignment="1">
      <alignment horizontal="center" wrapText="1"/>
    </xf>
    <xf numFmtId="0" fontId="24" fillId="0" borderId="5" xfId="4495" applyFont="1" applyBorder="1" applyAlignment="1">
      <alignment horizontal="center" wrapText="1"/>
    </xf>
    <xf numFmtId="0" fontId="17" fillId="0" borderId="4" xfId="4495" applyFont="1" applyBorder="1" applyAlignment="1">
      <alignment horizontal="left"/>
    </xf>
    <xf numFmtId="0" fontId="17" fillId="0" borderId="5" xfId="4495" applyFont="1" applyBorder="1" applyAlignment="1">
      <alignment horizontal="left"/>
    </xf>
    <xf numFmtId="1" fontId="17" fillId="0" borderId="11" xfId="4495" applyNumberFormat="1" applyFont="1" applyBorder="1" applyAlignment="1">
      <alignment horizontal="center"/>
    </xf>
    <xf numFmtId="0" fontId="17" fillId="0" borderId="11" xfId="4495" applyFont="1" applyBorder="1" applyAlignment="1">
      <alignment horizontal="center"/>
    </xf>
    <xf numFmtId="1" fontId="17" fillId="46" borderId="11" xfId="4495" applyNumberFormat="1" applyFont="1" applyFill="1" applyBorder="1" applyAlignment="1">
      <alignment horizontal="center"/>
    </xf>
    <xf numFmtId="0" fontId="24" fillId="0" borderId="3" xfId="4495" applyFont="1" applyBorder="1" applyAlignment="1">
      <alignment horizontal="center"/>
    </xf>
    <xf numFmtId="0" fontId="24" fillId="0" borderId="4" xfId="4495" applyFont="1" applyBorder="1" applyAlignment="1">
      <alignment horizontal="center"/>
    </xf>
    <xf numFmtId="0" fontId="24" fillId="0" borderId="5" xfId="4495" applyFont="1" applyBorder="1" applyAlignment="1">
      <alignment horizontal="center"/>
    </xf>
    <xf numFmtId="0" fontId="24" fillId="0" borderId="3" xfId="4495" applyFont="1" applyBorder="1" applyAlignment="1">
      <alignment horizontal="left"/>
    </xf>
    <xf numFmtId="0" fontId="17" fillId="5" borderId="11" xfId="4495" applyFont="1" applyFill="1" applyBorder="1" applyAlignment="1" applyProtection="1">
      <alignment horizontal="center"/>
      <protection locked="0"/>
    </xf>
    <xf numFmtId="164" fontId="64" fillId="0" borderId="1" xfId="4495" applyNumberFormat="1" applyFont="1" applyBorder="1" applyAlignment="1">
      <alignment horizontal="right" vertical="center"/>
    </xf>
    <xf numFmtId="164" fontId="64" fillId="0" borderId="2" xfId="4495" applyNumberFormat="1" applyFont="1" applyBorder="1" applyAlignment="1">
      <alignment horizontal="right" vertical="center"/>
    </xf>
    <xf numFmtId="164" fontId="64" fillId="0" borderId="7" xfId="4495" applyNumberFormat="1" applyFont="1" applyBorder="1" applyAlignment="1">
      <alignment horizontal="right" vertical="center"/>
    </xf>
    <xf numFmtId="164" fontId="64" fillId="0" borderId="9" xfId="4495" applyNumberFormat="1" applyFont="1" applyBorder="1" applyAlignment="1">
      <alignment horizontal="right" vertical="center"/>
    </xf>
    <xf numFmtId="164" fontId="64" fillId="0" borderId="6" xfId="4495" applyNumberFormat="1" applyFont="1" applyBorder="1" applyAlignment="1">
      <alignment horizontal="right" vertical="center"/>
    </xf>
    <xf numFmtId="164" fontId="64" fillId="0" borderId="10" xfId="4495" applyNumberFormat="1" applyFont="1" applyBorder="1" applyAlignment="1">
      <alignment horizontal="right" vertical="center"/>
    </xf>
    <xf numFmtId="180" fontId="64" fillId="0" borderId="1" xfId="4495" applyNumberFormat="1" applyFont="1" applyBorder="1" applyAlignment="1">
      <alignment horizontal="center" vertical="center"/>
    </xf>
    <xf numFmtId="180" fontId="64" fillId="0" borderId="2" xfId="4495" applyNumberFormat="1" applyFont="1" applyBorder="1" applyAlignment="1">
      <alignment horizontal="center" vertical="center"/>
    </xf>
    <xf numFmtId="180" fontId="64" fillId="0" borderId="7" xfId="4495" applyNumberFormat="1" applyFont="1" applyBorder="1" applyAlignment="1">
      <alignment horizontal="center" vertical="center"/>
    </xf>
    <xf numFmtId="180" fontId="64" fillId="0" borderId="9" xfId="4495" applyNumberFormat="1" applyFont="1" applyBorder="1" applyAlignment="1">
      <alignment horizontal="center" vertical="center"/>
    </xf>
    <xf numFmtId="180" fontId="64" fillId="0" borderId="6" xfId="4495" applyNumberFormat="1" applyFont="1" applyBorder="1" applyAlignment="1">
      <alignment horizontal="center" vertical="center"/>
    </xf>
    <xf numFmtId="180" fontId="64" fillId="0" borderId="10" xfId="4495" applyNumberFormat="1" applyFont="1" applyBorder="1" applyAlignment="1">
      <alignment horizontal="center" vertical="center"/>
    </xf>
    <xf numFmtId="1" fontId="24" fillId="0" borderId="4" xfId="4495" applyNumberFormat="1" applyFont="1" applyBorder="1" applyAlignment="1">
      <alignment horizontal="center" wrapText="1"/>
    </xf>
    <xf numFmtId="0" fontId="17" fillId="0" borderId="50" xfId="4496" applyFont="1" applyBorder="1" applyAlignment="1">
      <alignment horizontal="left" wrapText="1"/>
    </xf>
    <xf numFmtId="0" fontId="17" fillId="0" borderId="51" xfId="4496" applyFont="1" applyBorder="1" applyAlignment="1">
      <alignment horizontal="left" wrapText="1"/>
    </xf>
    <xf numFmtId="0" fontId="17" fillId="0" borderId="52" xfId="4496" applyFont="1" applyBorder="1" applyAlignment="1">
      <alignment horizontal="left" wrapText="1"/>
    </xf>
    <xf numFmtId="0" fontId="17" fillId="0" borderId="53" xfId="4496" applyFont="1" applyBorder="1" applyAlignment="1">
      <alignment horizontal="left" wrapText="1"/>
    </xf>
    <xf numFmtId="0" fontId="17" fillId="0" borderId="0" xfId="4496" applyFont="1" applyAlignment="1">
      <alignment horizontal="left" wrapText="1"/>
    </xf>
    <xf numFmtId="0" fontId="17" fillId="0" borderId="54" xfId="4496" applyFont="1" applyBorder="1" applyAlignment="1">
      <alignment horizontal="left" wrapText="1"/>
    </xf>
    <xf numFmtId="0" fontId="17" fillId="0" borderId="57" xfId="4496" applyFont="1" applyBorder="1" applyAlignment="1">
      <alignment horizontal="left" wrapText="1"/>
    </xf>
    <xf numFmtId="0" fontId="17" fillId="0" borderId="58" xfId="4496" applyFont="1" applyBorder="1" applyAlignment="1">
      <alignment horizontal="left" wrapText="1"/>
    </xf>
    <xf numFmtId="0" fontId="17" fillId="0" borderId="59" xfId="4496" applyFont="1" applyBorder="1" applyAlignment="1">
      <alignment horizontal="left" wrapText="1"/>
    </xf>
    <xf numFmtId="1" fontId="17" fillId="0" borderId="4" xfId="4496" applyNumberFormat="1" applyFont="1" applyBorder="1" applyAlignment="1">
      <alignment horizontal="center"/>
    </xf>
    <xf numFmtId="1" fontId="17" fillId="0" borderId="5" xfId="4496" applyNumberFormat="1" applyFont="1" applyBorder="1" applyAlignment="1">
      <alignment horizontal="center"/>
    </xf>
    <xf numFmtId="49" fontId="23" fillId="3" borderId="2" xfId="4495" applyNumberFormat="1" applyFont="1" applyFill="1" applyBorder="1" applyAlignment="1">
      <alignment horizontal="center" vertical="center" wrapText="1"/>
    </xf>
    <xf numFmtId="49" fontId="23" fillId="3" borderId="2" xfId="4495" applyNumberFormat="1" applyFont="1" applyFill="1" applyBorder="1" applyAlignment="1">
      <alignment horizontal="center" vertical="center"/>
    </xf>
    <xf numFmtId="49" fontId="23" fillId="3" borderId="0" xfId="4495" applyNumberFormat="1" applyFont="1" applyFill="1" applyAlignment="1">
      <alignment horizontal="center" vertical="center"/>
    </xf>
    <xf numFmtId="0" fontId="24" fillId="0" borderId="1" xfId="4495" applyFont="1" applyBorder="1" applyAlignment="1">
      <alignment horizontal="center" wrapText="1"/>
    </xf>
    <xf numFmtId="0" fontId="24" fillId="0" borderId="2" xfId="4495" applyFont="1" applyBorder="1" applyAlignment="1">
      <alignment horizontal="center" wrapText="1"/>
    </xf>
    <xf numFmtId="0" fontId="24" fillId="0" borderId="7" xfId="4495" applyFont="1" applyBorder="1" applyAlignment="1">
      <alignment horizontal="center" wrapText="1"/>
    </xf>
    <xf numFmtId="0" fontId="24" fillId="0" borderId="9" xfId="4495" applyFont="1" applyBorder="1" applyAlignment="1">
      <alignment horizontal="center" wrapText="1"/>
    </xf>
    <xf numFmtId="0" fontId="24" fillId="0" borderId="6" xfId="4495" applyFont="1" applyBorder="1" applyAlignment="1">
      <alignment horizontal="center" wrapText="1"/>
    </xf>
    <xf numFmtId="0" fontId="24" fillId="0" borderId="10" xfId="4495" applyFont="1" applyBorder="1" applyAlignment="1">
      <alignment horizontal="center" wrapText="1"/>
    </xf>
    <xf numFmtId="0" fontId="24" fillId="0" borderId="0" xfId="4495" applyFont="1" applyAlignment="1">
      <alignment horizontal="center" vertical="top"/>
    </xf>
    <xf numFmtId="0" fontId="120" fillId="5" borderId="53" xfId="4495" applyFill="1" applyBorder="1" applyAlignment="1">
      <alignment horizontal="center"/>
    </xf>
    <xf numFmtId="0" fontId="120" fillId="5" borderId="0" xfId="4495" applyFill="1" applyAlignment="1">
      <alignment horizontal="center"/>
    </xf>
    <xf numFmtId="0" fontId="120" fillId="5" borderId="55" xfId="4495" applyFill="1" applyBorder="1" applyAlignment="1">
      <alignment horizontal="center"/>
    </xf>
    <xf numFmtId="0" fontId="120" fillId="5" borderId="6" xfId="4495" applyFill="1" applyBorder="1" applyAlignment="1">
      <alignment horizontal="center"/>
    </xf>
    <xf numFmtId="0" fontId="25" fillId="5" borderId="0" xfId="4495" applyFont="1" applyFill="1" applyAlignment="1">
      <alignment horizontal="left" vertical="top" wrapText="1"/>
    </xf>
    <xf numFmtId="0" fontId="25" fillId="5" borderId="58" xfId="4495" applyFont="1" applyFill="1" applyBorder="1" applyAlignment="1">
      <alignment horizontal="left" vertical="top" wrapText="1"/>
    </xf>
    <xf numFmtId="0" fontId="53" fillId="0" borderId="51" xfId="4495" applyFont="1" applyBorder="1" applyAlignment="1">
      <alignment horizontal="left" wrapText="1"/>
    </xf>
    <xf numFmtId="0" fontId="53" fillId="0" borderId="0" xfId="4495" applyFont="1" applyAlignment="1">
      <alignment horizontal="left" wrapText="1"/>
    </xf>
    <xf numFmtId="0" fontId="24" fillId="0" borderId="54" xfId="4495" applyFont="1" applyBorder="1" applyAlignment="1">
      <alignment horizontal="center" vertical="top"/>
    </xf>
    <xf numFmtId="0" fontId="130" fillId="0" borderId="0" xfId="4495" applyFont="1" applyAlignment="1">
      <alignment horizontal="left" vertical="center" wrapText="1"/>
    </xf>
    <xf numFmtId="0" fontId="24" fillId="0" borderId="0" xfId="4495" applyFont="1" applyAlignment="1">
      <alignment horizontal="left" vertical="top" wrapText="1"/>
    </xf>
    <xf numFmtId="0" fontId="17" fillId="0" borderId="0" xfId="4495" applyFont="1" applyAlignment="1">
      <alignment horizontal="left" vertical="top" wrapText="1" shrinkToFit="1"/>
    </xf>
    <xf numFmtId="44" fontId="17" fillId="0" borderId="0" xfId="707" applyFont="1" applyFill="1" applyBorder="1" applyAlignment="1" applyProtection="1">
      <alignment horizontal="left" vertical="top" wrapText="1"/>
    </xf>
    <xf numFmtId="0" fontId="17" fillId="0" borderId="0" xfId="4495" applyFont="1" applyAlignment="1">
      <alignment horizontal="left" vertical="center" wrapText="1" shrinkToFit="1"/>
    </xf>
    <xf numFmtId="0" fontId="17" fillId="5" borderId="6" xfId="4495" applyFont="1" applyFill="1" applyBorder="1" applyAlignment="1" applyProtection="1">
      <alignment horizontal="left" wrapText="1" shrinkToFit="1"/>
      <protection locked="0"/>
    </xf>
    <xf numFmtId="0" fontId="17"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7" fillId="0" borderId="50" xfId="4495" applyFont="1" applyBorder="1" applyAlignment="1">
      <alignment horizontal="left" vertical="center" wrapText="1"/>
    </xf>
    <xf numFmtId="0" fontId="17" fillId="0" borderId="51" xfId="4495" applyFont="1" applyBorder="1" applyAlignment="1">
      <alignment horizontal="left" vertical="center" wrapText="1"/>
    </xf>
    <xf numFmtId="0" fontId="17" fillId="0" borderId="52" xfId="4495" applyFont="1" applyBorder="1" applyAlignment="1">
      <alignment horizontal="left" vertical="center" wrapText="1"/>
    </xf>
    <xf numFmtId="0" fontId="17" fillId="0" borderId="53" xfId="4495" applyFont="1" applyBorder="1" applyAlignment="1">
      <alignment horizontal="left" vertical="center" wrapText="1"/>
    </xf>
    <xf numFmtId="0" fontId="17" fillId="0" borderId="0" xfId="4495" applyFont="1" applyAlignment="1">
      <alignment horizontal="left" vertical="center" wrapText="1"/>
    </xf>
    <xf numFmtId="0" fontId="17" fillId="0" borderId="54" xfId="4495" applyFont="1" applyBorder="1" applyAlignment="1">
      <alignment horizontal="left" vertical="center" wrapText="1"/>
    </xf>
    <xf numFmtId="0" fontId="17" fillId="43" borderId="53" xfId="4495" applyFont="1" applyFill="1" applyBorder="1" applyAlignment="1" applyProtection="1">
      <alignment vertical="top" wrapText="1"/>
      <protection locked="0"/>
    </xf>
    <xf numFmtId="0" fontId="17" fillId="43" borderId="0" xfId="4495" applyFont="1" applyFill="1" applyAlignment="1" applyProtection="1">
      <alignment vertical="top" wrapText="1"/>
      <protection locked="0"/>
    </xf>
    <xf numFmtId="0" fontId="17" fillId="43" borderId="54" xfId="4495" applyFont="1" applyFill="1" applyBorder="1" applyAlignment="1" applyProtection="1">
      <alignment vertical="top" wrapText="1"/>
      <protection locked="0"/>
    </xf>
    <xf numFmtId="0" fontId="17" fillId="43" borderId="55" xfId="4495" applyFont="1" applyFill="1" applyBorder="1" applyAlignment="1" applyProtection="1">
      <alignment vertical="top" wrapText="1"/>
      <protection locked="0"/>
    </xf>
    <xf numFmtId="0" fontId="17" fillId="43" borderId="6" xfId="4495" applyFont="1" applyFill="1" applyBorder="1" applyAlignment="1" applyProtection="1">
      <alignment vertical="top" wrapText="1"/>
      <protection locked="0"/>
    </xf>
    <xf numFmtId="0" fontId="17" fillId="43" borderId="56" xfId="4495" applyFont="1" applyFill="1" applyBorder="1" applyAlignment="1" applyProtection="1">
      <alignment vertical="top" wrapText="1"/>
      <protection locked="0"/>
    </xf>
    <xf numFmtId="0" fontId="17" fillId="43" borderId="0" xfId="4495" applyFont="1" applyFill="1" applyAlignment="1" applyProtection="1">
      <alignment horizontal="left" vertical="center" wrapText="1"/>
      <protection locked="0"/>
    </xf>
    <xf numFmtId="0" fontId="17" fillId="43" borderId="54" xfId="4495" applyFont="1" applyFill="1" applyBorder="1" applyAlignment="1" applyProtection="1">
      <alignment horizontal="left" vertical="center" wrapText="1"/>
      <protection locked="0"/>
    </xf>
    <xf numFmtId="0" fontId="17" fillId="43" borderId="6" xfId="4495" applyFont="1" applyFill="1" applyBorder="1" applyAlignment="1" applyProtection="1">
      <alignment horizontal="left" vertical="center" wrapText="1"/>
      <protection locked="0"/>
    </xf>
    <xf numFmtId="0" fontId="17" fillId="43" borderId="56" xfId="4495" applyFont="1" applyFill="1" applyBorder="1" applyAlignment="1" applyProtection="1">
      <alignment horizontal="left" vertical="center" wrapText="1"/>
      <protection locked="0"/>
    </xf>
    <xf numFmtId="0" fontId="120" fillId="5" borderId="62" xfId="4495" applyFill="1" applyBorder="1" applyAlignment="1" applyProtection="1">
      <alignment horizontal="center"/>
      <protection locked="0"/>
    </xf>
    <xf numFmtId="0" fontId="120" fillId="5" borderId="63" xfId="4495" applyFill="1" applyBorder="1" applyAlignment="1" applyProtection="1">
      <alignment horizontal="center"/>
      <protection locked="0"/>
    </xf>
    <xf numFmtId="0" fontId="17" fillId="0" borderId="59" xfId="4495" applyFont="1" applyBorder="1" applyAlignment="1">
      <alignment horizontal="left" vertical="top" wrapText="1"/>
    </xf>
    <xf numFmtId="0" fontId="17" fillId="0" borderId="4" xfId="4496" applyFont="1" applyBorder="1" applyAlignment="1">
      <alignment horizontal="center"/>
    </xf>
    <xf numFmtId="0" fontId="17" fillId="0" borderId="5" xfId="4496" applyFont="1" applyBorder="1" applyAlignment="1">
      <alignment horizontal="center"/>
    </xf>
    <xf numFmtId="0" fontId="17" fillId="0" borderId="50" xfId="4495" applyFont="1" applyBorder="1" applyAlignment="1">
      <alignment horizontal="left" vertical="top" wrapText="1"/>
    </xf>
    <xf numFmtId="0" fontId="17" fillId="0" borderId="51" xfId="4495" applyFont="1" applyBorder="1" applyAlignment="1">
      <alignment horizontal="left" vertical="top" wrapText="1"/>
    </xf>
    <xf numFmtId="0" fontId="17" fillId="0" borderId="52" xfId="4495" applyFont="1" applyBorder="1" applyAlignment="1">
      <alignment horizontal="left" vertical="top" wrapText="1"/>
    </xf>
    <xf numFmtId="0" fontId="24" fillId="0" borderId="0" xfId="4495" applyFont="1"/>
    <xf numFmtId="0" fontId="17" fillId="0" borderId="57" xfId="4495" applyFont="1" applyBorder="1" applyAlignment="1">
      <alignment horizontal="left" vertical="center" wrapText="1"/>
    </xf>
    <xf numFmtId="0" fontId="17" fillId="0" borderId="58" xfId="4495" applyFont="1" applyBorder="1" applyAlignment="1">
      <alignment horizontal="left" vertical="center" wrapText="1"/>
    </xf>
    <xf numFmtId="0" fontId="17" fillId="0" borderId="59" xfId="4495" applyFont="1" applyBorder="1" applyAlignment="1">
      <alignment horizontal="left" vertical="center" wrapText="1"/>
    </xf>
    <xf numFmtId="0" fontId="24" fillId="0" borderId="0" xfId="4495" applyFont="1" applyAlignment="1">
      <alignment horizontal="left" vertical="top"/>
    </xf>
    <xf numFmtId="0" fontId="120" fillId="0" borderId="0" xfId="4495" applyAlignment="1" applyProtection="1">
      <alignment horizontal="center"/>
      <protection locked="0"/>
    </xf>
    <xf numFmtId="9" fontId="17" fillId="0" borderId="4" xfId="543" applyNumberFormat="1" applyBorder="1" applyAlignment="1">
      <alignment horizontal="center"/>
    </xf>
    <xf numFmtId="168" fontId="17" fillId="0" borderId="6" xfId="4495" applyNumberFormat="1" applyFont="1" applyBorder="1" applyAlignment="1">
      <alignment horizontal="right"/>
    </xf>
    <xf numFmtId="168" fontId="118" fillId="0" borderId="6" xfId="4495" applyNumberFormat="1" applyFont="1" applyBorder="1" applyAlignment="1">
      <alignment horizontal="right"/>
    </xf>
    <xf numFmtId="168" fontId="17" fillId="43" borderId="6" xfId="4495" applyNumberFormat="1" applyFont="1" applyFill="1" applyBorder="1" applyAlignment="1" applyProtection="1">
      <alignment horizontal="right"/>
      <protection locked="0"/>
    </xf>
    <xf numFmtId="6" fontId="17" fillId="0" borderId="3" xfId="1192" applyNumberFormat="1" applyBorder="1" applyAlignment="1">
      <alignment horizontal="right"/>
    </xf>
    <xf numFmtId="6" fontId="17" fillId="0" borderId="4" xfId="1192" applyNumberFormat="1" applyBorder="1" applyAlignment="1">
      <alignment horizontal="right"/>
    </xf>
    <xf numFmtId="6" fontId="17" fillId="0" borderId="5" xfId="1192" applyNumberFormat="1" applyBorder="1" applyAlignment="1">
      <alignment horizontal="right"/>
    </xf>
    <xf numFmtId="168" fontId="17" fillId="0" borderId="4" xfId="4495" applyNumberFormat="1" applyFont="1" applyBorder="1" applyAlignment="1">
      <alignment horizontal="right"/>
    </xf>
    <xf numFmtId="165" fontId="17" fillId="43" borderId="3" xfId="4495" applyNumberFormat="1" applyFont="1" applyFill="1" applyBorder="1" applyAlignment="1" applyProtection="1">
      <alignment horizontal="center"/>
      <protection locked="0"/>
    </xf>
    <xf numFmtId="165" fontId="17" fillId="43" borderId="4" xfId="4495" applyNumberFormat="1" applyFont="1" applyFill="1" applyBorder="1" applyAlignment="1" applyProtection="1">
      <alignment horizontal="center"/>
      <protection locked="0"/>
    </xf>
    <xf numFmtId="165" fontId="17" fillId="43" borderId="5" xfId="4495" applyNumberFormat="1" applyFont="1" applyFill="1" applyBorder="1" applyAlignment="1" applyProtection="1">
      <alignment horizontal="center"/>
      <protection locked="0"/>
    </xf>
    <xf numFmtId="165" fontId="17" fillId="0" borderId="6" xfId="1192" applyNumberFormat="1" applyBorder="1" applyAlignment="1">
      <alignment horizontal="right"/>
    </xf>
    <xf numFmtId="168" fontId="17" fillId="0" borderId="2" xfId="1192" applyNumberFormat="1" applyBorder="1" applyAlignment="1">
      <alignment horizontal="right"/>
    </xf>
    <xf numFmtId="0" fontId="17" fillId="5" borderId="6" xfId="1192" applyFill="1" applyBorder="1" applyAlignment="1" applyProtection="1">
      <alignment horizontal="left"/>
      <protection locked="0"/>
    </xf>
    <xf numFmtId="165" fontId="17" fillId="0" borderId="0" xfId="1192" applyNumberFormat="1" applyAlignment="1">
      <alignment horizontal="right"/>
    </xf>
    <xf numFmtId="2" fontId="17" fillId="0" borderId="0" xfId="1192" applyNumberFormat="1" applyAlignment="1">
      <alignment horizontal="right"/>
    </xf>
    <xf numFmtId="1" fontId="17" fillId="0" borderId="3" xfId="4495" applyNumberFormat="1" applyFont="1" applyBorder="1" applyAlignment="1">
      <alignment horizontal="center"/>
    </xf>
    <xf numFmtId="1" fontId="17" fillId="0" borderId="4" xfId="4495" applyNumberFormat="1" applyFont="1" applyBorder="1" applyAlignment="1">
      <alignment horizontal="center"/>
    </xf>
    <xf numFmtId="1" fontId="17" fillId="0" borderId="5" xfId="4495" applyNumberFormat="1" applyFont="1" applyBorder="1" applyAlignment="1">
      <alignment horizontal="center"/>
    </xf>
    <xf numFmtId="0" fontId="25" fillId="5" borderId="6" xfId="4495" applyFont="1" applyFill="1" applyBorder="1" applyAlignment="1" applyProtection="1">
      <alignment horizontal="left"/>
      <protection locked="0"/>
    </xf>
    <xf numFmtId="0" fontId="17" fillId="5" borderId="6" xfId="4495" applyFont="1" applyFill="1" applyBorder="1" applyAlignment="1" applyProtection="1">
      <alignment horizontal="left"/>
      <protection locked="0"/>
    </xf>
    <xf numFmtId="0" fontId="53" fillId="5" borderId="6" xfId="4495" applyFont="1" applyFill="1" applyBorder="1" applyAlignment="1" applyProtection="1">
      <alignment horizontal="left"/>
      <protection locked="0"/>
    </xf>
    <xf numFmtId="0" fontId="17" fillId="44" borderId="6" xfId="4495" applyFont="1" applyFill="1" applyBorder="1" applyAlignment="1">
      <alignment horizontal="left"/>
    </xf>
    <xf numFmtId="0" fontId="17" fillId="0" borderId="0" xfId="1192" applyAlignment="1">
      <alignment horizontal="right"/>
    </xf>
    <xf numFmtId="9" fontId="17" fillId="0" borderId="6" xfId="1192" applyNumberFormat="1" applyBorder="1" applyAlignment="1">
      <alignment horizontal="center"/>
    </xf>
    <xf numFmtId="9" fontId="17" fillId="0" borderId="6" xfId="1192" quotePrefix="1" applyNumberFormat="1" applyBorder="1" applyAlignment="1">
      <alignment horizontal="center"/>
    </xf>
    <xf numFmtId="9" fontId="17" fillId="0" borderId="0" xfId="1192" quotePrefix="1" applyNumberFormat="1" applyAlignment="1">
      <alignment horizontal="center"/>
    </xf>
    <xf numFmtId="1" fontId="17" fillId="5" borderId="4" xfId="1192" applyNumberFormat="1" applyFill="1" applyBorder="1" applyAlignment="1" applyProtection="1">
      <alignment horizontal="center"/>
      <protection locked="0"/>
    </xf>
    <xf numFmtId="0" fontId="17" fillId="0" borderId="6" xfId="1192" applyBorder="1" applyAlignment="1">
      <alignment horizontal="left"/>
    </xf>
    <xf numFmtId="1" fontId="122" fillId="0" borderId="55" xfId="4496" applyNumberFormat="1" applyFont="1" applyBorder="1" applyAlignment="1">
      <alignment horizontal="center" vertical="top" wrapText="1"/>
    </xf>
    <xf numFmtId="1" fontId="122" fillId="0" borderId="6" xfId="4496" applyNumberFormat="1" applyFont="1" applyBorder="1" applyAlignment="1">
      <alignment horizontal="center" vertical="top" wrapText="1"/>
    </xf>
    <xf numFmtId="165" fontId="122" fillId="0" borderId="55" xfId="4496" applyNumberFormat="1" applyFont="1" applyBorder="1" applyAlignment="1">
      <alignment horizontal="center" vertical="top" wrapText="1"/>
    </xf>
    <xf numFmtId="165" fontId="122" fillId="0" borderId="6" xfId="4496" applyNumberFormat="1" applyFont="1" applyBorder="1" applyAlignment="1">
      <alignment horizontal="center" vertical="top" wrapText="1"/>
    </xf>
    <xf numFmtId="168" fontId="122" fillId="43" borderId="55" xfId="4496" applyNumberFormat="1" applyFont="1" applyFill="1" applyBorder="1" applyAlignment="1" applyProtection="1">
      <alignment horizontal="center" vertical="top" wrapText="1"/>
      <protection locked="0"/>
    </xf>
    <xf numFmtId="168" fontId="122" fillId="43" borderId="6" xfId="4496" applyNumberFormat="1" applyFont="1" applyFill="1" applyBorder="1" applyAlignment="1" applyProtection="1">
      <alignment horizontal="center" vertical="top" wrapText="1"/>
      <protection locked="0"/>
    </xf>
    <xf numFmtId="0" fontId="122" fillId="0" borderId="50" xfId="4496" applyFont="1" applyBorder="1" applyAlignment="1">
      <alignment horizontal="left" vertical="top" wrapText="1"/>
    </xf>
    <xf numFmtId="0" fontId="122" fillId="0" borderId="51" xfId="4496" applyFont="1" applyBorder="1" applyAlignment="1">
      <alignment horizontal="left" vertical="top" wrapText="1"/>
    </xf>
    <xf numFmtId="0" fontId="122" fillId="0" borderId="52" xfId="4496" applyFont="1" applyBorder="1" applyAlignment="1">
      <alignment horizontal="left" vertical="top" wrapText="1"/>
    </xf>
    <xf numFmtId="0" fontId="122" fillId="0" borderId="53" xfId="4496" applyFont="1" applyBorder="1" applyAlignment="1">
      <alignment horizontal="left" vertical="top" wrapText="1"/>
    </xf>
    <xf numFmtId="0" fontId="122" fillId="0" borderId="0" xfId="4496" applyFont="1" applyAlignment="1">
      <alignment horizontal="left" vertical="top" wrapText="1"/>
    </xf>
    <xf numFmtId="0" fontId="122" fillId="0" borderId="54" xfId="4496" applyFont="1" applyBorder="1" applyAlignment="1">
      <alignment horizontal="left" vertical="top" wrapText="1"/>
    </xf>
    <xf numFmtId="168" fontId="122" fillId="0" borderId="55" xfId="4496" applyNumberFormat="1" applyFont="1" applyBorder="1" applyAlignment="1">
      <alignment horizontal="center" vertical="top"/>
    </xf>
    <xf numFmtId="168" fontId="122" fillId="0" borderId="6" xfId="4496" applyNumberFormat="1" applyFont="1" applyBorder="1" applyAlignment="1">
      <alignment horizontal="center" vertical="top"/>
    </xf>
    <xf numFmtId="0" fontId="122" fillId="5" borderId="6" xfId="4496" applyFont="1" applyFill="1" applyBorder="1" applyAlignment="1" applyProtection="1">
      <alignment horizontal="center"/>
      <protection locked="0"/>
    </xf>
    <xf numFmtId="10" fontId="122" fillId="0" borderId="3" xfId="4496" applyNumberFormat="1" applyFont="1" applyBorder="1" applyAlignment="1">
      <alignment horizontal="center" vertical="top" wrapText="1"/>
    </xf>
    <xf numFmtId="10" fontId="122" fillId="0" borderId="4" xfId="4496" applyNumberFormat="1" applyFont="1" applyBorder="1" applyAlignment="1">
      <alignment horizontal="center" vertical="top" wrapText="1"/>
    </xf>
    <xf numFmtId="10" fontId="122" fillId="0" borderId="5" xfId="4496" applyNumberFormat="1" applyFont="1" applyBorder="1" applyAlignment="1">
      <alignment horizontal="center" vertical="top" wrapText="1"/>
    </xf>
    <xf numFmtId="0" fontId="122" fillId="0" borderId="55" xfId="4496" applyFont="1" applyBorder="1" applyAlignment="1">
      <alignment horizontal="center" vertical="top" wrapText="1"/>
    </xf>
    <xf numFmtId="0" fontId="122" fillId="0" borderId="6" xfId="4496" applyFont="1" applyBorder="1" applyAlignment="1">
      <alignment horizontal="center" vertical="top" wrapText="1"/>
    </xf>
    <xf numFmtId="0" fontId="23" fillId="3" borderId="2" xfId="4495" applyFont="1" applyFill="1" applyBorder="1" applyAlignment="1">
      <alignment horizontal="center" vertical="center"/>
    </xf>
    <xf numFmtId="0" fontId="23" fillId="3" borderId="16" xfId="4495" applyFont="1" applyFill="1" applyBorder="1" applyAlignment="1">
      <alignment horizontal="center" vertical="center"/>
    </xf>
    <xf numFmtId="0" fontId="24" fillId="0" borderId="48" xfId="4495" applyFont="1" applyBorder="1" applyAlignment="1">
      <alignment horizontal="left" vertical="top"/>
    </xf>
    <xf numFmtId="0" fontId="24" fillId="0" borderId="49" xfId="4495" applyFont="1" applyBorder="1" applyAlignment="1">
      <alignment horizontal="left" vertical="top"/>
    </xf>
    <xf numFmtId="0" fontId="17" fillId="0" borderId="50" xfId="4495" applyFont="1" applyBorder="1" applyAlignment="1">
      <alignment vertical="center" wrapText="1"/>
    </xf>
    <xf numFmtId="0" fontId="17" fillId="0" borderId="51" xfId="4495" applyFont="1" applyBorder="1" applyAlignment="1">
      <alignment vertical="center" wrapText="1"/>
    </xf>
    <xf numFmtId="0" fontId="17" fillId="0" borderId="52" xfId="4495" applyFont="1" applyBorder="1" applyAlignment="1">
      <alignment vertical="center" wrapText="1"/>
    </xf>
    <xf numFmtId="0" fontId="17" fillId="0" borderId="57" xfId="4495" applyFont="1" applyBorder="1" applyAlignment="1">
      <alignment vertical="center" wrapText="1"/>
    </xf>
    <xf numFmtId="0" fontId="17" fillId="0" borderId="58" xfId="4495" applyFont="1" applyBorder="1" applyAlignment="1">
      <alignment vertical="center" wrapText="1"/>
    </xf>
    <xf numFmtId="0" fontId="17" fillId="0" borderId="59" xfId="4495" applyFont="1" applyBorder="1" applyAlignment="1">
      <alignment vertical="center" wrapText="1"/>
    </xf>
    <xf numFmtId="0" fontId="122" fillId="43" borderId="55" xfId="4496" applyFont="1" applyFill="1" applyBorder="1" applyAlignment="1" applyProtection="1">
      <alignment horizontal="left" vertical="top" wrapText="1"/>
      <protection locked="0"/>
    </xf>
    <xf numFmtId="0" fontId="122" fillId="43" borderId="6" xfId="4496" applyFont="1" applyFill="1" applyBorder="1" applyAlignment="1" applyProtection="1">
      <alignment horizontal="left" vertical="top" wrapText="1"/>
      <protection locked="0"/>
    </xf>
    <xf numFmtId="0" fontId="122" fillId="43" borderId="56" xfId="4496" applyFont="1" applyFill="1" applyBorder="1" applyAlignment="1" applyProtection="1">
      <alignment horizontal="left" vertical="top" wrapText="1"/>
      <protection locked="0"/>
    </xf>
    <xf numFmtId="165" fontId="122" fillId="0" borderId="60" xfId="4496" applyNumberFormat="1" applyFont="1" applyBorder="1" applyAlignment="1">
      <alignment horizontal="center" vertical="top" wrapText="1"/>
    </xf>
    <xf numFmtId="0" fontId="122" fillId="5" borderId="60" xfId="4496" applyFont="1" applyFill="1" applyBorder="1" applyAlignment="1" applyProtection="1">
      <alignment horizontal="center"/>
      <protection locked="0"/>
    </xf>
    <xf numFmtId="0" fontId="122" fillId="5" borderId="4" xfId="4496" applyFont="1" applyFill="1" applyBorder="1" applyAlignment="1" applyProtection="1">
      <alignment horizontal="center"/>
      <protection locked="0"/>
    </xf>
    <xf numFmtId="0" fontId="122" fillId="0" borderId="57" xfId="4496" applyFont="1" applyBorder="1" applyAlignment="1">
      <alignment horizontal="left" vertical="top" wrapText="1"/>
    </xf>
    <xf numFmtId="0" fontId="122" fillId="0" borderId="58" xfId="4496" applyFont="1" applyBorder="1" applyAlignment="1">
      <alignment horizontal="left" vertical="top" wrapText="1"/>
    </xf>
    <xf numFmtId="0" fontId="122" fillId="0" borderId="59" xfId="4496" applyFont="1" applyBorder="1" applyAlignment="1">
      <alignment horizontal="left" vertical="top" wrapText="1"/>
    </xf>
    <xf numFmtId="0" fontId="122" fillId="5" borderId="55" xfId="4496" applyFont="1" applyFill="1" applyBorder="1" applyAlignment="1" applyProtection="1">
      <alignment horizontal="center"/>
      <protection locked="0"/>
    </xf>
    <xf numFmtId="0" fontId="122" fillId="0" borderId="47" xfId="4496" applyFont="1" applyBorder="1"/>
    <xf numFmtId="0" fontId="122" fillId="0" borderId="48" xfId="4496" applyFont="1" applyBorder="1"/>
    <xf numFmtId="0" fontId="122" fillId="0" borderId="49" xfId="4496" applyFont="1" applyBorder="1"/>
    <xf numFmtId="0" fontId="17" fillId="0" borderId="47" xfId="4495" applyFont="1" applyBorder="1" applyAlignment="1">
      <alignment horizontal="left" vertical="center" wrapText="1"/>
    </xf>
    <xf numFmtId="0" fontId="17" fillId="0" borderId="48" xfId="4495" applyFont="1" applyBorder="1" applyAlignment="1">
      <alignment horizontal="left" vertical="center" wrapText="1"/>
    </xf>
    <xf numFmtId="0" fontId="17" fillId="0" borderId="49" xfId="4495" applyFont="1" applyBorder="1" applyAlignment="1">
      <alignment horizontal="left" vertical="center" wrapText="1"/>
    </xf>
    <xf numFmtId="0" fontId="98" fillId="0" borderId="3" xfId="4496" applyFont="1" applyBorder="1" applyAlignment="1">
      <alignment horizontal="left" indent="2"/>
    </xf>
    <xf numFmtId="0" fontId="98" fillId="0" borderId="4" xfId="4496" applyFont="1" applyBorder="1" applyAlignment="1">
      <alignment horizontal="left" indent="2"/>
    </xf>
    <xf numFmtId="0" fontId="98"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8" fillId="0" borderId="0" xfId="4496" applyFont="1" applyAlignment="1">
      <alignment wrapText="1"/>
    </xf>
    <xf numFmtId="49" fontId="98" fillId="45" borderId="15" xfId="4496" applyNumberFormat="1" applyFont="1" applyFill="1" applyBorder="1" applyAlignment="1">
      <alignment horizontal="center" vertical="center" wrapText="1"/>
    </xf>
    <xf numFmtId="49" fontId="98"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8" fillId="0" borderId="0" xfId="4496" applyFont="1" applyAlignment="1">
      <alignment horizontal="left" wrapText="1"/>
    </xf>
    <xf numFmtId="0" fontId="98" fillId="0" borderId="0" xfId="4496" applyFont="1" applyAlignment="1">
      <alignment horizontal="center" vertical="center" wrapText="1"/>
    </xf>
    <xf numFmtId="0" fontId="98" fillId="43" borderId="0" xfId="4496" applyFont="1" applyFill="1" applyAlignment="1" applyProtection="1">
      <alignment horizontal="left" vertical="top" wrapText="1"/>
      <protection locked="0"/>
    </xf>
    <xf numFmtId="0" fontId="98" fillId="43" borderId="6" xfId="4496" applyFont="1" applyFill="1" applyBorder="1" applyAlignment="1" applyProtection="1">
      <alignment horizontal="left" vertical="top" wrapText="1"/>
      <protection locked="0"/>
    </xf>
    <xf numFmtId="168" fontId="98" fillId="0" borderId="13" xfId="4499" applyNumberFormat="1" applyFont="1" applyFill="1" applyBorder="1" applyAlignment="1" applyProtection="1">
      <alignment horizontal="left" vertical="center" indent="1"/>
    </xf>
    <xf numFmtId="168" fontId="98" fillId="0" borderId="11" xfId="4499" applyNumberFormat="1" applyFont="1" applyFill="1" applyBorder="1" applyAlignment="1" applyProtection="1">
      <alignment horizontal="left" vertical="center" indent="1"/>
    </xf>
    <xf numFmtId="0" fontId="98" fillId="0" borderId="3" xfId="4496" applyFont="1" applyBorder="1" applyAlignment="1">
      <alignment horizontal="left" indent="1"/>
    </xf>
    <xf numFmtId="0" fontId="98" fillId="0" borderId="4" xfId="4496" applyFont="1" applyBorder="1" applyAlignment="1">
      <alignment horizontal="left" indent="1"/>
    </xf>
    <xf numFmtId="0" fontId="98" fillId="0" borderId="5" xfId="4496" applyFont="1" applyBorder="1" applyAlignment="1">
      <alignment horizontal="left" indent="1"/>
    </xf>
    <xf numFmtId="0" fontId="98" fillId="0" borderId="67" xfId="4496" applyFont="1" applyBorder="1" applyAlignment="1">
      <alignment horizontal="right"/>
    </xf>
    <xf numFmtId="0" fontId="98" fillId="0" borderId="68" xfId="4496" applyFont="1" applyBorder="1" applyAlignment="1">
      <alignment horizontal="right"/>
    </xf>
    <xf numFmtId="0" fontId="98" fillId="0" borderId="0" xfId="4496" applyFont="1" applyAlignment="1">
      <alignment horizontal="left" wrapText="1" indent="1"/>
    </xf>
    <xf numFmtId="49" fontId="136" fillId="3" borderId="0" xfId="1192" applyNumberFormat="1" applyFont="1" applyFill="1" applyAlignment="1">
      <alignment horizontal="center" vertical="center"/>
    </xf>
    <xf numFmtId="0" fontId="98" fillId="0" borderId="11" xfId="4496" applyFont="1" applyBorder="1" applyAlignment="1">
      <alignment horizontal="left" indent="1"/>
    </xf>
    <xf numFmtId="0" fontId="98"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0" fontId="137" fillId="0" borderId="68" xfId="4496" applyFont="1" applyBorder="1" applyAlignment="1">
      <alignment horizontal="left" indent="1"/>
    </xf>
    <xf numFmtId="168" fontId="98" fillId="0" borderId="70" xfId="4499" applyNumberFormat="1" applyFont="1" applyFill="1" applyBorder="1" applyAlignment="1" applyProtection="1">
      <alignment horizontal="left" vertical="center" indent="1"/>
    </xf>
    <xf numFmtId="0" fontId="98" fillId="0" borderId="72" xfId="4496" applyFont="1" applyBorder="1" applyAlignment="1">
      <alignment horizontal="right"/>
    </xf>
    <xf numFmtId="0" fontId="98" fillId="0" borderId="11" xfId="4496" applyFont="1" applyBorder="1" applyAlignment="1">
      <alignment horizontal="right"/>
    </xf>
    <xf numFmtId="0" fontId="98" fillId="0" borderId="69" xfId="4496" applyFont="1" applyBorder="1" applyAlignment="1">
      <alignment horizontal="right"/>
    </xf>
    <xf numFmtId="0" fontId="98" fillId="0" borderId="70" xfId="4496" applyFont="1" applyBorder="1" applyAlignment="1">
      <alignment horizontal="right"/>
    </xf>
    <xf numFmtId="0" fontId="98" fillId="0" borderId="11" xfId="4496" applyFont="1" applyBorder="1"/>
    <xf numFmtId="0" fontId="98" fillId="0" borderId="76" xfId="4496" applyFont="1" applyBorder="1"/>
    <xf numFmtId="0" fontId="98" fillId="0" borderId="70" xfId="4496" applyFont="1" applyBorder="1"/>
    <xf numFmtId="0" fontId="98" fillId="0" borderId="77" xfId="4496" applyFont="1" applyBorder="1"/>
    <xf numFmtId="0" fontId="98" fillId="0" borderId="68" xfId="4496" applyFont="1" applyBorder="1"/>
    <xf numFmtId="0" fontId="98" fillId="0" borderId="71" xfId="4496" applyFont="1" applyBorder="1"/>
    <xf numFmtId="0" fontId="22" fillId="0" borderId="6" xfId="271" applyFont="1" applyBorder="1" applyAlignment="1">
      <alignment horizontal="center"/>
    </xf>
    <xf numFmtId="0" fontId="22" fillId="0" borderId="0" xfId="0" applyFont="1" applyAlignment="1" applyProtection="1">
      <alignment wrapText="1"/>
      <protection locked="0"/>
    </xf>
    <xf numFmtId="3" fontId="17" fillId="0" borderId="0" xfId="0" applyNumberFormat="1" applyFont="1" applyAlignment="1">
      <alignment horizontal="left" vertical="top" wrapText="1"/>
    </xf>
    <xf numFmtId="3" fontId="26" fillId="0" borderId="0" xfId="0" applyNumberFormat="1" applyFont="1" applyAlignment="1">
      <alignment horizontal="left" vertical="top" wrapText="1"/>
    </xf>
    <xf numFmtId="0" fontId="17" fillId="43" borderId="0" xfId="0" applyFont="1" applyFill="1" applyAlignment="1">
      <alignment horizontal="left"/>
    </xf>
    <xf numFmtId="168" fontId="17" fillId="5" borderId="3" xfId="0" applyNumberFormat="1" applyFont="1" applyFill="1" applyBorder="1" applyAlignment="1" applyProtection="1">
      <alignment horizontal="left" vertical="top"/>
      <protection locked="0"/>
    </xf>
  </cellXfs>
  <cellStyles count="25632">
    <cellStyle name="20% - Accent1" xfId="1" builtinId="30" customBuiltin="1"/>
    <cellStyle name="20% - Accent1 10" xfId="4504" xr:uid="{00000000-0005-0000-0000-000001000000}"/>
    <cellStyle name="20% - Accent1 10 2" xfId="21402" xr:uid="{D5F48917-8842-488B-A175-DD3F004E1367}"/>
    <cellStyle name="20% - Accent1 10 3" xfId="12954" xr:uid="{9057011E-CD42-4552-83B0-7D2986167ABA}"/>
    <cellStyle name="20% - Accent1 11" xfId="17184" xr:uid="{5DA03109-C11B-40A0-8CD5-DEE91820538C}"/>
    <cellStyle name="20% - Accent1 12" xfId="8736" xr:uid="{6719DF09-0494-486D-B79D-C50E92CB007B}"/>
    <cellStyle name="20% - Accent1 2" xfId="2" xr:uid="{00000000-0005-0000-0000-000002000000}"/>
    <cellStyle name="20% - Accent1 2 10" xfId="17185" xr:uid="{90818D41-61BD-45A7-A44A-381A84B4BFA4}"/>
    <cellStyle name="20% - Accent1 2 11" xfId="8737" xr:uid="{B7559B9D-2DDB-4AEF-9000-506B97DE187C}"/>
    <cellStyle name="20% - Accent1 2 2" xfId="3" xr:uid="{00000000-0005-0000-0000-000003000000}"/>
    <cellStyle name="20% - Accent1 2 2 10" xfId="8738" xr:uid="{E4A70DA9-1344-4028-99FF-0A33FFDF97AF}"/>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23964" xr:uid="{7A603E2D-D616-45DF-85D1-DA493E78780A}"/>
    <cellStyle name="20% - Accent1 2 2 2 2 2 2 3" xfId="15516" xr:uid="{25697D7B-B6EB-4FBB-8ABA-6BECAD7A0A1C}"/>
    <cellStyle name="20% - Accent1 2 2 2 2 2 3" xfId="19746" xr:uid="{2A29AFDE-397E-4405-A650-DA989254D0DA}"/>
    <cellStyle name="20% - Accent1 2 2 2 2 2 4" xfId="11298" xr:uid="{5D9FDA4C-6582-484A-9E2A-59CFB259AC80}"/>
    <cellStyle name="20% - Accent1 2 2 2 2 3" xfId="4921" xr:uid="{00000000-0005-0000-0000-000008000000}"/>
    <cellStyle name="20% - Accent1 2 2 2 2 3 2" xfId="21819" xr:uid="{83D7D95B-D27E-477D-8330-F917DAD8F931}"/>
    <cellStyle name="20% - Accent1 2 2 2 2 3 3" xfId="13371" xr:uid="{8E1302AB-65F7-420B-A7B2-04624087D4E2}"/>
    <cellStyle name="20% - Accent1 2 2 2 2 4" xfId="17601" xr:uid="{C0F97E6E-8FF8-44CB-961C-62F4DC4376F8}"/>
    <cellStyle name="20% - Accent1 2 2 2 2 5" xfId="9153" xr:uid="{01946DF4-6BA2-4410-9E31-6E4D24E0897A}"/>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24377" xr:uid="{42C73B19-0D1B-49D7-A737-B93D1B4A0AD8}"/>
    <cellStyle name="20% - Accent1 2 2 2 3 2 2 3" xfId="15929" xr:uid="{D7F5E9B1-1553-40F4-98DE-8A7C094C546A}"/>
    <cellStyle name="20% - Accent1 2 2 2 3 2 3" xfId="20159" xr:uid="{FEE63A75-A1D8-47DB-B8C2-42FB7A211650}"/>
    <cellStyle name="20% - Accent1 2 2 2 3 2 4" xfId="11711" xr:uid="{16491F67-0EE8-4349-9CC5-29B6F4AD7F8D}"/>
    <cellStyle name="20% - Accent1 2 2 2 3 3" xfId="5334" xr:uid="{00000000-0005-0000-0000-00000C000000}"/>
    <cellStyle name="20% - Accent1 2 2 2 3 3 2" xfId="22232" xr:uid="{E5A66E01-BB83-471C-B32F-78270D243240}"/>
    <cellStyle name="20% - Accent1 2 2 2 3 3 3" xfId="13784" xr:uid="{02F86368-494E-444D-BD55-E79DE9938C16}"/>
    <cellStyle name="20% - Accent1 2 2 2 3 4" xfId="18014" xr:uid="{567CA9A7-F2DA-4CF4-9647-4DAB85B92A8E}"/>
    <cellStyle name="20% - Accent1 2 2 2 3 5" xfId="9566" xr:uid="{8008975E-4B8D-4D3B-80DB-2D310BD09A8C}"/>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24790" xr:uid="{05AC202C-F96A-4868-9BF4-83E0B49B63CE}"/>
    <cellStyle name="20% - Accent1 2 2 2 4 2 2 3" xfId="16342" xr:uid="{CF475CCF-7F04-4CA6-910F-1D1E1B9B32D1}"/>
    <cellStyle name="20% - Accent1 2 2 2 4 2 3" xfId="20572" xr:uid="{4FE1BAB1-0335-40AB-9EC7-3B2848C8765A}"/>
    <cellStyle name="20% - Accent1 2 2 2 4 2 4" xfId="12124" xr:uid="{1DE4C4EE-D44A-443E-8016-41E3460F0BAD}"/>
    <cellStyle name="20% - Accent1 2 2 2 4 3" xfId="5747" xr:uid="{00000000-0005-0000-0000-000010000000}"/>
    <cellStyle name="20% - Accent1 2 2 2 4 3 2" xfId="22645" xr:uid="{E8360947-706C-49D1-94A0-98B86C4B13C5}"/>
    <cellStyle name="20% - Accent1 2 2 2 4 3 3" xfId="14197" xr:uid="{2B923F0F-5063-4AF1-B3FF-794F6878DC90}"/>
    <cellStyle name="20% - Accent1 2 2 2 4 4" xfId="18427" xr:uid="{8D7625D5-FD80-475F-8422-AEAF79259713}"/>
    <cellStyle name="20% - Accent1 2 2 2 4 5" xfId="9979" xr:uid="{E8DAA27B-EF01-4EE6-8C11-958CECFC94F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25203" xr:uid="{840276C7-2DD8-4AE6-B124-A9D4D1C1A4C0}"/>
    <cellStyle name="20% - Accent1 2 2 2 5 2 2 3" xfId="16755" xr:uid="{B89AC4D5-CAF8-4641-9490-1385260C5DF3}"/>
    <cellStyle name="20% - Accent1 2 2 2 5 2 3" xfId="20985" xr:uid="{BB6CF16B-619D-42FC-8C34-21A7644ECAD6}"/>
    <cellStyle name="20% - Accent1 2 2 2 5 2 4" xfId="12537" xr:uid="{3175F791-8DAB-44D9-9071-C3CD465C9F67}"/>
    <cellStyle name="20% - Accent1 2 2 2 5 3" xfId="6160" xr:uid="{00000000-0005-0000-0000-000014000000}"/>
    <cellStyle name="20% - Accent1 2 2 2 5 3 2" xfId="23058" xr:uid="{DA41D7F7-0B89-478C-9639-8873CA59094F}"/>
    <cellStyle name="20% - Accent1 2 2 2 5 3 3" xfId="14610" xr:uid="{586CB3D4-F2AE-4BCB-B9F4-AB46DD933F35}"/>
    <cellStyle name="20% - Accent1 2 2 2 5 4" xfId="18840" xr:uid="{577A7849-5CCA-462C-91C3-394BD51E756A}"/>
    <cellStyle name="20% - Accent1 2 2 2 5 5" xfId="10392" xr:uid="{E549B765-9835-4F41-9F09-84698176B9BA}"/>
    <cellStyle name="20% - Accent1 2 2 2 6" xfId="2267" xr:uid="{00000000-0005-0000-0000-000015000000}"/>
    <cellStyle name="20% - Accent1 2 2 2 6 2" xfId="6573" xr:uid="{00000000-0005-0000-0000-000016000000}"/>
    <cellStyle name="20% - Accent1 2 2 2 6 2 2" xfId="23471" xr:uid="{69B6C94B-8746-4F31-84B0-5197C1E3A162}"/>
    <cellStyle name="20% - Accent1 2 2 2 6 2 3" xfId="15023" xr:uid="{1FA00619-D4C6-4C82-A4C6-2E35B99BF062}"/>
    <cellStyle name="20% - Accent1 2 2 2 6 3" xfId="19253" xr:uid="{9A1F9484-5E76-4CEA-9CE1-5BFCB015E9ED}"/>
    <cellStyle name="20% - Accent1 2 2 2 6 4" xfId="10805" xr:uid="{7124CE30-4264-4261-90E1-A72099B384CD}"/>
    <cellStyle name="20% - Accent1 2 2 2 7" xfId="4507" xr:uid="{00000000-0005-0000-0000-000017000000}"/>
    <cellStyle name="20% - Accent1 2 2 2 7 2" xfId="21405" xr:uid="{36DEA86A-4E75-42CB-B3AA-B8A9E973B433}"/>
    <cellStyle name="20% - Accent1 2 2 2 7 3" xfId="12957" xr:uid="{1C563B35-01D6-483D-AA37-E0BEED333C48}"/>
    <cellStyle name="20% - Accent1 2 2 2 8" xfId="17187" xr:uid="{E031A25C-9F50-4EA9-80E9-EAD83C0F6AC9}"/>
    <cellStyle name="20% - Accent1 2 2 2 9" xfId="8739" xr:uid="{33BE7180-CB6E-4248-ADDE-CE68BC33394D}"/>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23963" xr:uid="{364EC94F-1122-49BD-BA62-6C10EB0F5EDD}"/>
    <cellStyle name="20% - Accent1 2 2 3 2 2 3" xfId="15515" xr:uid="{E1DC1C2C-BFF3-4AFA-838D-63FF9661DD79}"/>
    <cellStyle name="20% - Accent1 2 2 3 2 3" xfId="19745" xr:uid="{9E34FB53-CCF6-4951-A72B-2C7ECE315440}"/>
    <cellStyle name="20% - Accent1 2 2 3 2 4" xfId="11297" xr:uid="{E13AC821-3199-43AE-81D1-FA9FEE903F37}"/>
    <cellStyle name="20% - Accent1 2 2 3 3" xfId="4920" xr:uid="{00000000-0005-0000-0000-00001B000000}"/>
    <cellStyle name="20% - Accent1 2 2 3 3 2" xfId="21818" xr:uid="{0ACEFD72-C074-4D50-88C0-2758FB4226FA}"/>
    <cellStyle name="20% - Accent1 2 2 3 3 3" xfId="13370" xr:uid="{007F82D8-1B36-4812-B415-403C01671FD9}"/>
    <cellStyle name="20% - Accent1 2 2 3 4" xfId="17600" xr:uid="{8EA2F603-EFC6-446F-80B1-E7A836F7459E}"/>
    <cellStyle name="20% - Accent1 2 2 3 5" xfId="9152" xr:uid="{AF90E124-DE4E-465F-9DE8-FC6FABD8C78E}"/>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24376" xr:uid="{A5D61C1B-A9B8-4035-A945-0435CAEC092C}"/>
    <cellStyle name="20% - Accent1 2 2 4 2 2 3" xfId="15928" xr:uid="{57F26B07-5892-4E0F-9E13-55B40990BAE0}"/>
    <cellStyle name="20% - Accent1 2 2 4 2 3" xfId="20158" xr:uid="{6806F45F-DDD9-4391-8BED-6E70644E1E94}"/>
    <cellStyle name="20% - Accent1 2 2 4 2 4" xfId="11710" xr:uid="{F92E097A-713E-4609-8AC8-D78443522F49}"/>
    <cellStyle name="20% - Accent1 2 2 4 3" xfId="5333" xr:uid="{00000000-0005-0000-0000-00001F000000}"/>
    <cellStyle name="20% - Accent1 2 2 4 3 2" xfId="22231" xr:uid="{A4A4F1E7-40C1-43FB-9C67-E4C6D6C85373}"/>
    <cellStyle name="20% - Accent1 2 2 4 3 3" xfId="13783" xr:uid="{6F1770E8-0463-4CEC-9C4A-EEC1B48E2C24}"/>
    <cellStyle name="20% - Accent1 2 2 4 4" xfId="18013" xr:uid="{070C2017-4561-40B9-95F0-6F17CC4CFAA9}"/>
    <cellStyle name="20% - Accent1 2 2 4 5" xfId="9565" xr:uid="{F481838E-42A4-4DD3-A86E-ED4DCA16220B}"/>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24789" xr:uid="{36EF4A88-A46A-41A2-91DE-4F5D4016DE37}"/>
    <cellStyle name="20% - Accent1 2 2 5 2 2 3" xfId="16341" xr:uid="{D2A24461-432B-4B5F-8B01-EAE5CC188B57}"/>
    <cellStyle name="20% - Accent1 2 2 5 2 3" xfId="20571" xr:uid="{A900F8F0-EDDC-4C60-BCFC-CF59DF406FDC}"/>
    <cellStyle name="20% - Accent1 2 2 5 2 4" xfId="12123" xr:uid="{55CD9A57-4977-4B4A-ACB0-ED89E9C3FA23}"/>
    <cellStyle name="20% - Accent1 2 2 5 3" xfId="5746" xr:uid="{00000000-0005-0000-0000-000023000000}"/>
    <cellStyle name="20% - Accent1 2 2 5 3 2" xfId="22644" xr:uid="{A583FE2A-3DB1-4F7B-A019-895318EB1A7A}"/>
    <cellStyle name="20% - Accent1 2 2 5 3 3" xfId="14196" xr:uid="{2836A888-58AF-40D3-A8FA-7FE084162CDB}"/>
    <cellStyle name="20% - Accent1 2 2 5 4" xfId="18426" xr:uid="{72D01176-CF3C-468A-ADAF-0F25EA69E8D2}"/>
    <cellStyle name="20% - Accent1 2 2 5 5" xfId="9978" xr:uid="{926EEB71-24CC-43C6-832D-86BFF60454D2}"/>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25202" xr:uid="{16632369-CC43-4897-AA9C-8F6F3C3CCCCF}"/>
    <cellStyle name="20% - Accent1 2 2 6 2 2 3" xfId="16754" xr:uid="{C53FC778-015E-41B3-B647-C2CFF8A05F81}"/>
    <cellStyle name="20% - Accent1 2 2 6 2 3" xfId="20984" xr:uid="{B8195338-A5EE-45A8-8115-412CA2DE82BD}"/>
    <cellStyle name="20% - Accent1 2 2 6 2 4" xfId="12536" xr:uid="{308D8B97-6FDC-4832-9DFD-EDE738BF90BA}"/>
    <cellStyle name="20% - Accent1 2 2 6 3" xfId="6159" xr:uid="{00000000-0005-0000-0000-000027000000}"/>
    <cellStyle name="20% - Accent1 2 2 6 3 2" xfId="23057" xr:uid="{6F4A274D-92B2-49D7-9EF8-438B8E6C81AD}"/>
    <cellStyle name="20% - Accent1 2 2 6 3 3" xfId="14609" xr:uid="{224C5BCE-9174-4E47-9B57-6796FF828E8E}"/>
    <cellStyle name="20% - Accent1 2 2 6 4" xfId="18839" xr:uid="{5DC4A8D5-528A-44A8-91EB-7B02C40B1856}"/>
    <cellStyle name="20% - Accent1 2 2 6 5" xfId="10391" xr:uid="{C99C436B-28AA-4F48-81D7-F9336025F620}"/>
    <cellStyle name="20% - Accent1 2 2 7" xfId="2266" xr:uid="{00000000-0005-0000-0000-000028000000}"/>
    <cellStyle name="20% - Accent1 2 2 7 2" xfId="6572" xr:uid="{00000000-0005-0000-0000-000029000000}"/>
    <cellStyle name="20% - Accent1 2 2 7 2 2" xfId="23470" xr:uid="{93514F95-D514-4440-AD49-D97E0F24041E}"/>
    <cellStyle name="20% - Accent1 2 2 7 2 3" xfId="15022" xr:uid="{8AB2225A-4CE9-42DC-8D26-FE48A0554D1A}"/>
    <cellStyle name="20% - Accent1 2 2 7 3" xfId="19252" xr:uid="{7206EB4E-CC26-4C40-88DD-39E850C76B01}"/>
    <cellStyle name="20% - Accent1 2 2 7 4" xfId="10804" xr:uid="{20A81FF2-B6D8-4906-8265-4E39E86AB06A}"/>
    <cellStyle name="20% - Accent1 2 2 8" xfId="4506" xr:uid="{00000000-0005-0000-0000-00002A000000}"/>
    <cellStyle name="20% - Accent1 2 2 8 2" xfId="21404" xr:uid="{131FF50F-65D2-4B2B-BDE4-029FD348DF1F}"/>
    <cellStyle name="20% - Accent1 2 2 8 3" xfId="12956" xr:uid="{000E23E9-3880-4C6E-A9F2-126F1357D304}"/>
    <cellStyle name="20% - Accent1 2 2 9" xfId="17186" xr:uid="{246FC2E9-0C94-47A5-8DC7-948E4F07D04C}"/>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23965" xr:uid="{020F5363-A3A6-4FCF-AD6F-6C3E4946C558}"/>
    <cellStyle name="20% - Accent1 2 3 2 2 2 3" xfId="15517" xr:uid="{4D63DBA2-FAA1-474C-BCC8-2239FB5FD297}"/>
    <cellStyle name="20% - Accent1 2 3 2 2 3" xfId="19747" xr:uid="{012E0BB2-5F7D-465D-AA5C-7D14476831F7}"/>
    <cellStyle name="20% - Accent1 2 3 2 2 4" xfId="11299" xr:uid="{25F535EB-E942-483F-A2D9-3CB47DF0DB89}"/>
    <cellStyle name="20% - Accent1 2 3 2 3" xfId="4922" xr:uid="{00000000-0005-0000-0000-00002F000000}"/>
    <cellStyle name="20% - Accent1 2 3 2 3 2" xfId="21820" xr:uid="{DAFCE25F-50CF-4050-BBAA-CBC2E2F94FD4}"/>
    <cellStyle name="20% - Accent1 2 3 2 3 3" xfId="13372" xr:uid="{D101E47F-A8A4-4B25-B275-3B9AC874A90E}"/>
    <cellStyle name="20% - Accent1 2 3 2 4" xfId="17602" xr:uid="{1F4E2E24-F7C7-4138-8DDA-167E5B6AD9B4}"/>
    <cellStyle name="20% - Accent1 2 3 2 5" xfId="9154" xr:uid="{84D5F8E5-5FC6-4D90-A28A-7AF9726E4B3B}"/>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24378" xr:uid="{DE3CD6C4-A46C-4574-BAD9-735D6CB950A3}"/>
    <cellStyle name="20% - Accent1 2 3 3 2 2 3" xfId="15930" xr:uid="{3C65C8F9-21C2-4088-A2B2-39BBBF2B4C85}"/>
    <cellStyle name="20% - Accent1 2 3 3 2 3" xfId="20160" xr:uid="{76E91B40-8438-4772-9E92-A2503C37348B}"/>
    <cellStyle name="20% - Accent1 2 3 3 2 4" xfId="11712" xr:uid="{13818D53-8C52-49F6-8565-94812A7889AA}"/>
    <cellStyle name="20% - Accent1 2 3 3 3" xfId="5335" xr:uid="{00000000-0005-0000-0000-000033000000}"/>
    <cellStyle name="20% - Accent1 2 3 3 3 2" xfId="22233" xr:uid="{EB391572-E335-4A1A-B211-071BA1CACF4B}"/>
    <cellStyle name="20% - Accent1 2 3 3 3 3" xfId="13785" xr:uid="{1B635491-A71E-42BB-A0EE-A7CCB0A3F832}"/>
    <cellStyle name="20% - Accent1 2 3 3 4" xfId="18015" xr:uid="{E6F3C16E-2427-47A8-AA9C-1EE151DC761E}"/>
    <cellStyle name="20% - Accent1 2 3 3 5" xfId="9567" xr:uid="{24ADC98A-D200-4E29-97EA-D923DE837C67}"/>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24791" xr:uid="{B87DFFD1-B7AE-4247-B701-2F22862E4A6A}"/>
    <cellStyle name="20% - Accent1 2 3 4 2 2 3" xfId="16343" xr:uid="{2357A9B1-E020-4B53-8E8C-257AB09BAA84}"/>
    <cellStyle name="20% - Accent1 2 3 4 2 3" xfId="20573" xr:uid="{514893B3-B4BC-4632-B18B-BC7576C3913E}"/>
    <cellStyle name="20% - Accent1 2 3 4 2 4" xfId="12125" xr:uid="{AD26966D-3E51-48A8-8DC2-EB6D9DC9661D}"/>
    <cellStyle name="20% - Accent1 2 3 4 3" xfId="5748" xr:uid="{00000000-0005-0000-0000-000037000000}"/>
    <cellStyle name="20% - Accent1 2 3 4 3 2" xfId="22646" xr:uid="{ECB0DD07-1D03-431D-AFBA-7597471375F2}"/>
    <cellStyle name="20% - Accent1 2 3 4 3 3" xfId="14198" xr:uid="{FE53A744-2C22-48B3-BC9F-E99EFF1C0DDF}"/>
    <cellStyle name="20% - Accent1 2 3 4 4" xfId="18428" xr:uid="{2FB1F0F3-13A4-4FDC-ABF7-EA6CF4ED2CA3}"/>
    <cellStyle name="20% - Accent1 2 3 4 5" xfId="9980" xr:uid="{CE77FCBD-0EF7-45F9-A438-95D2DD9C47BF}"/>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25204" xr:uid="{3E32D8C0-9A73-4877-86B8-3EDEEE5698E0}"/>
    <cellStyle name="20% - Accent1 2 3 5 2 2 3" xfId="16756" xr:uid="{0B34928D-D901-4AF5-B726-F5BB24AD7EEE}"/>
    <cellStyle name="20% - Accent1 2 3 5 2 3" xfId="20986" xr:uid="{3F68EFA8-FB4E-41E4-A016-223C1F2023D8}"/>
    <cellStyle name="20% - Accent1 2 3 5 2 4" xfId="12538" xr:uid="{DF6792AD-8EBB-4DDC-842A-FE785D2421DA}"/>
    <cellStyle name="20% - Accent1 2 3 5 3" xfId="6161" xr:uid="{00000000-0005-0000-0000-00003B000000}"/>
    <cellStyle name="20% - Accent1 2 3 5 3 2" xfId="23059" xr:uid="{3D8CAEC4-86CB-4890-8C75-746A4075D956}"/>
    <cellStyle name="20% - Accent1 2 3 5 3 3" xfId="14611" xr:uid="{3FEBE9AE-FF19-4C94-A3BF-6AF0858E8590}"/>
    <cellStyle name="20% - Accent1 2 3 5 4" xfId="18841" xr:uid="{5B559E2A-54E4-4B5C-8677-F18EAE3D5669}"/>
    <cellStyle name="20% - Accent1 2 3 5 5" xfId="10393" xr:uid="{244A2D5B-8B78-4D51-97C1-2BF871AF49D9}"/>
    <cellStyle name="20% - Accent1 2 3 6" xfId="2268" xr:uid="{00000000-0005-0000-0000-00003C000000}"/>
    <cellStyle name="20% - Accent1 2 3 6 2" xfId="6574" xr:uid="{00000000-0005-0000-0000-00003D000000}"/>
    <cellStyle name="20% - Accent1 2 3 6 2 2" xfId="23472" xr:uid="{2BB91AB8-055A-41A2-8DC5-2826F8C9E173}"/>
    <cellStyle name="20% - Accent1 2 3 6 2 3" xfId="15024" xr:uid="{E26EF4BA-A8C3-42C1-871F-B7ED5FE1E170}"/>
    <cellStyle name="20% - Accent1 2 3 6 3" xfId="19254" xr:uid="{A2C22AA3-4BC4-47F8-8485-49C2C4A007A5}"/>
    <cellStyle name="20% - Accent1 2 3 6 4" xfId="10806" xr:uid="{4CC4987B-C1B7-4124-A33B-387BFF36FFDC}"/>
    <cellStyle name="20% - Accent1 2 3 7" xfId="4508" xr:uid="{00000000-0005-0000-0000-00003E000000}"/>
    <cellStyle name="20% - Accent1 2 3 7 2" xfId="21406" xr:uid="{9D7BB0A9-8A88-4CF4-80CB-0886230B9D3D}"/>
    <cellStyle name="20% - Accent1 2 3 7 3" xfId="12958" xr:uid="{0718D49E-1B80-4C07-92F5-56FDD6C2B012}"/>
    <cellStyle name="20% - Accent1 2 3 8" xfId="17188" xr:uid="{168D7ACE-2355-4C4B-A7A4-1560FE2F3826}"/>
    <cellStyle name="20% - Accent1 2 3 9" xfId="8740" xr:uid="{9B3E43FE-5047-417A-9C86-C359CD4635B7}"/>
    <cellStyle name="20% - Accent1 2 4" xfId="571" xr:uid="{00000000-0005-0000-0000-00003F000000}"/>
    <cellStyle name="20% - Accent1 2 4 2" xfId="2842" xr:uid="{00000000-0005-0000-0000-000040000000}"/>
    <cellStyle name="20% - Accent1 2 4 2 2" xfId="7064" xr:uid="{00000000-0005-0000-0000-000041000000}"/>
    <cellStyle name="20% - Accent1 2 4 2 2 2" xfId="23962" xr:uid="{7FD3D0CD-AF0E-4634-BD11-329F4FD050BE}"/>
    <cellStyle name="20% - Accent1 2 4 2 2 3" xfId="15514" xr:uid="{C51C811D-2AA6-46B6-A313-4D2A08E5B1EA}"/>
    <cellStyle name="20% - Accent1 2 4 2 3" xfId="19744" xr:uid="{43CCAD93-F33C-4B7E-A5D1-5264FE944D96}"/>
    <cellStyle name="20% - Accent1 2 4 2 4" xfId="11296" xr:uid="{EE2D7DEA-37B1-49B3-9E8A-32C6AFDCEC47}"/>
    <cellStyle name="20% - Accent1 2 4 3" xfId="4919" xr:uid="{00000000-0005-0000-0000-000042000000}"/>
    <cellStyle name="20% - Accent1 2 4 3 2" xfId="21817" xr:uid="{E89293B8-3B31-4CB2-B419-C06948988257}"/>
    <cellStyle name="20% - Accent1 2 4 3 3" xfId="13369" xr:uid="{7C34DC2D-7AE1-4D35-A7AA-D8DDC284F974}"/>
    <cellStyle name="20% - Accent1 2 4 4" xfId="17599" xr:uid="{7C3D6080-0E06-4761-B154-DC3A2FBE8241}"/>
    <cellStyle name="20% - Accent1 2 4 5" xfId="9151" xr:uid="{D31599C6-78DF-4E5E-B71A-743F8592EB7A}"/>
    <cellStyle name="20% - Accent1 2 5" xfId="1024" xr:uid="{00000000-0005-0000-0000-000043000000}"/>
    <cellStyle name="20% - Accent1 2 5 2" xfId="3255" xr:uid="{00000000-0005-0000-0000-000044000000}"/>
    <cellStyle name="20% - Accent1 2 5 2 2" xfId="7477" xr:uid="{00000000-0005-0000-0000-000045000000}"/>
    <cellStyle name="20% - Accent1 2 5 2 2 2" xfId="24375" xr:uid="{C8168309-38D0-4D21-B6D3-2DF9DC767396}"/>
    <cellStyle name="20% - Accent1 2 5 2 2 3" xfId="15927" xr:uid="{CFF26862-D6AC-4E3B-BCD5-69B7CC4D5854}"/>
    <cellStyle name="20% - Accent1 2 5 2 3" xfId="20157" xr:uid="{A6CC80E2-A4FB-4D3D-92B6-8610CC3C4F05}"/>
    <cellStyle name="20% - Accent1 2 5 2 4" xfId="11709" xr:uid="{B908AE5F-C72A-42EB-A970-F5A83889D3B9}"/>
    <cellStyle name="20% - Accent1 2 5 3" xfId="5332" xr:uid="{00000000-0005-0000-0000-000046000000}"/>
    <cellStyle name="20% - Accent1 2 5 3 2" xfId="22230" xr:uid="{F06EB3E5-8B91-49CB-B0F7-27365BEB6FFA}"/>
    <cellStyle name="20% - Accent1 2 5 3 3" xfId="13782" xr:uid="{20ECD8C8-2881-467E-89E7-93430FB4FEB8}"/>
    <cellStyle name="20% - Accent1 2 5 4" xfId="18012" xr:uid="{5598EA40-D774-4FE0-8DC5-32916AAE863A}"/>
    <cellStyle name="20% - Accent1 2 5 5" xfId="9564" xr:uid="{4CC3640A-9054-4DEA-8A27-99514BCBD69A}"/>
    <cellStyle name="20% - Accent1 2 6" xfId="1438" xr:uid="{00000000-0005-0000-0000-000047000000}"/>
    <cellStyle name="20% - Accent1 2 6 2" xfId="3668" xr:uid="{00000000-0005-0000-0000-000048000000}"/>
    <cellStyle name="20% - Accent1 2 6 2 2" xfId="7890" xr:uid="{00000000-0005-0000-0000-000049000000}"/>
    <cellStyle name="20% - Accent1 2 6 2 2 2" xfId="24788" xr:uid="{D364B6AB-EB86-4A8B-9589-15B4CA23387F}"/>
    <cellStyle name="20% - Accent1 2 6 2 2 3" xfId="16340" xr:uid="{5A3636BE-FCEB-40B1-872E-2286C023BCF9}"/>
    <cellStyle name="20% - Accent1 2 6 2 3" xfId="20570" xr:uid="{1C155913-2FAF-496F-8B24-B66B29F085C8}"/>
    <cellStyle name="20% - Accent1 2 6 2 4" xfId="12122" xr:uid="{C78473AA-4498-4398-9C56-C8F74A34F0DC}"/>
    <cellStyle name="20% - Accent1 2 6 3" xfId="5745" xr:uid="{00000000-0005-0000-0000-00004A000000}"/>
    <cellStyle name="20% - Accent1 2 6 3 2" xfId="22643" xr:uid="{8FF0A772-FA24-4E30-B80F-08EE0F9F2FD0}"/>
    <cellStyle name="20% - Accent1 2 6 3 3" xfId="14195" xr:uid="{6B06CBC6-DCA4-485B-AC58-C0608CDADB98}"/>
    <cellStyle name="20% - Accent1 2 6 4" xfId="18425" xr:uid="{AAAE4420-9113-403C-8102-34A7FFE20ADB}"/>
    <cellStyle name="20% - Accent1 2 6 5" xfId="9977" xr:uid="{3E45B37F-1F64-465A-A9AE-435903300439}"/>
    <cellStyle name="20% - Accent1 2 7" xfId="1852" xr:uid="{00000000-0005-0000-0000-00004B000000}"/>
    <cellStyle name="20% - Accent1 2 7 2" xfId="4081" xr:uid="{00000000-0005-0000-0000-00004C000000}"/>
    <cellStyle name="20% - Accent1 2 7 2 2" xfId="8303" xr:uid="{00000000-0005-0000-0000-00004D000000}"/>
    <cellStyle name="20% - Accent1 2 7 2 2 2" xfId="25201" xr:uid="{BD33E544-7580-47C2-9F52-56EBA71A3B92}"/>
    <cellStyle name="20% - Accent1 2 7 2 2 3" xfId="16753" xr:uid="{96A97198-23F6-4086-BC66-399913AAEE2F}"/>
    <cellStyle name="20% - Accent1 2 7 2 3" xfId="20983" xr:uid="{A7243FB1-95DA-429D-9506-011EBE076E4F}"/>
    <cellStyle name="20% - Accent1 2 7 2 4" xfId="12535" xr:uid="{9544D4CB-9783-42E7-9877-802770B170CE}"/>
    <cellStyle name="20% - Accent1 2 7 3" xfId="6158" xr:uid="{00000000-0005-0000-0000-00004E000000}"/>
    <cellStyle name="20% - Accent1 2 7 3 2" xfId="23056" xr:uid="{CFF73129-F155-4DA1-A41E-8E5931247373}"/>
    <cellStyle name="20% - Accent1 2 7 3 3" xfId="14608" xr:uid="{7BE963AF-6337-431E-BC94-B55640283BA8}"/>
    <cellStyle name="20% - Accent1 2 7 4" xfId="18838" xr:uid="{B74646BB-112E-49F9-A4F9-A0ECEC8ACE1C}"/>
    <cellStyle name="20% - Accent1 2 7 5" xfId="10390" xr:uid="{6F79C60A-19BB-43E7-B8E1-14778A5A9041}"/>
    <cellStyle name="20% - Accent1 2 8" xfId="2265" xr:uid="{00000000-0005-0000-0000-00004F000000}"/>
    <cellStyle name="20% - Accent1 2 8 2" xfId="6571" xr:uid="{00000000-0005-0000-0000-000050000000}"/>
    <cellStyle name="20% - Accent1 2 8 2 2" xfId="23469" xr:uid="{0290A4DD-1A32-4CE5-9B3C-4FFA6D6CC0ED}"/>
    <cellStyle name="20% - Accent1 2 8 2 3" xfId="15021" xr:uid="{655CC381-CB32-4B36-8E4B-6B615E16FB54}"/>
    <cellStyle name="20% - Accent1 2 8 3" xfId="19251" xr:uid="{C49B773D-E9D8-4F55-91DA-611611724EE2}"/>
    <cellStyle name="20% - Accent1 2 8 4" xfId="10803" xr:uid="{1BC38902-CF03-4033-9430-99F54A61125A}"/>
    <cellStyle name="20% - Accent1 2 9" xfId="4505" xr:uid="{00000000-0005-0000-0000-000051000000}"/>
    <cellStyle name="20% - Accent1 2 9 2" xfId="21403" xr:uid="{F69BD083-6463-42F3-830F-C6014C0CAA04}"/>
    <cellStyle name="20% - Accent1 2 9 3" xfId="12955" xr:uid="{D29A3166-37B4-4EBB-B1D1-8A6DBAC7BFCB}"/>
    <cellStyle name="20% - Accent1 3" xfId="6" xr:uid="{00000000-0005-0000-0000-000052000000}"/>
    <cellStyle name="20% - Accent1 3 10" xfId="8741" xr:uid="{856F5EBB-9D3B-4FD0-9365-759BBD792615}"/>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23967" xr:uid="{339FCADB-40B5-40FC-8C15-299AE6961DDD}"/>
    <cellStyle name="20% - Accent1 3 2 2 2 2 3" xfId="15519" xr:uid="{582728D9-7EB6-40E9-8056-3C1144599710}"/>
    <cellStyle name="20% - Accent1 3 2 2 2 3" xfId="19749" xr:uid="{4D313D73-34DA-439E-9D9A-676DF670E625}"/>
    <cellStyle name="20% - Accent1 3 2 2 2 4" xfId="11301" xr:uid="{498FB56C-2431-4DEE-854B-A395C53D3FBD}"/>
    <cellStyle name="20% - Accent1 3 2 2 3" xfId="4924" xr:uid="{00000000-0005-0000-0000-000057000000}"/>
    <cellStyle name="20% - Accent1 3 2 2 3 2" xfId="21822" xr:uid="{C2DF55E4-5495-4B16-B6DA-C05F1BDB7E82}"/>
    <cellStyle name="20% - Accent1 3 2 2 3 3" xfId="13374" xr:uid="{E27451D3-44C5-40EF-8596-BBDD11152AFB}"/>
    <cellStyle name="20% - Accent1 3 2 2 4" xfId="17604" xr:uid="{4758B64A-2759-48B4-824A-7B5B8B455D1E}"/>
    <cellStyle name="20% - Accent1 3 2 2 5" xfId="9156" xr:uid="{59AEADF3-BF5C-46BF-9452-61A592B7E2AD}"/>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24380" xr:uid="{ECFA4297-7AF6-4CBF-BFC3-273AE1A5D8D5}"/>
    <cellStyle name="20% - Accent1 3 2 3 2 2 3" xfId="15932" xr:uid="{9502361C-83F2-4BE8-99E4-A749666A0E2A}"/>
    <cellStyle name="20% - Accent1 3 2 3 2 3" xfId="20162" xr:uid="{5584153D-C838-4325-819A-523D8D8AC507}"/>
    <cellStyle name="20% - Accent1 3 2 3 2 4" xfId="11714" xr:uid="{DC4384BA-ABCA-46C0-A80E-9F7B7E5B4E60}"/>
    <cellStyle name="20% - Accent1 3 2 3 3" xfId="5337" xr:uid="{00000000-0005-0000-0000-00005B000000}"/>
    <cellStyle name="20% - Accent1 3 2 3 3 2" xfId="22235" xr:uid="{0A4F3DAD-EC7C-42E6-8FF4-F4EDF8FC8F13}"/>
    <cellStyle name="20% - Accent1 3 2 3 3 3" xfId="13787" xr:uid="{31B73E7E-D228-4322-952F-C295B2240EA4}"/>
    <cellStyle name="20% - Accent1 3 2 3 4" xfId="18017" xr:uid="{FC1C35B0-EA0D-4DBF-80C6-9FBBC28F820F}"/>
    <cellStyle name="20% - Accent1 3 2 3 5" xfId="9569" xr:uid="{A64661B9-506A-4AF7-98A5-9863FC76F260}"/>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24793" xr:uid="{EF32F7E5-5DA6-461F-A290-D1B7C8196530}"/>
    <cellStyle name="20% - Accent1 3 2 4 2 2 3" xfId="16345" xr:uid="{45972FFA-5919-464F-945A-9DEF312FD4BE}"/>
    <cellStyle name="20% - Accent1 3 2 4 2 3" xfId="20575" xr:uid="{3A312011-C1BF-4CD2-AE5D-ADA711AE4427}"/>
    <cellStyle name="20% - Accent1 3 2 4 2 4" xfId="12127" xr:uid="{ACBD767C-FA6C-48BC-B195-14CB69FDCC50}"/>
    <cellStyle name="20% - Accent1 3 2 4 3" xfId="5750" xr:uid="{00000000-0005-0000-0000-00005F000000}"/>
    <cellStyle name="20% - Accent1 3 2 4 3 2" xfId="22648" xr:uid="{E3991B55-1B93-43A2-9E06-F90479927364}"/>
    <cellStyle name="20% - Accent1 3 2 4 3 3" xfId="14200" xr:uid="{2EE9652B-359B-4BE2-B65E-867AD4D61BFB}"/>
    <cellStyle name="20% - Accent1 3 2 4 4" xfId="18430" xr:uid="{204FE824-6FD9-47BE-A042-53DBE46010B5}"/>
    <cellStyle name="20% - Accent1 3 2 4 5" xfId="9982" xr:uid="{2F80AD25-1CD3-45B8-8257-2660FF30ED4D}"/>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25206" xr:uid="{CDA95D85-D123-4158-AFDB-6E80A7CFD568}"/>
    <cellStyle name="20% - Accent1 3 2 5 2 2 3" xfId="16758" xr:uid="{C3F022E9-17CD-46E2-B1D3-EF8AC1A7E58B}"/>
    <cellStyle name="20% - Accent1 3 2 5 2 3" xfId="20988" xr:uid="{CEBA0AD1-CABA-4704-8158-27A85A1E359E}"/>
    <cellStyle name="20% - Accent1 3 2 5 2 4" xfId="12540" xr:uid="{C6194052-5B12-4E7A-B47F-EF3E0313E66A}"/>
    <cellStyle name="20% - Accent1 3 2 5 3" xfId="6163" xr:uid="{00000000-0005-0000-0000-000063000000}"/>
    <cellStyle name="20% - Accent1 3 2 5 3 2" xfId="23061" xr:uid="{5EB4A086-E290-4426-A79A-3A437AAEF243}"/>
    <cellStyle name="20% - Accent1 3 2 5 3 3" xfId="14613" xr:uid="{8A6BC4D0-2680-42D3-8010-0FBEC4B134E6}"/>
    <cellStyle name="20% - Accent1 3 2 5 4" xfId="18843" xr:uid="{5300945E-9B3E-42E1-A3E8-D2F8872BC63C}"/>
    <cellStyle name="20% - Accent1 3 2 5 5" xfId="10395" xr:uid="{8B45A73D-3EBF-4D8B-9EC6-652C3BEF557F}"/>
    <cellStyle name="20% - Accent1 3 2 6" xfId="2270" xr:uid="{00000000-0005-0000-0000-000064000000}"/>
    <cellStyle name="20% - Accent1 3 2 6 2" xfId="6576" xr:uid="{00000000-0005-0000-0000-000065000000}"/>
    <cellStyle name="20% - Accent1 3 2 6 2 2" xfId="23474" xr:uid="{0ABE4D98-B9E4-46CD-A72C-6D19069FFCA7}"/>
    <cellStyle name="20% - Accent1 3 2 6 2 3" xfId="15026" xr:uid="{E29339A0-D306-44F9-AD79-B4C65889B14F}"/>
    <cellStyle name="20% - Accent1 3 2 6 3" xfId="19256" xr:uid="{3FAB463F-FF27-4B70-9253-2E2EC5BAAD90}"/>
    <cellStyle name="20% - Accent1 3 2 6 4" xfId="10808" xr:uid="{10CEDEDF-93DE-4690-AD12-4DA441FCFD53}"/>
    <cellStyle name="20% - Accent1 3 2 7" xfId="4510" xr:uid="{00000000-0005-0000-0000-000066000000}"/>
    <cellStyle name="20% - Accent1 3 2 7 2" xfId="21408" xr:uid="{1F5C768F-4525-4052-A060-ED2B57A1661F}"/>
    <cellStyle name="20% - Accent1 3 2 7 3" xfId="12960" xr:uid="{7E3C2CDD-89F8-4B02-A925-8EA4AA48FE33}"/>
    <cellStyle name="20% - Accent1 3 2 8" xfId="17190" xr:uid="{1941A20F-2CF1-4A0A-9458-EFC0FCE9471B}"/>
    <cellStyle name="20% - Accent1 3 2 9" xfId="8742" xr:uid="{D3CF1C4B-C384-4263-A8E2-8295655B9144}"/>
    <cellStyle name="20% - Accent1 3 3" xfId="575" xr:uid="{00000000-0005-0000-0000-000067000000}"/>
    <cellStyle name="20% - Accent1 3 3 2" xfId="2846" xr:uid="{00000000-0005-0000-0000-000068000000}"/>
    <cellStyle name="20% - Accent1 3 3 2 2" xfId="7068" xr:uid="{00000000-0005-0000-0000-000069000000}"/>
    <cellStyle name="20% - Accent1 3 3 2 2 2" xfId="23966" xr:uid="{EB1DBB2A-76EF-4126-AC0D-6F854F2DC673}"/>
    <cellStyle name="20% - Accent1 3 3 2 2 3" xfId="15518" xr:uid="{FA10B83A-A9ED-466D-BB9E-A05474EC05D6}"/>
    <cellStyle name="20% - Accent1 3 3 2 3" xfId="19748" xr:uid="{B2FC5593-55E5-4F50-BBCD-FFFDCC272033}"/>
    <cellStyle name="20% - Accent1 3 3 2 4" xfId="11300" xr:uid="{41CC94ED-C355-4052-9861-041944B22F97}"/>
    <cellStyle name="20% - Accent1 3 3 3" xfId="4923" xr:uid="{00000000-0005-0000-0000-00006A000000}"/>
    <cellStyle name="20% - Accent1 3 3 3 2" xfId="21821" xr:uid="{C58A44D2-4110-4D53-8543-F5251BED1C5C}"/>
    <cellStyle name="20% - Accent1 3 3 3 3" xfId="13373" xr:uid="{F9E97433-B745-4198-A5B7-7B40BD89C894}"/>
    <cellStyle name="20% - Accent1 3 3 4" xfId="17603" xr:uid="{BCBA3E00-B3E1-432F-9503-C3A0CF662359}"/>
    <cellStyle name="20% - Accent1 3 3 5" xfId="9155" xr:uid="{E06FFC59-6FC9-4119-BFF7-140C99238BBD}"/>
    <cellStyle name="20% - Accent1 3 4" xfId="1028" xr:uid="{00000000-0005-0000-0000-00006B000000}"/>
    <cellStyle name="20% - Accent1 3 4 2" xfId="3259" xr:uid="{00000000-0005-0000-0000-00006C000000}"/>
    <cellStyle name="20% - Accent1 3 4 2 2" xfId="7481" xr:uid="{00000000-0005-0000-0000-00006D000000}"/>
    <cellStyle name="20% - Accent1 3 4 2 2 2" xfId="24379" xr:uid="{523B9A3E-09AD-45AC-9D46-0C30B5183917}"/>
    <cellStyle name="20% - Accent1 3 4 2 2 3" xfId="15931" xr:uid="{F1DFC2B4-6593-48F3-940A-B6AAAC3A8A12}"/>
    <cellStyle name="20% - Accent1 3 4 2 3" xfId="20161" xr:uid="{78828CD5-DF6C-4C23-84AB-72EAF28F4A71}"/>
    <cellStyle name="20% - Accent1 3 4 2 4" xfId="11713" xr:uid="{2B254D88-CAB7-440B-BA78-2BB414FB3A7A}"/>
    <cellStyle name="20% - Accent1 3 4 3" xfId="5336" xr:uid="{00000000-0005-0000-0000-00006E000000}"/>
    <cellStyle name="20% - Accent1 3 4 3 2" xfId="22234" xr:uid="{2088B6A3-70FD-4A50-B70B-7784885D5055}"/>
    <cellStyle name="20% - Accent1 3 4 3 3" xfId="13786" xr:uid="{98CDEA83-E107-4A50-A12B-EA6FEBCE7E28}"/>
    <cellStyle name="20% - Accent1 3 4 4" xfId="18016" xr:uid="{44545DCB-8376-46F3-88F7-D341AC814F9D}"/>
    <cellStyle name="20% - Accent1 3 4 5" xfId="9568" xr:uid="{A43CD427-19C3-424B-938C-C8640CE41502}"/>
    <cellStyle name="20% - Accent1 3 5" xfId="1442" xr:uid="{00000000-0005-0000-0000-00006F000000}"/>
    <cellStyle name="20% - Accent1 3 5 2" xfId="3672" xr:uid="{00000000-0005-0000-0000-000070000000}"/>
    <cellStyle name="20% - Accent1 3 5 2 2" xfId="7894" xr:uid="{00000000-0005-0000-0000-000071000000}"/>
    <cellStyle name="20% - Accent1 3 5 2 2 2" xfId="24792" xr:uid="{735E206B-F3FC-4F4B-BEC3-510FD1E855FF}"/>
    <cellStyle name="20% - Accent1 3 5 2 2 3" xfId="16344" xr:uid="{C3379A0F-E2B1-4882-AD43-9CCF76BA3C7F}"/>
    <cellStyle name="20% - Accent1 3 5 2 3" xfId="20574" xr:uid="{5A2E8235-5473-41C3-9197-230B74D00AA4}"/>
    <cellStyle name="20% - Accent1 3 5 2 4" xfId="12126" xr:uid="{B499424A-723F-4E2A-A263-BF377B97C8A2}"/>
    <cellStyle name="20% - Accent1 3 5 3" xfId="5749" xr:uid="{00000000-0005-0000-0000-000072000000}"/>
    <cellStyle name="20% - Accent1 3 5 3 2" xfId="22647" xr:uid="{3037CF5A-1FDA-4A40-A06E-308E8CC13E01}"/>
    <cellStyle name="20% - Accent1 3 5 3 3" xfId="14199" xr:uid="{7B4B71E2-B661-4FC9-AFDD-9D3FC6B388F4}"/>
    <cellStyle name="20% - Accent1 3 5 4" xfId="18429" xr:uid="{82F02F6B-98B6-4E85-AFD2-B678678F1ED9}"/>
    <cellStyle name="20% - Accent1 3 5 5" xfId="9981" xr:uid="{3B48379F-12E3-40AB-9596-DB3D524F17E3}"/>
    <cellStyle name="20% - Accent1 3 6" xfId="1856" xr:uid="{00000000-0005-0000-0000-000073000000}"/>
    <cellStyle name="20% - Accent1 3 6 2" xfId="4085" xr:uid="{00000000-0005-0000-0000-000074000000}"/>
    <cellStyle name="20% - Accent1 3 6 2 2" xfId="8307" xr:uid="{00000000-0005-0000-0000-000075000000}"/>
    <cellStyle name="20% - Accent1 3 6 2 2 2" xfId="25205" xr:uid="{457C4521-B0E5-44CE-8326-089709B30467}"/>
    <cellStyle name="20% - Accent1 3 6 2 2 3" xfId="16757" xr:uid="{AEF5AC74-4E4B-43D0-AF32-B33AC3138B37}"/>
    <cellStyle name="20% - Accent1 3 6 2 3" xfId="20987" xr:uid="{5CDB6501-6270-457F-B055-23F7B30553E8}"/>
    <cellStyle name="20% - Accent1 3 6 2 4" xfId="12539" xr:uid="{9DF2D5B7-F363-4E20-B371-41E62E916A12}"/>
    <cellStyle name="20% - Accent1 3 6 3" xfId="6162" xr:uid="{00000000-0005-0000-0000-000076000000}"/>
    <cellStyle name="20% - Accent1 3 6 3 2" xfId="23060" xr:uid="{AA7A3103-A32F-4770-B62B-A9A0A69FD69D}"/>
    <cellStyle name="20% - Accent1 3 6 3 3" xfId="14612" xr:uid="{B0E92ADC-A9DB-43C0-A02B-08A9179063CC}"/>
    <cellStyle name="20% - Accent1 3 6 4" xfId="18842" xr:uid="{082EEE71-4FA3-4C15-A984-952098DAC15B}"/>
    <cellStyle name="20% - Accent1 3 6 5" xfId="10394" xr:uid="{03298F46-9C66-446C-973B-57C4B612C883}"/>
    <cellStyle name="20% - Accent1 3 7" xfId="2269" xr:uid="{00000000-0005-0000-0000-000077000000}"/>
    <cellStyle name="20% - Accent1 3 7 2" xfId="6575" xr:uid="{00000000-0005-0000-0000-000078000000}"/>
    <cellStyle name="20% - Accent1 3 7 2 2" xfId="23473" xr:uid="{EA9FD4D9-E0E9-4B5D-BFAD-6BB316DB7FEF}"/>
    <cellStyle name="20% - Accent1 3 7 2 3" xfId="15025" xr:uid="{240841FD-9E90-432A-BF07-938ECCE76BF9}"/>
    <cellStyle name="20% - Accent1 3 7 3" xfId="19255" xr:uid="{B53CA231-DE25-4DE8-B72F-3B4E2872D32A}"/>
    <cellStyle name="20% - Accent1 3 7 4" xfId="10807" xr:uid="{0279A6D1-5F86-4AB4-865B-36D44273C2D4}"/>
    <cellStyle name="20% - Accent1 3 8" xfId="4509" xr:uid="{00000000-0005-0000-0000-000079000000}"/>
    <cellStyle name="20% - Accent1 3 8 2" xfId="21407" xr:uid="{3D5E09A7-EF74-4412-81E8-C55A5DD23B91}"/>
    <cellStyle name="20% - Accent1 3 8 3" xfId="12959" xr:uid="{5322514A-39EF-4982-9B51-F79CAE4E3FD4}"/>
    <cellStyle name="20% - Accent1 3 9" xfId="17189" xr:uid="{AB1B7CE3-EA26-4474-A717-93CD338701BC}"/>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2 2 2" xfId="23968" xr:uid="{86915C25-9844-4C2C-B5E0-884F17DCEB54}"/>
    <cellStyle name="20% - Accent1 4 2 2 2 3" xfId="15520" xr:uid="{19849B78-3240-4B46-BFC0-0E8E4672DEB3}"/>
    <cellStyle name="20% - Accent1 4 2 2 3" xfId="19750" xr:uid="{1BB53C64-A437-4F3E-91CB-F0E7C9BE7E33}"/>
    <cellStyle name="20% - Accent1 4 2 2 4" xfId="11302" xr:uid="{8B943006-36EA-4A98-A82F-21104192AD7D}"/>
    <cellStyle name="20% - Accent1 4 2 3" xfId="4925" xr:uid="{00000000-0005-0000-0000-00007E000000}"/>
    <cellStyle name="20% - Accent1 4 2 3 2" xfId="21823" xr:uid="{32A9E126-9C44-4A00-B8CB-DE588A01AA0E}"/>
    <cellStyle name="20% - Accent1 4 2 3 3" xfId="13375" xr:uid="{77CD0E92-14DD-4258-9803-BB139DCDFDE4}"/>
    <cellStyle name="20% - Accent1 4 2 4" xfId="17605" xr:uid="{B23A352C-D097-435F-9B26-27FEF635B776}"/>
    <cellStyle name="20% - Accent1 4 2 5" xfId="9157" xr:uid="{1A06FEC7-4D39-494C-BC74-8DC51B254658}"/>
    <cellStyle name="20% - Accent1 4 3" xfId="1030" xr:uid="{00000000-0005-0000-0000-00007F000000}"/>
    <cellStyle name="20% - Accent1 4 3 2" xfId="3261" xr:uid="{00000000-0005-0000-0000-000080000000}"/>
    <cellStyle name="20% - Accent1 4 3 2 2" xfId="7483" xr:uid="{00000000-0005-0000-0000-000081000000}"/>
    <cellStyle name="20% - Accent1 4 3 2 2 2" xfId="24381" xr:uid="{7F1C5675-15B1-4148-BE0B-F53D97922ADC}"/>
    <cellStyle name="20% - Accent1 4 3 2 2 3" xfId="15933" xr:uid="{04CAAB5E-4F1E-4509-9EF4-A5C2B6FDF5B5}"/>
    <cellStyle name="20% - Accent1 4 3 2 3" xfId="20163" xr:uid="{80FB58D8-68DA-425A-B8E1-300B2B944FCE}"/>
    <cellStyle name="20% - Accent1 4 3 2 4" xfId="11715" xr:uid="{64E86DC7-CA64-4331-B04A-0407328830AF}"/>
    <cellStyle name="20% - Accent1 4 3 3" xfId="5338" xr:uid="{00000000-0005-0000-0000-000082000000}"/>
    <cellStyle name="20% - Accent1 4 3 3 2" xfId="22236" xr:uid="{06E2623D-C5D3-4811-A438-F1FFC1EAA52E}"/>
    <cellStyle name="20% - Accent1 4 3 3 3" xfId="13788" xr:uid="{029B7C09-765B-4343-8B6E-5853132E250B}"/>
    <cellStyle name="20% - Accent1 4 3 4" xfId="18018" xr:uid="{23FE587E-BB86-4BC4-B151-883CDEFA3136}"/>
    <cellStyle name="20% - Accent1 4 3 5" xfId="9570" xr:uid="{244227D5-A50E-402D-81C3-4D616FEA5307}"/>
    <cellStyle name="20% - Accent1 4 4" xfId="1444" xr:uid="{00000000-0005-0000-0000-000083000000}"/>
    <cellStyle name="20% - Accent1 4 4 2" xfId="3674" xr:uid="{00000000-0005-0000-0000-000084000000}"/>
    <cellStyle name="20% - Accent1 4 4 2 2" xfId="7896" xr:uid="{00000000-0005-0000-0000-000085000000}"/>
    <cellStyle name="20% - Accent1 4 4 2 2 2" xfId="24794" xr:uid="{D7903930-A875-4673-84D6-66503CA31962}"/>
    <cellStyle name="20% - Accent1 4 4 2 2 3" xfId="16346" xr:uid="{527B2069-51C9-41ED-974E-2373BA5E65E0}"/>
    <cellStyle name="20% - Accent1 4 4 2 3" xfId="20576" xr:uid="{70CB076E-A1AB-489E-9110-2C2AA7A6372F}"/>
    <cellStyle name="20% - Accent1 4 4 2 4" xfId="12128" xr:uid="{B4697E81-971E-41D8-850A-F1BAACF85A7D}"/>
    <cellStyle name="20% - Accent1 4 4 3" xfId="5751" xr:uid="{00000000-0005-0000-0000-000086000000}"/>
    <cellStyle name="20% - Accent1 4 4 3 2" xfId="22649" xr:uid="{430EA552-AFAB-49FC-93D4-64D333568283}"/>
    <cellStyle name="20% - Accent1 4 4 3 3" xfId="14201" xr:uid="{38007641-2327-4BBC-9E90-2BD2DEDC3F25}"/>
    <cellStyle name="20% - Accent1 4 4 4" xfId="18431" xr:uid="{6E4C34E5-E193-4585-BA12-1E647B04255B}"/>
    <cellStyle name="20% - Accent1 4 4 5" xfId="9983" xr:uid="{F2948505-223B-4398-A63E-F8A873B6F5BB}"/>
    <cellStyle name="20% - Accent1 4 5" xfId="1858" xr:uid="{00000000-0005-0000-0000-000087000000}"/>
    <cellStyle name="20% - Accent1 4 5 2" xfId="4087" xr:uid="{00000000-0005-0000-0000-000088000000}"/>
    <cellStyle name="20% - Accent1 4 5 2 2" xfId="8309" xr:uid="{00000000-0005-0000-0000-000089000000}"/>
    <cellStyle name="20% - Accent1 4 5 2 2 2" xfId="25207" xr:uid="{B5883BBF-1E84-438E-92F5-D5C61886EF64}"/>
    <cellStyle name="20% - Accent1 4 5 2 2 3" xfId="16759" xr:uid="{E1605F5E-15D6-4FD1-9697-B19738B8926A}"/>
    <cellStyle name="20% - Accent1 4 5 2 3" xfId="20989" xr:uid="{13D10E41-0EEF-4097-A7BB-7FCFBEB45268}"/>
    <cellStyle name="20% - Accent1 4 5 2 4" xfId="12541" xr:uid="{2816F121-9B06-4D33-B05E-DAB2462DC507}"/>
    <cellStyle name="20% - Accent1 4 5 3" xfId="6164" xr:uid="{00000000-0005-0000-0000-00008A000000}"/>
    <cellStyle name="20% - Accent1 4 5 3 2" xfId="23062" xr:uid="{31076512-CD46-4D67-BD35-EC0EAE9EEC02}"/>
    <cellStyle name="20% - Accent1 4 5 3 3" xfId="14614" xr:uid="{0E6C6F96-C12F-41AC-B6FD-AEA7DC728D79}"/>
    <cellStyle name="20% - Accent1 4 5 4" xfId="18844" xr:uid="{191CB2C0-ED78-40BB-B1DD-D8E759E5AAAF}"/>
    <cellStyle name="20% - Accent1 4 5 5" xfId="10396" xr:uid="{22E05A9D-53C5-4DC6-B2C0-6179D7B6AA0B}"/>
    <cellStyle name="20% - Accent1 4 6" xfId="2271" xr:uid="{00000000-0005-0000-0000-00008B000000}"/>
    <cellStyle name="20% - Accent1 4 6 2" xfId="6577" xr:uid="{00000000-0005-0000-0000-00008C000000}"/>
    <cellStyle name="20% - Accent1 4 6 2 2" xfId="23475" xr:uid="{EE3D52C6-6E42-4DB5-8A48-1F4416E1C1D6}"/>
    <cellStyle name="20% - Accent1 4 6 2 3" xfId="15027" xr:uid="{46ABBA73-6FC6-415C-A4D4-3AA03986A8B7}"/>
    <cellStyle name="20% - Accent1 4 6 3" xfId="19257" xr:uid="{7897FCE9-685E-4C01-B431-029C70E5E665}"/>
    <cellStyle name="20% - Accent1 4 6 4" xfId="10809" xr:uid="{49F2C510-62F3-4777-BF78-DB2613A1F5B5}"/>
    <cellStyle name="20% - Accent1 4 7" xfId="4511" xr:uid="{00000000-0005-0000-0000-00008D000000}"/>
    <cellStyle name="20% - Accent1 4 7 2" xfId="21409" xr:uid="{5F343ADF-7311-403F-8D89-767C0C794848}"/>
    <cellStyle name="20% - Accent1 4 7 3" xfId="12961" xr:uid="{983F5F09-7253-4787-91A0-24339A3132CD}"/>
    <cellStyle name="20% - Accent1 4 8" xfId="17191" xr:uid="{0EC5F0CB-A81C-4818-BE2E-02F4B09FDA98}"/>
    <cellStyle name="20% - Accent1 4 9" xfId="8743" xr:uid="{64047065-3813-47D6-9716-9233F4BC42DB}"/>
    <cellStyle name="20% - Accent1 5" xfId="570" xr:uid="{00000000-0005-0000-0000-00008E000000}"/>
    <cellStyle name="20% - Accent1 5 2" xfId="2841" xr:uid="{00000000-0005-0000-0000-00008F000000}"/>
    <cellStyle name="20% - Accent1 5 2 2" xfId="7063" xr:uid="{00000000-0005-0000-0000-000090000000}"/>
    <cellStyle name="20% - Accent1 5 2 2 2" xfId="23961" xr:uid="{0CC479CF-DB96-4541-A792-7E7C6E905967}"/>
    <cellStyle name="20% - Accent1 5 2 2 3" xfId="15513" xr:uid="{4F8ADCEA-65D7-4F01-AA94-84D2CBB96B91}"/>
    <cellStyle name="20% - Accent1 5 2 3" xfId="19743" xr:uid="{E3617649-3347-4F9F-AE3B-FF78BF389E0F}"/>
    <cellStyle name="20% - Accent1 5 2 4" xfId="11295" xr:uid="{D12A577D-4AE6-45D3-AA0F-04D9914C1919}"/>
    <cellStyle name="20% - Accent1 5 3" xfId="4918" xr:uid="{00000000-0005-0000-0000-000091000000}"/>
    <cellStyle name="20% - Accent1 5 3 2" xfId="21816" xr:uid="{5E9A4D78-DF59-4315-8C4A-252EB5E0D24B}"/>
    <cellStyle name="20% - Accent1 5 3 3" xfId="13368" xr:uid="{0AA94E83-F115-43D0-8F66-F53C0BED3EBB}"/>
    <cellStyle name="20% - Accent1 5 4" xfId="17598" xr:uid="{E79CA20C-BEC1-4A44-894D-918C7DD45500}"/>
    <cellStyle name="20% - Accent1 5 5" xfId="9150" xr:uid="{725CB7B3-BB2D-4B46-8413-78A508D77869}"/>
    <cellStyle name="20% - Accent1 6" xfId="1023" xr:uid="{00000000-0005-0000-0000-000092000000}"/>
    <cellStyle name="20% - Accent1 6 2" xfId="3254" xr:uid="{00000000-0005-0000-0000-000093000000}"/>
    <cellStyle name="20% - Accent1 6 2 2" xfId="7476" xr:uid="{00000000-0005-0000-0000-000094000000}"/>
    <cellStyle name="20% - Accent1 6 2 2 2" xfId="24374" xr:uid="{A2BFDD53-25EB-4EBF-911B-F000E05625CB}"/>
    <cellStyle name="20% - Accent1 6 2 2 3" xfId="15926" xr:uid="{B3558DDC-C6BB-48DF-8C80-3AB55041ACF4}"/>
    <cellStyle name="20% - Accent1 6 2 3" xfId="20156" xr:uid="{123DE48C-1740-4E22-876C-10DB2DAD005A}"/>
    <cellStyle name="20% - Accent1 6 2 4" xfId="11708" xr:uid="{2D61FF7A-FC36-4673-AA09-EF4E9363F8C9}"/>
    <cellStyle name="20% - Accent1 6 3" xfId="5331" xr:uid="{00000000-0005-0000-0000-000095000000}"/>
    <cellStyle name="20% - Accent1 6 3 2" xfId="22229" xr:uid="{ECDE15F2-EB76-4BF3-803A-7E6F9CF0A338}"/>
    <cellStyle name="20% - Accent1 6 3 3" xfId="13781" xr:uid="{718489DD-8ACF-494A-B8A1-A74EFAC74B99}"/>
    <cellStyle name="20% - Accent1 6 4" xfId="18011" xr:uid="{54838CDB-6548-428B-B31A-42339F109202}"/>
    <cellStyle name="20% - Accent1 6 5" xfId="9563" xr:uid="{A721D3FB-61F0-4251-AF28-6997EBAE02DC}"/>
    <cellStyle name="20% - Accent1 7" xfId="1437" xr:uid="{00000000-0005-0000-0000-000096000000}"/>
    <cellStyle name="20% - Accent1 7 2" xfId="3667" xr:uid="{00000000-0005-0000-0000-000097000000}"/>
    <cellStyle name="20% - Accent1 7 2 2" xfId="7889" xr:uid="{00000000-0005-0000-0000-000098000000}"/>
    <cellStyle name="20% - Accent1 7 2 2 2" xfId="24787" xr:uid="{BC6CA0DF-8E24-4601-BB8B-04A09DDC557A}"/>
    <cellStyle name="20% - Accent1 7 2 2 3" xfId="16339" xr:uid="{45419926-96E0-48DB-8A50-329B8EEB77BC}"/>
    <cellStyle name="20% - Accent1 7 2 3" xfId="20569" xr:uid="{055CFCD7-8294-4794-A2FC-0B148D6945FD}"/>
    <cellStyle name="20% - Accent1 7 2 4" xfId="12121" xr:uid="{6125DA30-E8A3-41DC-BFFE-319C88FB9F52}"/>
    <cellStyle name="20% - Accent1 7 3" xfId="5744" xr:uid="{00000000-0005-0000-0000-000099000000}"/>
    <cellStyle name="20% - Accent1 7 3 2" xfId="22642" xr:uid="{A32308FD-E959-443F-858A-8CA93C102B12}"/>
    <cellStyle name="20% - Accent1 7 3 3" xfId="14194" xr:uid="{C064F12A-0A66-438F-B0BD-99B514F1A75D}"/>
    <cellStyle name="20% - Accent1 7 4" xfId="18424" xr:uid="{A1565CC3-F056-4B2C-9C37-93C5ACC3C52E}"/>
    <cellStyle name="20% - Accent1 7 5" xfId="9976" xr:uid="{11451992-B44F-4B71-90B0-1E7B6C1A3A6B}"/>
    <cellStyle name="20% - Accent1 8" xfId="1851" xr:uid="{00000000-0005-0000-0000-00009A000000}"/>
    <cellStyle name="20% - Accent1 8 2" xfId="4080" xr:uid="{00000000-0005-0000-0000-00009B000000}"/>
    <cellStyle name="20% - Accent1 8 2 2" xfId="8302" xr:uid="{00000000-0005-0000-0000-00009C000000}"/>
    <cellStyle name="20% - Accent1 8 2 2 2" xfId="25200" xr:uid="{876071A3-9A0F-4668-B4A2-2B2B948F051B}"/>
    <cellStyle name="20% - Accent1 8 2 2 3" xfId="16752" xr:uid="{919AF60B-86B3-4B65-A822-BDE54B5ED6C8}"/>
    <cellStyle name="20% - Accent1 8 2 3" xfId="20982" xr:uid="{07EFD587-B925-46DB-930D-1DA9BBD2C4F3}"/>
    <cellStyle name="20% - Accent1 8 2 4" xfId="12534" xr:uid="{ACB2547F-C24B-4F46-A33E-A8283040E91F}"/>
    <cellStyle name="20% - Accent1 8 3" xfId="6157" xr:uid="{00000000-0005-0000-0000-00009D000000}"/>
    <cellStyle name="20% - Accent1 8 3 2" xfId="23055" xr:uid="{466CAD6C-0FD4-41BA-8808-C7F8610E4126}"/>
    <cellStyle name="20% - Accent1 8 3 3" xfId="14607" xr:uid="{E3ED8309-A2E9-4B38-ADF7-25DCD7CBE9F7}"/>
    <cellStyle name="20% - Accent1 8 4" xfId="18837" xr:uid="{BDD7D6B7-9D50-4A7A-BE0F-9D0C509FB1AA}"/>
    <cellStyle name="20% - Accent1 8 5" xfId="10389" xr:uid="{807A3721-4643-4BD2-B1EB-693E2334E909}"/>
    <cellStyle name="20% - Accent1 9" xfId="2264" xr:uid="{00000000-0005-0000-0000-00009E000000}"/>
    <cellStyle name="20% - Accent1 9 2" xfId="6570" xr:uid="{00000000-0005-0000-0000-00009F000000}"/>
    <cellStyle name="20% - Accent1 9 2 2" xfId="23468" xr:uid="{D1351E27-CCFA-4027-B933-F26A0E6C4A2D}"/>
    <cellStyle name="20% - Accent1 9 2 3" xfId="15020" xr:uid="{0F864B8E-0F44-4D92-AA5D-428655CA81C6}"/>
    <cellStyle name="20% - Accent1 9 3" xfId="19250" xr:uid="{1AD308EA-8A22-4689-ACEE-5E801FB3F13E}"/>
    <cellStyle name="20% - Accent1 9 4" xfId="10802" xr:uid="{D2D6B4CA-D9B7-4BDF-8785-4F93B3586570}"/>
    <cellStyle name="20% - Accent2" xfId="9" builtinId="34" customBuiltin="1"/>
    <cellStyle name="20% - Accent2 10" xfId="4512" xr:uid="{00000000-0005-0000-0000-0000A1000000}"/>
    <cellStyle name="20% - Accent2 10 2" xfId="21410" xr:uid="{C1F7DA66-EA19-4A06-84C6-1B7F0DDA7A0C}"/>
    <cellStyle name="20% - Accent2 10 3" xfId="12962" xr:uid="{FA96549F-87E4-44F0-97C1-ED0DB614BB8D}"/>
    <cellStyle name="20% - Accent2 11" xfId="17192" xr:uid="{9F66DD62-CD87-40CC-A2E4-EECA2F3A7845}"/>
    <cellStyle name="20% - Accent2 12" xfId="8744" xr:uid="{BA76CA36-E7C2-4A2E-B1F4-AE7E59473661}"/>
    <cellStyle name="20% - Accent2 2" xfId="10" xr:uid="{00000000-0005-0000-0000-0000A2000000}"/>
    <cellStyle name="20% - Accent2 2 10" xfId="17193" xr:uid="{CF5A7AA9-3139-44C5-9BEB-AAF30BE1E40E}"/>
    <cellStyle name="20% - Accent2 2 11" xfId="8745" xr:uid="{E312CA26-362C-48A9-8D74-30AAE6DC7F56}"/>
    <cellStyle name="20% - Accent2 2 2" xfId="11" xr:uid="{00000000-0005-0000-0000-0000A3000000}"/>
    <cellStyle name="20% - Accent2 2 2 10" xfId="8746" xr:uid="{D44C32E8-880C-4272-A98E-F0FD7CA188B4}"/>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23972" xr:uid="{6D52477D-EFDB-4084-B27C-FD4DB043BEF9}"/>
    <cellStyle name="20% - Accent2 2 2 2 2 2 2 3" xfId="15524" xr:uid="{238888BA-12C6-4DE0-A886-7E6D2838B546}"/>
    <cellStyle name="20% - Accent2 2 2 2 2 2 3" xfId="19754" xr:uid="{269B70D6-3282-4C95-882F-45E3E2B690F2}"/>
    <cellStyle name="20% - Accent2 2 2 2 2 2 4" xfId="11306" xr:uid="{CB977AA5-7AD1-4E7E-9D69-AE8A6C2E2A19}"/>
    <cellStyle name="20% - Accent2 2 2 2 2 3" xfId="4929" xr:uid="{00000000-0005-0000-0000-0000A8000000}"/>
    <cellStyle name="20% - Accent2 2 2 2 2 3 2" xfId="21827" xr:uid="{ED1B5020-C7A9-477A-9AFB-249B85B2CA90}"/>
    <cellStyle name="20% - Accent2 2 2 2 2 3 3" xfId="13379" xr:uid="{E2F26C63-BF5F-4ADB-9069-B12D6969BE54}"/>
    <cellStyle name="20% - Accent2 2 2 2 2 4" xfId="17609" xr:uid="{AAD7DB2D-F29C-4455-80B1-5112AF3D313B}"/>
    <cellStyle name="20% - Accent2 2 2 2 2 5" xfId="9161" xr:uid="{73F0B6DB-5620-43C2-93DB-ED9B3DBE09F1}"/>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24385" xr:uid="{1F608895-DB6F-4DDA-8410-228B6CEC4B9C}"/>
    <cellStyle name="20% - Accent2 2 2 2 3 2 2 3" xfId="15937" xr:uid="{D0E08987-4F00-4A69-8B36-98AF0CC6E39F}"/>
    <cellStyle name="20% - Accent2 2 2 2 3 2 3" xfId="20167" xr:uid="{1196A70D-7504-42EC-82DC-32C92D41AF50}"/>
    <cellStyle name="20% - Accent2 2 2 2 3 2 4" xfId="11719" xr:uid="{2E38CC4E-F1DC-4859-BC8D-CC561A6D7A6E}"/>
    <cellStyle name="20% - Accent2 2 2 2 3 3" xfId="5342" xr:uid="{00000000-0005-0000-0000-0000AC000000}"/>
    <cellStyle name="20% - Accent2 2 2 2 3 3 2" xfId="22240" xr:uid="{951653A1-5DEA-4F01-9800-5358214A0BC2}"/>
    <cellStyle name="20% - Accent2 2 2 2 3 3 3" xfId="13792" xr:uid="{C6F75627-0083-4639-ACF6-3F19C3A57229}"/>
    <cellStyle name="20% - Accent2 2 2 2 3 4" xfId="18022" xr:uid="{D2D71C9E-F96B-476B-A332-3FD592AB6A46}"/>
    <cellStyle name="20% - Accent2 2 2 2 3 5" xfId="9574" xr:uid="{6F852946-B6C3-49BE-B3AC-8AE23DFE9419}"/>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24798" xr:uid="{F6C3CD77-C2E8-4DB2-B31D-7DEA289C17E3}"/>
    <cellStyle name="20% - Accent2 2 2 2 4 2 2 3" xfId="16350" xr:uid="{3E15EB77-4634-4C69-B3DF-810535D04620}"/>
    <cellStyle name="20% - Accent2 2 2 2 4 2 3" xfId="20580" xr:uid="{B2F95E5F-F931-4E35-897E-6A426DD44BB3}"/>
    <cellStyle name="20% - Accent2 2 2 2 4 2 4" xfId="12132" xr:uid="{2D516286-0C8C-4FD4-ACBC-FFE4D267664E}"/>
    <cellStyle name="20% - Accent2 2 2 2 4 3" xfId="5755" xr:uid="{00000000-0005-0000-0000-0000B0000000}"/>
    <cellStyle name="20% - Accent2 2 2 2 4 3 2" xfId="22653" xr:uid="{EC6768DE-D1F6-4FC8-8E41-63CA860D76B6}"/>
    <cellStyle name="20% - Accent2 2 2 2 4 3 3" xfId="14205" xr:uid="{C38162E8-7AFF-43A1-B979-54A62895A78D}"/>
    <cellStyle name="20% - Accent2 2 2 2 4 4" xfId="18435" xr:uid="{CDDFB049-402C-42C6-9A57-2ABDE59E0C82}"/>
    <cellStyle name="20% - Accent2 2 2 2 4 5" xfId="9987" xr:uid="{EEEB7D07-5A82-407A-B8F5-5C0851FA3F15}"/>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25211" xr:uid="{BECB80AD-63D9-48EB-A1DF-D229594B8502}"/>
    <cellStyle name="20% - Accent2 2 2 2 5 2 2 3" xfId="16763" xr:uid="{14F10F3F-84F1-48D8-89E4-BF81BAFADFA5}"/>
    <cellStyle name="20% - Accent2 2 2 2 5 2 3" xfId="20993" xr:uid="{086E6A08-47FB-44BA-B304-29EC03F1C41B}"/>
    <cellStyle name="20% - Accent2 2 2 2 5 2 4" xfId="12545" xr:uid="{5B35E056-BE4B-4728-8E92-8E4B5D52A6B9}"/>
    <cellStyle name="20% - Accent2 2 2 2 5 3" xfId="6168" xr:uid="{00000000-0005-0000-0000-0000B4000000}"/>
    <cellStyle name="20% - Accent2 2 2 2 5 3 2" xfId="23066" xr:uid="{4AAA16AA-51EC-499D-84C5-031E1EB50C33}"/>
    <cellStyle name="20% - Accent2 2 2 2 5 3 3" xfId="14618" xr:uid="{45515338-18F8-4FAB-AC99-74EE2DDAF774}"/>
    <cellStyle name="20% - Accent2 2 2 2 5 4" xfId="18848" xr:uid="{DE6016E3-B021-4A9C-A4A6-C529EFB8681E}"/>
    <cellStyle name="20% - Accent2 2 2 2 5 5" xfId="10400" xr:uid="{9312AFF2-D614-45C2-8D79-42FFBCD1ED9B}"/>
    <cellStyle name="20% - Accent2 2 2 2 6" xfId="2275" xr:uid="{00000000-0005-0000-0000-0000B5000000}"/>
    <cellStyle name="20% - Accent2 2 2 2 6 2" xfId="6581" xr:uid="{00000000-0005-0000-0000-0000B6000000}"/>
    <cellStyle name="20% - Accent2 2 2 2 6 2 2" xfId="23479" xr:uid="{BEEE101C-8CA2-4E0C-9DDF-F3119631E0AB}"/>
    <cellStyle name="20% - Accent2 2 2 2 6 2 3" xfId="15031" xr:uid="{26F84663-E26B-422F-9DA5-54A5E70B52A6}"/>
    <cellStyle name="20% - Accent2 2 2 2 6 3" xfId="19261" xr:uid="{6DB60747-CE2D-45E0-8749-654AC842CF5E}"/>
    <cellStyle name="20% - Accent2 2 2 2 6 4" xfId="10813" xr:uid="{11F4511C-E917-4969-A912-BD6BC9E4B94E}"/>
    <cellStyle name="20% - Accent2 2 2 2 7" xfId="4515" xr:uid="{00000000-0005-0000-0000-0000B7000000}"/>
    <cellStyle name="20% - Accent2 2 2 2 7 2" xfId="21413" xr:uid="{B8B86082-162D-4B98-990D-ADBA72A23B55}"/>
    <cellStyle name="20% - Accent2 2 2 2 7 3" xfId="12965" xr:uid="{60CB30AC-6573-4014-9B98-6D1AAB0AD10D}"/>
    <cellStyle name="20% - Accent2 2 2 2 8" xfId="17195" xr:uid="{1FA4CE49-BBF2-4A8D-96ED-E824E9C0CFA0}"/>
    <cellStyle name="20% - Accent2 2 2 2 9" xfId="8747" xr:uid="{19D4BD22-CF14-47F8-965B-2E72B93E06ED}"/>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23971" xr:uid="{491A5C15-4CB3-42B2-8E1E-CEBB0D520678}"/>
    <cellStyle name="20% - Accent2 2 2 3 2 2 3" xfId="15523" xr:uid="{DBBFC54C-EF77-40BF-B2EB-89184B0AEA52}"/>
    <cellStyle name="20% - Accent2 2 2 3 2 3" xfId="19753" xr:uid="{966E16B7-F5AD-4B81-A937-0CB5924B86DB}"/>
    <cellStyle name="20% - Accent2 2 2 3 2 4" xfId="11305" xr:uid="{73111AA9-123C-4671-9D9A-50272A243329}"/>
    <cellStyle name="20% - Accent2 2 2 3 3" xfId="4928" xr:uid="{00000000-0005-0000-0000-0000BB000000}"/>
    <cellStyle name="20% - Accent2 2 2 3 3 2" xfId="21826" xr:uid="{19980859-B4E8-4C62-9B82-D722EC9A314A}"/>
    <cellStyle name="20% - Accent2 2 2 3 3 3" xfId="13378" xr:uid="{FC3749F8-6272-4767-AEF9-174959195822}"/>
    <cellStyle name="20% - Accent2 2 2 3 4" xfId="17608" xr:uid="{F1D5E45D-995E-4AC0-9052-EC2E1BEC51BD}"/>
    <cellStyle name="20% - Accent2 2 2 3 5" xfId="9160" xr:uid="{C009985B-0117-4128-8BAC-8982A93AE8AA}"/>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24384" xr:uid="{4801A9FA-86C2-41DA-892B-D4C6BE06F764}"/>
    <cellStyle name="20% - Accent2 2 2 4 2 2 3" xfId="15936" xr:uid="{C5A7C71D-83CC-47AA-B66F-1029E8A824B4}"/>
    <cellStyle name="20% - Accent2 2 2 4 2 3" xfId="20166" xr:uid="{00826EF5-9AA2-4AB0-9FEC-9ECF0FEE6CFF}"/>
    <cellStyle name="20% - Accent2 2 2 4 2 4" xfId="11718" xr:uid="{FBCB0190-D6FD-4B40-8285-9DFD6423BCA4}"/>
    <cellStyle name="20% - Accent2 2 2 4 3" xfId="5341" xr:uid="{00000000-0005-0000-0000-0000BF000000}"/>
    <cellStyle name="20% - Accent2 2 2 4 3 2" xfId="22239" xr:uid="{8BD9A48E-EDB1-4CE7-AFE8-2B3E2DBDAC1B}"/>
    <cellStyle name="20% - Accent2 2 2 4 3 3" xfId="13791" xr:uid="{CF178184-B4A1-4CBF-A58F-25CEEDBA1D1D}"/>
    <cellStyle name="20% - Accent2 2 2 4 4" xfId="18021" xr:uid="{BB257D5D-A29D-4EA4-AF59-4BB0D72492D9}"/>
    <cellStyle name="20% - Accent2 2 2 4 5" xfId="9573" xr:uid="{7E884CBB-D2C0-472E-A4F9-EC95083E66CE}"/>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24797" xr:uid="{B9E51673-FFEF-4F9C-AB47-B5F868047308}"/>
    <cellStyle name="20% - Accent2 2 2 5 2 2 3" xfId="16349" xr:uid="{6E5A8650-DC35-42F9-AE02-F75D8EE21BF6}"/>
    <cellStyle name="20% - Accent2 2 2 5 2 3" xfId="20579" xr:uid="{6FFDFAE3-D6F2-4455-ABC2-C1F40FCECF90}"/>
    <cellStyle name="20% - Accent2 2 2 5 2 4" xfId="12131" xr:uid="{0AA44D44-D613-42BE-8814-BE2946DB4790}"/>
    <cellStyle name="20% - Accent2 2 2 5 3" xfId="5754" xr:uid="{00000000-0005-0000-0000-0000C3000000}"/>
    <cellStyle name="20% - Accent2 2 2 5 3 2" xfId="22652" xr:uid="{A852B880-EAA3-4309-9806-70DD6714915E}"/>
    <cellStyle name="20% - Accent2 2 2 5 3 3" xfId="14204" xr:uid="{B17BDC20-7822-43B7-99A0-E2AD953C6F09}"/>
    <cellStyle name="20% - Accent2 2 2 5 4" xfId="18434" xr:uid="{E8CD114D-AEF0-44DA-BC98-7F75416BC850}"/>
    <cellStyle name="20% - Accent2 2 2 5 5" xfId="9986" xr:uid="{5A8E232B-8238-48C3-AEA6-C1EF76CA98A7}"/>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25210" xr:uid="{B3823237-6E5C-4DE1-AC38-69428B9E812B}"/>
    <cellStyle name="20% - Accent2 2 2 6 2 2 3" xfId="16762" xr:uid="{EF64F542-EC2A-4627-A221-40DDF14C4DE9}"/>
    <cellStyle name="20% - Accent2 2 2 6 2 3" xfId="20992" xr:uid="{499863A6-53E7-40B2-92A9-6E91EBC1ED4F}"/>
    <cellStyle name="20% - Accent2 2 2 6 2 4" xfId="12544" xr:uid="{5277F302-BA65-4374-9528-F5FAB62348FE}"/>
    <cellStyle name="20% - Accent2 2 2 6 3" xfId="6167" xr:uid="{00000000-0005-0000-0000-0000C7000000}"/>
    <cellStyle name="20% - Accent2 2 2 6 3 2" xfId="23065" xr:uid="{CFB89A94-041C-477D-951C-ECB325416EC2}"/>
    <cellStyle name="20% - Accent2 2 2 6 3 3" xfId="14617" xr:uid="{D596A52C-7567-400B-A4EF-0331FF219E73}"/>
    <cellStyle name="20% - Accent2 2 2 6 4" xfId="18847" xr:uid="{4BE2F7A6-17B1-470F-963D-BF7101038A69}"/>
    <cellStyle name="20% - Accent2 2 2 6 5" xfId="10399" xr:uid="{43E26E50-A3C4-429D-8B43-A3E0BB99A971}"/>
    <cellStyle name="20% - Accent2 2 2 7" xfId="2274" xr:uid="{00000000-0005-0000-0000-0000C8000000}"/>
    <cellStyle name="20% - Accent2 2 2 7 2" xfId="6580" xr:uid="{00000000-0005-0000-0000-0000C9000000}"/>
    <cellStyle name="20% - Accent2 2 2 7 2 2" xfId="23478" xr:uid="{CE2F6A05-4CC7-444F-B733-416E12E6D42E}"/>
    <cellStyle name="20% - Accent2 2 2 7 2 3" xfId="15030" xr:uid="{31DB306D-56B9-4B65-B89D-240F4F6EF344}"/>
    <cellStyle name="20% - Accent2 2 2 7 3" xfId="19260" xr:uid="{E2663F1D-D896-4A21-99F2-1B795D6B2D4E}"/>
    <cellStyle name="20% - Accent2 2 2 7 4" xfId="10812" xr:uid="{4E462D0C-CEA3-4667-8E63-C010BEF41EBF}"/>
    <cellStyle name="20% - Accent2 2 2 8" xfId="4514" xr:uid="{00000000-0005-0000-0000-0000CA000000}"/>
    <cellStyle name="20% - Accent2 2 2 8 2" xfId="21412" xr:uid="{ABAC471D-A3F6-48FF-B980-8B61C9A33DE8}"/>
    <cellStyle name="20% - Accent2 2 2 8 3" xfId="12964" xr:uid="{F9F6C13F-9589-4028-B55D-518A9CBB5078}"/>
    <cellStyle name="20% - Accent2 2 2 9" xfId="17194" xr:uid="{F1F0E989-B5DD-42DA-B574-0F24A7E5426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23973" xr:uid="{65385D89-98B0-4D35-B1CE-9A7980580EF5}"/>
    <cellStyle name="20% - Accent2 2 3 2 2 2 3" xfId="15525" xr:uid="{97650028-D282-4C4B-BE8D-D334FD81925C}"/>
    <cellStyle name="20% - Accent2 2 3 2 2 3" xfId="19755" xr:uid="{8A671C52-26D4-480F-9A31-CF72F7E5F013}"/>
    <cellStyle name="20% - Accent2 2 3 2 2 4" xfId="11307" xr:uid="{3DC48268-4B19-44ED-B77C-11B679DC51F5}"/>
    <cellStyle name="20% - Accent2 2 3 2 3" xfId="4930" xr:uid="{00000000-0005-0000-0000-0000CF000000}"/>
    <cellStyle name="20% - Accent2 2 3 2 3 2" xfId="21828" xr:uid="{1CC0CA1E-784D-4B2A-868F-1572CD4EBCEE}"/>
    <cellStyle name="20% - Accent2 2 3 2 3 3" xfId="13380" xr:uid="{9120E0BF-204F-4906-882B-BB7EDFB33349}"/>
    <cellStyle name="20% - Accent2 2 3 2 4" xfId="17610" xr:uid="{B344CF1C-4BFD-4644-B141-A5BD0711F6E9}"/>
    <cellStyle name="20% - Accent2 2 3 2 5" xfId="9162" xr:uid="{CA07D746-AF40-4E85-9C06-EB92672C95AC}"/>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24386" xr:uid="{E4F407D6-617B-4BB5-9339-D7685CCC6816}"/>
    <cellStyle name="20% - Accent2 2 3 3 2 2 3" xfId="15938" xr:uid="{09C1AC93-0CF7-47A9-8D1E-C8B46D6B92E3}"/>
    <cellStyle name="20% - Accent2 2 3 3 2 3" xfId="20168" xr:uid="{A47C0D52-0030-4494-9913-5425379386A2}"/>
    <cellStyle name="20% - Accent2 2 3 3 2 4" xfId="11720" xr:uid="{B13DFE2C-0AAA-4E3C-82AD-1723CEAE9B6E}"/>
    <cellStyle name="20% - Accent2 2 3 3 3" xfId="5343" xr:uid="{00000000-0005-0000-0000-0000D3000000}"/>
    <cellStyle name="20% - Accent2 2 3 3 3 2" xfId="22241" xr:uid="{E4DB54EB-CD30-432C-9523-138361F01BFC}"/>
    <cellStyle name="20% - Accent2 2 3 3 3 3" xfId="13793" xr:uid="{C652A8E7-EB26-4CAE-8C6C-48DC7F277D59}"/>
    <cellStyle name="20% - Accent2 2 3 3 4" xfId="18023" xr:uid="{5C5F843A-F03F-47E9-9B48-E338B9126CB1}"/>
    <cellStyle name="20% - Accent2 2 3 3 5" xfId="9575" xr:uid="{2224D8FF-C39C-4A72-B109-9F6691C988E8}"/>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24799" xr:uid="{8EAFCED5-A461-4745-811D-7371DF1FB488}"/>
    <cellStyle name="20% - Accent2 2 3 4 2 2 3" xfId="16351" xr:uid="{A5187D26-3D61-4545-B942-F06F5B810667}"/>
    <cellStyle name="20% - Accent2 2 3 4 2 3" xfId="20581" xr:uid="{4D72F746-7C14-409A-9DE6-422CB9BC1E8C}"/>
    <cellStyle name="20% - Accent2 2 3 4 2 4" xfId="12133" xr:uid="{627A6A69-8048-4F8A-83C8-F8B0B64667D5}"/>
    <cellStyle name="20% - Accent2 2 3 4 3" xfId="5756" xr:uid="{00000000-0005-0000-0000-0000D7000000}"/>
    <cellStyle name="20% - Accent2 2 3 4 3 2" xfId="22654" xr:uid="{108192AA-D4A7-427E-B461-A39964C5117D}"/>
    <cellStyle name="20% - Accent2 2 3 4 3 3" xfId="14206" xr:uid="{FEBBC799-BEE3-43A2-B8E2-BCC7B429CE2C}"/>
    <cellStyle name="20% - Accent2 2 3 4 4" xfId="18436" xr:uid="{02DB7AA2-5CFD-4943-A115-EB6D8699B18D}"/>
    <cellStyle name="20% - Accent2 2 3 4 5" xfId="9988" xr:uid="{1AB63C65-42DA-4B9E-A0A8-DD34A68E3ECB}"/>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25212" xr:uid="{C4EA1E55-0A72-4862-A1ED-1B53FB9E7D53}"/>
    <cellStyle name="20% - Accent2 2 3 5 2 2 3" xfId="16764" xr:uid="{B9BB523B-530B-4356-801E-177BB92F2EDD}"/>
    <cellStyle name="20% - Accent2 2 3 5 2 3" xfId="20994" xr:uid="{2CB061D8-ABBC-49C6-AD20-53D8D267737E}"/>
    <cellStyle name="20% - Accent2 2 3 5 2 4" xfId="12546" xr:uid="{19843A70-599A-4B48-8E90-FC7F47AC4A47}"/>
    <cellStyle name="20% - Accent2 2 3 5 3" xfId="6169" xr:uid="{00000000-0005-0000-0000-0000DB000000}"/>
    <cellStyle name="20% - Accent2 2 3 5 3 2" xfId="23067" xr:uid="{F72D0755-A7D9-4C61-BAC3-1B15C3D904EA}"/>
    <cellStyle name="20% - Accent2 2 3 5 3 3" xfId="14619" xr:uid="{C952FF36-6FB1-4089-9870-82753E6D9B3F}"/>
    <cellStyle name="20% - Accent2 2 3 5 4" xfId="18849" xr:uid="{8C489386-7618-45CF-B1A6-E842D532303E}"/>
    <cellStyle name="20% - Accent2 2 3 5 5" xfId="10401" xr:uid="{E67B14A7-AB03-483B-85C7-C10ECB5D3512}"/>
    <cellStyle name="20% - Accent2 2 3 6" xfId="2276" xr:uid="{00000000-0005-0000-0000-0000DC000000}"/>
    <cellStyle name="20% - Accent2 2 3 6 2" xfId="6582" xr:uid="{00000000-0005-0000-0000-0000DD000000}"/>
    <cellStyle name="20% - Accent2 2 3 6 2 2" xfId="23480" xr:uid="{9A6D25C2-1DD0-424A-9F22-2414FA7D5AD4}"/>
    <cellStyle name="20% - Accent2 2 3 6 2 3" xfId="15032" xr:uid="{D3AC1577-73CC-4F29-9A17-A732CADF6DC1}"/>
    <cellStyle name="20% - Accent2 2 3 6 3" xfId="19262" xr:uid="{75D000E2-BCD6-4147-8F25-F3A3878E2174}"/>
    <cellStyle name="20% - Accent2 2 3 6 4" xfId="10814" xr:uid="{B7A46DC0-2831-4604-BA8E-B2E250049E66}"/>
    <cellStyle name="20% - Accent2 2 3 7" xfId="4516" xr:uid="{00000000-0005-0000-0000-0000DE000000}"/>
    <cellStyle name="20% - Accent2 2 3 7 2" xfId="21414" xr:uid="{2F5DD76F-079C-4BD6-90B4-E4AC7FFF14B5}"/>
    <cellStyle name="20% - Accent2 2 3 7 3" xfId="12966" xr:uid="{EF8744D4-A338-48F6-8651-CAAF69C439E5}"/>
    <cellStyle name="20% - Accent2 2 3 8" xfId="17196" xr:uid="{6A8FFBA5-0BF5-40E2-BF28-0E2D9CD173B9}"/>
    <cellStyle name="20% - Accent2 2 3 9" xfId="8748" xr:uid="{11C2BCCD-799A-4348-9FFF-9053133A4ABE}"/>
    <cellStyle name="20% - Accent2 2 4" xfId="579" xr:uid="{00000000-0005-0000-0000-0000DF000000}"/>
    <cellStyle name="20% - Accent2 2 4 2" xfId="2850" xr:uid="{00000000-0005-0000-0000-0000E0000000}"/>
    <cellStyle name="20% - Accent2 2 4 2 2" xfId="7072" xr:uid="{00000000-0005-0000-0000-0000E1000000}"/>
    <cellStyle name="20% - Accent2 2 4 2 2 2" xfId="23970" xr:uid="{E21DE2CA-58C4-48DD-8958-83838D7CF961}"/>
    <cellStyle name="20% - Accent2 2 4 2 2 3" xfId="15522" xr:uid="{BD315DCF-81C5-46D2-8A01-E8E1F371951A}"/>
    <cellStyle name="20% - Accent2 2 4 2 3" xfId="19752" xr:uid="{6E162C13-60B4-426E-B31C-01E9FB8C3881}"/>
    <cellStyle name="20% - Accent2 2 4 2 4" xfId="11304" xr:uid="{06602284-7BFC-4E43-91BB-4ED95BFB73C7}"/>
    <cellStyle name="20% - Accent2 2 4 3" xfId="4927" xr:uid="{00000000-0005-0000-0000-0000E2000000}"/>
    <cellStyle name="20% - Accent2 2 4 3 2" xfId="21825" xr:uid="{ED610108-FA09-427D-9753-B8497DCA329E}"/>
    <cellStyle name="20% - Accent2 2 4 3 3" xfId="13377" xr:uid="{74ECD6CE-51DA-4E89-8648-65C6D46912AA}"/>
    <cellStyle name="20% - Accent2 2 4 4" xfId="17607" xr:uid="{3622C1C7-A312-4B30-955C-5044DFB6337C}"/>
    <cellStyle name="20% - Accent2 2 4 5" xfId="9159" xr:uid="{BE9F4AF4-E961-414C-9D2D-D7FAFBA0C050}"/>
    <cellStyle name="20% - Accent2 2 5" xfId="1032" xr:uid="{00000000-0005-0000-0000-0000E3000000}"/>
    <cellStyle name="20% - Accent2 2 5 2" xfId="3263" xr:uid="{00000000-0005-0000-0000-0000E4000000}"/>
    <cellStyle name="20% - Accent2 2 5 2 2" xfId="7485" xr:uid="{00000000-0005-0000-0000-0000E5000000}"/>
    <cellStyle name="20% - Accent2 2 5 2 2 2" xfId="24383" xr:uid="{3601C803-2281-40F8-AD3B-18618C2FA5E7}"/>
    <cellStyle name="20% - Accent2 2 5 2 2 3" xfId="15935" xr:uid="{B0ACB15C-86DA-425A-9992-93CFB15AC950}"/>
    <cellStyle name="20% - Accent2 2 5 2 3" xfId="20165" xr:uid="{CA548FBB-8BB1-46D7-8660-D12A3452F7D0}"/>
    <cellStyle name="20% - Accent2 2 5 2 4" xfId="11717" xr:uid="{9FBB4471-AEBD-42BD-BFBE-0DD8CB0FA903}"/>
    <cellStyle name="20% - Accent2 2 5 3" xfId="5340" xr:uid="{00000000-0005-0000-0000-0000E6000000}"/>
    <cellStyle name="20% - Accent2 2 5 3 2" xfId="22238" xr:uid="{248EC4B7-45A7-479D-AF9B-9823B8EC3817}"/>
    <cellStyle name="20% - Accent2 2 5 3 3" xfId="13790" xr:uid="{C93DD6E2-7EE9-400F-86CA-BB1A58E9B740}"/>
    <cellStyle name="20% - Accent2 2 5 4" xfId="18020" xr:uid="{A9AD3AC4-5075-458E-B1A5-62400F5D10A0}"/>
    <cellStyle name="20% - Accent2 2 5 5" xfId="9572" xr:uid="{9F027393-9617-4106-9712-7362339F6315}"/>
    <cellStyle name="20% - Accent2 2 6" xfId="1446" xr:uid="{00000000-0005-0000-0000-0000E7000000}"/>
    <cellStyle name="20% - Accent2 2 6 2" xfId="3676" xr:uid="{00000000-0005-0000-0000-0000E8000000}"/>
    <cellStyle name="20% - Accent2 2 6 2 2" xfId="7898" xr:uid="{00000000-0005-0000-0000-0000E9000000}"/>
    <cellStyle name="20% - Accent2 2 6 2 2 2" xfId="24796" xr:uid="{F90B4CC5-90D3-42CA-A879-2F2786A77ADE}"/>
    <cellStyle name="20% - Accent2 2 6 2 2 3" xfId="16348" xr:uid="{A07DDB4A-D107-46F7-BB9A-E844C521418D}"/>
    <cellStyle name="20% - Accent2 2 6 2 3" xfId="20578" xr:uid="{852D2E7A-ED8B-4880-87A5-BFFE326D31BF}"/>
    <cellStyle name="20% - Accent2 2 6 2 4" xfId="12130" xr:uid="{BEC41210-E7B7-4579-81E3-6B1CFC1BAC30}"/>
    <cellStyle name="20% - Accent2 2 6 3" xfId="5753" xr:uid="{00000000-0005-0000-0000-0000EA000000}"/>
    <cellStyle name="20% - Accent2 2 6 3 2" xfId="22651" xr:uid="{3DC42928-9A80-4889-BD52-3DF301244CEB}"/>
    <cellStyle name="20% - Accent2 2 6 3 3" xfId="14203" xr:uid="{3856F06C-9961-4959-A146-DEBF90F3D477}"/>
    <cellStyle name="20% - Accent2 2 6 4" xfId="18433" xr:uid="{38097229-93FD-4D49-8D59-8E03698D775C}"/>
    <cellStyle name="20% - Accent2 2 6 5" xfId="9985" xr:uid="{5BFF4E8A-A673-4D34-9F22-C006E4C45BC9}"/>
    <cellStyle name="20% - Accent2 2 7" xfId="1860" xr:uid="{00000000-0005-0000-0000-0000EB000000}"/>
    <cellStyle name="20% - Accent2 2 7 2" xfId="4089" xr:uid="{00000000-0005-0000-0000-0000EC000000}"/>
    <cellStyle name="20% - Accent2 2 7 2 2" xfId="8311" xr:uid="{00000000-0005-0000-0000-0000ED000000}"/>
    <cellStyle name="20% - Accent2 2 7 2 2 2" xfId="25209" xr:uid="{96C5C6D3-5D64-408F-A49F-29DE52591A8C}"/>
    <cellStyle name="20% - Accent2 2 7 2 2 3" xfId="16761" xr:uid="{7ED1A923-6256-44CB-9C2C-3370A95A0C9C}"/>
    <cellStyle name="20% - Accent2 2 7 2 3" xfId="20991" xr:uid="{8D5B59C3-5390-43CC-9122-764B2A39F1C1}"/>
    <cellStyle name="20% - Accent2 2 7 2 4" xfId="12543" xr:uid="{6CDFB307-4508-45B7-B99B-1C429A0E32A4}"/>
    <cellStyle name="20% - Accent2 2 7 3" xfId="6166" xr:uid="{00000000-0005-0000-0000-0000EE000000}"/>
    <cellStyle name="20% - Accent2 2 7 3 2" xfId="23064" xr:uid="{8F5F7144-B0DA-43F7-A2B6-D077EA021762}"/>
    <cellStyle name="20% - Accent2 2 7 3 3" xfId="14616" xr:uid="{509A7334-5DE7-4326-93D4-94CEE912BFF3}"/>
    <cellStyle name="20% - Accent2 2 7 4" xfId="18846" xr:uid="{36C94D9C-3F8A-4915-8D2E-692A6A0E88D4}"/>
    <cellStyle name="20% - Accent2 2 7 5" xfId="10398" xr:uid="{520E4233-696F-4F9F-A092-7CF70461A4E5}"/>
    <cellStyle name="20% - Accent2 2 8" xfId="2273" xr:uid="{00000000-0005-0000-0000-0000EF000000}"/>
    <cellStyle name="20% - Accent2 2 8 2" xfId="6579" xr:uid="{00000000-0005-0000-0000-0000F0000000}"/>
    <cellStyle name="20% - Accent2 2 8 2 2" xfId="23477" xr:uid="{297A3524-F6BB-4C44-AF86-F9C983D6DE8C}"/>
    <cellStyle name="20% - Accent2 2 8 2 3" xfId="15029" xr:uid="{7A511DF8-130D-4334-8D22-0C31073D0CAB}"/>
    <cellStyle name="20% - Accent2 2 8 3" xfId="19259" xr:uid="{5E048B56-43F8-4E64-9B04-E8E280A444E3}"/>
    <cellStyle name="20% - Accent2 2 8 4" xfId="10811" xr:uid="{BEC8D255-DF95-448B-AD1A-992F9033A509}"/>
    <cellStyle name="20% - Accent2 2 9" xfId="4513" xr:uid="{00000000-0005-0000-0000-0000F1000000}"/>
    <cellStyle name="20% - Accent2 2 9 2" xfId="21411" xr:uid="{0476E686-2D50-41FF-A2B5-48CA48381FE1}"/>
    <cellStyle name="20% - Accent2 2 9 3" xfId="12963" xr:uid="{4D173B66-CE44-4EFB-95F5-E8992884B9FF}"/>
    <cellStyle name="20% - Accent2 3" xfId="14" xr:uid="{00000000-0005-0000-0000-0000F2000000}"/>
    <cellStyle name="20% - Accent2 3 10" xfId="8749" xr:uid="{3B61B315-D12D-4E71-B0AF-1A33A5DA51EB}"/>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23975" xr:uid="{AE68B3D1-88D6-43BB-9C41-F5699973A983}"/>
    <cellStyle name="20% - Accent2 3 2 2 2 2 3" xfId="15527" xr:uid="{73BE4FF1-DB37-46E2-AE06-4E026223FEDF}"/>
    <cellStyle name="20% - Accent2 3 2 2 2 3" xfId="19757" xr:uid="{D28E8DC8-5263-4572-939B-2D459A06D9F1}"/>
    <cellStyle name="20% - Accent2 3 2 2 2 4" xfId="11309" xr:uid="{81B613CC-D19D-41D0-80C0-011822513602}"/>
    <cellStyle name="20% - Accent2 3 2 2 3" xfId="4932" xr:uid="{00000000-0005-0000-0000-0000F7000000}"/>
    <cellStyle name="20% - Accent2 3 2 2 3 2" xfId="21830" xr:uid="{BE06E47B-9814-4AA1-954A-E2D8EA9D9A7A}"/>
    <cellStyle name="20% - Accent2 3 2 2 3 3" xfId="13382" xr:uid="{488F1349-DB91-4B9A-8A2C-C70E141B89CD}"/>
    <cellStyle name="20% - Accent2 3 2 2 4" xfId="17612" xr:uid="{6CFC4F7A-E3A1-403E-9DA3-B7B94AF28FAC}"/>
    <cellStyle name="20% - Accent2 3 2 2 5" xfId="9164" xr:uid="{043A4E74-3481-4605-B54E-D3873AACDE7F}"/>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24388" xr:uid="{9B0AF004-B316-469D-9B62-A2F05457D6A6}"/>
    <cellStyle name="20% - Accent2 3 2 3 2 2 3" xfId="15940" xr:uid="{6556C238-9F50-4DBC-9577-CDBFAED59CFD}"/>
    <cellStyle name="20% - Accent2 3 2 3 2 3" xfId="20170" xr:uid="{93E1778E-3463-4CF1-85B6-7B05DBBA21D3}"/>
    <cellStyle name="20% - Accent2 3 2 3 2 4" xfId="11722" xr:uid="{FAB8D028-C175-4430-B84F-FB1CA26F4307}"/>
    <cellStyle name="20% - Accent2 3 2 3 3" xfId="5345" xr:uid="{00000000-0005-0000-0000-0000FB000000}"/>
    <cellStyle name="20% - Accent2 3 2 3 3 2" xfId="22243" xr:uid="{FEEE61C1-2E64-4CED-B369-13EC0828C48D}"/>
    <cellStyle name="20% - Accent2 3 2 3 3 3" xfId="13795" xr:uid="{700F8B05-F75D-44A5-8704-2A517D8011F2}"/>
    <cellStyle name="20% - Accent2 3 2 3 4" xfId="18025" xr:uid="{6FDA7B36-FF78-4119-9512-ECC4CB85EDAF}"/>
    <cellStyle name="20% - Accent2 3 2 3 5" xfId="9577" xr:uid="{DEECC5AA-AB32-48E3-BF32-11DFAD61B412}"/>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24801" xr:uid="{FE492CAD-79AB-45A3-B6A7-702B96C9FDA0}"/>
    <cellStyle name="20% - Accent2 3 2 4 2 2 3" xfId="16353" xr:uid="{A5211DCE-6976-434C-85A7-CF7CFFDF663D}"/>
    <cellStyle name="20% - Accent2 3 2 4 2 3" xfId="20583" xr:uid="{C93A2F08-738B-452A-A446-22C30736A902}"/>
    <cellStyle name="20% - Accent2 3 2 4 2 4" xfId="12135" xr:uid="{593D00B0-BD9A-42A3-8453-5A3F751A90A2}"/>
    <cellStyle name="20% - Accent2 3 2 4 3" xfId="5758" xr:uid="{00000000-0005-0000-0000-0000FF000000}"/>
    <cellStyle name="20% - Accent2 3 2 4 3 2" xfId="22656" xr:uid="{396F810D-73E8-458E-A48B-BB2B6FF578A9}"/>
    <cellStyle name="20% - Accent2 3 2 4 3 3" xfId="14208" xr:uid="{79986C37-0387-4A5A-9B89-D364236ABD7D}"/>
    <cellStyle name="20% - Accent2 3 2 4 4" xfId="18438" xr:uid="{77B951CA-69E6-4CBB-9DCB-C12064969A7F}"/>
    <cellStyle name="20% - Accent2 3 2 4 5" xfId="9990" xr:uid="{6DCB6AD7-BE6A-4B0E-890C-E0FA840A5E1F}"/>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25214" xr:uid="{1AFA5E79-2AF8-4764-94BB-0C85B0C03924}"/>
    <cellStyle name="20% - Accent2 3 2 5 2 2 3" xfId="16766" xr:uid="{E818C66C-B0B8-4F88-981A-7192C3540455}"/>
    <cellStyle name="20% - Accent2 3 2 5 2 3" xfId="20996" xr:uid="{DF74F075-8AC6-4978-B924-0A28E0FA1230}"/>
    <cellStyle name="20% - Accent2 3 2 5 2 4" xfId="12548" xr:uid="{A030EE50-8B6D-4F02-804C-51627D300FC7}"/>
    <cellStyle name="20% - Accent2 3 2 5 3" xfId="6171" xr:uid="{00000000-0005-0000-0000-000003010000}"/>
    <cellStyle name="20% - Accent2 3 2 5 3 2" xfId="23069" xr:uid="{2CD206CD-74A5-44AE-BD98-8240ACA46840}"/>
    <cellStyle name="20% - Accent2 3 2 5 3 3" xfId="14621" xr:uid="{35BD07D7-3318-422F-A0CE-978298489D26}"/>
    <cellStyle name="20% - Accent2 3 2 5 4" xfId="18851" xr:uid="{9E13B37A-F1FB-42EF-BF13-496E77B6D6E2}"/>
    <cellStyle name="20% - Accent2 3 2 5 5" xfId="10403" xr:uid="{B437233B-D1C7-44FE-ADAA-E4559866A40B}"/>
    <cellStyle name="20% - Accent2 3 2 6" xfId="2278" xr:uid="{00000000-0005-0000-0000-000004010000}"/>
    <cellStyle name="20% - Accent2 3 2 6 2" xfId="6584" xr:uid="{00000000-0005-0000-0000-000005010000}"/>
    <cellStyle name="20% - Accent2 3 2 6 2 2" xfId="23482" xr:uid="{F18D7E97-A541-4A66-ACC7-17E6F3660D39}"/>
    <cellStyle name="20% - Accent2 3 2 6 2 3" xfId="15034" xr:uid="{4F00E893-90BA-4A5D-A994-CE8B5FD46D28}"/>
    <cellStyle name="20% - Accent2 3 2 6 3" xfId="19264" xr:uid="{889A62F3-EA0B-4C03-82F6-64A756612860}"/>
    <cellStyle name="20% - Accent2 3 2 6 4" xfId="10816" xr:uid="{3C8B24E7-15BA-4C24-90B0-05A4916B78EC}"/>
    <cellStyle name="20% - Accent2 3 2 7" xfId="4518" xr:uid="{00000000-0005-0000-0000-000006010000}"/>
    <cellStyle name="20% - Accent2 3 2 7 2" xfId="21416" xr:uid="{A47F1253-EA44-440C-BCD0-01C3B809BC0E}"/>
    <cellStyle name="20% - Accent2 3 2 7 3" xfId="12968" xr:uid="{E002F047-2E34-4C9C-BC7D-67C202D96538}"/>
    <cellStyle name="20% - Accent2 3 2 8" xfId="17198" xr:uid="{FF546994-81ED-4AF6-9B35-64D29A8BFF80}"/>
    <cellStyle name="20% - Accent2 3 2 9" xfId="8750" xr:uid="{96634099-C02E-43F3-8B6A-49B85A9B110E}"/>
    <cellStyle name="20% - Accent2 3 3" xfId="583" xr:uid="{00000000-0005-0000-0000-000007010000}"/>
    <cellStyle name="20% - Accent2 3 3 2" xfId="2854" xr:uid="{00000000-0005-0000-0000-000008010000}"/>
    <cellStyle name="20% - Accent2 3 3 2 2" xfId="7076" xr:uid="{00000000-0005-0000-0000-000009010000}"/>
    <cellStyle name="20% - Accent2 3 3 2 2 2" xfId="23974" xr:uid="{CD46FF95-B99B-4A13-A70B-15777EACBC9A}"/>
    <cellStyle name="20% - Accent2 3 3 2 2 3" xfId="15526" xr:uid="{2472EB9B-AFE8-45AA-A93C-CC4C5D4A30D3}"/>
    <cellStyle name="20% - Accent2 3 3 2 3" xfId="19756" xr:uid="{3492E581-74C5-47B2-8C74-CE57398624CE}"/>
    <cellStyle name="20% - Accent2 3 3 2 4" xfId="11308" xr:uid="{5ACA78C3-B1C6-4C38-81BF-22DF902ED366}"/>
    <cellStyle name="20% - Accent2 3 3 3" xfId="4931" xr:uid="{00000000-0005-0000-0000-00000A010000}"/>
    <cellStyle name="20% - Accent2 3 3 3 2" xfId="21829" xr:uid="{FA3D188D-48A4-4E51-BC44-26DAC4B949F1}"/>
    <cellStyle name="20% - Accent2 3 3 3 3" xfId="13381" xr:uid="{02071ED7-82AB-40DE-912A-DEB4A12A2C88}"/>
    <cellStyle name="20% - Accent2 3 3 4" xfId="17611" xr:uid="{48649929-10CA-43EC-9F80-7040B07484CE}"/>
    <cellStyle name="20% - Accent2 3 3 5" xfId="9163" xr:uid="{1F2825BA-DCE5-44E9-99C0-9134CBC784AC}"/>
    <cellStyle name="20% - Accent2 3 4" xfId="1036" xr:uid="{00000000-0005-0000-0000-00000B010000}"/>
    <cellStyle name="20% - Accent2 3 4 2" xfId="3267" xr:uid="{00000000-0005-0000-0000-00000C010000}"/>
    <cellStyle name="20% - Accent2 3 4 2 2" xfId="7489" xr:uid="{00000000-0005-0000-0000-00000D010000}"/>
    <cellStyle name="20% - Accent2 3 4 2 2 2" xfId="24387" xr:uid="{FE5E5A0C-0246-4D18-999E-A9CEF919F0E5}"/>
    <cellStyle name="20% - Accent2 3 4 2 2 3" xfId="15939" xr:uid="{8BAE624A-701F-4466-993F-230B73AF950A}"/>
    <cellStyle name="20% - Accent2 3 4 2 3" xfId="20169" xr:uid="{76C64158-3ABB-4336-AC98-970D027B5C5B}"/>
    <cellStyle name="20% - Accent2 3 4 2 4" xfId="11721" xr:uid="{A4C6F1C8-6A7E-4E94-818A-255608485413}"/>
    <cellStyle name="20% - Accent2 3 4 3" xfId="5344" xr:uid="{00000000-0005-0000-0000-00000E010000}"/>
    <cellStyle name="20% - Accent2 3 4 3 2" xfId="22242" xr:uid="{774F6A05-8B12-472B-991D-659E5D9024AC}"/>
    <cellStyle name="20% - Accent2 3 4 3 3" xfId="13794" xr:uid="{92B2BA8E-3FBA-43DA-B8D3-207B4C048B68}"/>
    <cellStyle name="20% - Accent2 3 4 4" xfId="18024" xr:uid="{F38A0D7A-6421-4AC6-B7A9-1CA51194E885}"/>
    <cellStyle name="20% - Accent2 3 4 5" xfId="9576" xr:uid="{273A50D2-89E8-48CD-9337-11EC172CB101}"/>
    <cellStyle name="20% - Accent2 3 5" xfId="1450" xr:uid="{00000000-0005-0000-0000-00000F010000}"/>
    <cellStyle name="20% - Accent2 3 5 2" xfId="3680" xr:uid="{00000000-0005-0000-0000-000010010000}"/>
    <cellStyle name="20% - Accent2 3 5 2 2" xfId="7902" xr:uid="{00000000-0005-0000-0000-000011010000}"/>
    <cellStyle name="20% - Accent2 3 5 2 2 2" xfId="24800" xr:uid="{5054AF8F-1A89-43D2-9602-6D6A740AAF18}"/>
    <cellStyle name="20% - Accent2 3 5 2 2 3" xfId="16352" xr:uid="{3F6ABA40-5C14-406D-B49B-036DC2F617B5}"/>
    <cellStyle name="20% - Accent2 3 5 2 3" xfId="20582" xr:uid="{B44AD5E0-13A1-4329-BFE1-642A0771C950}"/>
    <cellStyle name="20% - Accent2 3 5 2 4" xfId="12134" xr:uid="{3B0ED129-DD35-4CAA-976F-9D2C2EE628D3}"/>
    <cellStyle name="20% - Accent2 3 5 3" xfId="5757" xr:uid="{00000000-0005-0000-0000-000012010000}"/>
    <cellStyle name="20% - Accent2 3 5 3 2" xfId="22655" xr:uid="{CE08FB58-39B9-49C6-B212-3FCDA7A450A2}"/>
    <cellStyle name="20% - Accent2 3 5 3 3" xfId="14207" xr:uid="{3A3844DB-F85A-4E29-9824-1E7FD02197AE}"/>
    <cellStyle name="20% - Accent2 3 5 4" xfId="18437" xr:uid="{9BC762D5-D013-4291-8115-A62C9D0EB182}"/>
    <cellStyle name="20% - Accent2 3 5 5" xfId="9989" xr:uid="{798945F9-D219-4C49-B7DB-FE5514968AFE}"/>
    <cellStyle name="20% - Accent2 3 6" xfId="1864" xr:uid="{00000000-0005-0000-0000-000013010000}"/>
    <cellStyle name="20% - Accent2 3 6 2" xfId="4093" xr:uid="{00000000-0005-0000-0000-000014010000}"/>
    <cellStyle name="20% - Accent2 3 6 2 2" xfId="8315" xr:uid="{00000000-0005-0000-0000-000015010000}"/>
    <cellStyle name="20% - Accent2 3 6 2 2 2" xfId="25213" xr:uid="{00AAE60F-8ADB-47AD-84BD-BAB7C2AEF799}"/>
    <cellStyle name="20% - Accent2 3 6 2 2 3" xfId="16765" xr:uid="{6E00EF9B-A721-4705-8E38-BC4D7CF39102}"/>
    <cellStyle name="20% - Accent2 3 6 2 3" xfId="20995" xr:uid="{A6C03E58-F065-45A0-AA5B-2A6646357D83}"/>
    <cellStyle name="20% - Accent2 3 6 2 4" xfId="12547" xr:uid="{BDA3A79E-F4BC-4A27-942E-D4FF8359D07F}"/>
    <cellStyle name="20% - Accent2 3 6 3" xfId="6170" xr:uid="{00000000-0005-0000-0000-000016010000}"/>
    <cellStyle name="20% - Accent2 3 6 3 2" xfId="23068" xr:uid="{D5D4A1D7-3FF5-44C4-8503-059AD5076182}"/>
    <cellStyle name="20% - Accent2 3 6 3 3" xfId="14620" xr:uid="{BAEEC1FA-6205-427C-8D73-6EE89495B2BE}"/>
    <cellStyle name="20% - Accent2 3 6 4" xfId="18850" xr:uid="{1FCB5F3C-88C4-4884-8DD6-74717F09D10F}"/>
    <cellStyle name="20% - Accent2 3 6 5" xfId="10402" xr:uid="{E1ED6BA0-3A69-4D34-898A-816A2CF4F370}"/>
    <cellStyle name="20% - Accent2 3 7" xfId="2277" xr:uid="{00000000-0005-0000-0000-000017010000}"/>
    <cellStyle name="20% - Accent2 3 7 2" xfId="6583" xr:uid="{00000000-0005-0000-0000-000018010000}"/>
    <cellStyle name="20% - Accent2 3 7 2 2" xfId="23481" xr:uid="{BC2A2EAD-C6E2-4849-A488-318A714D1B4B}"/>
    <cellStyle name="20% - Accent2 3 7 2 3" xfId="15033" xr:uid="{8EB02E1A-EA25-4D73-947A-2C725530A8B6}"/>
    <cellStyle name="20% - Accent2 3 7 3" xfId="19263" xr:uid="{396B1FEE-4E06-458F-A39F-1B324AFC8FDE}"/>
    <cellStyle name="20% - Accent2 3 7 4" xfId="10815" xr:uid="{895F3DFA-9ECD-44A0-AFD9-33BF7DC1207E}"/>
    <cellStyle name="20% - Accent2 3 8" xfId="4517" xr:uid="{00000000-0005-0000-0000-000019010000}"/>
    <cellStyle name="20% - Accent2 3 8 2" xfId="21415" xr:uid="{C3E91B54-C18A-45D9-B8BF-4C636FB1F161}"/>
    <cellStyle name="20% - Accent2 3 8 3" xfId="12967" xr:uid="{402AECDB-8F3E-4D5A-A138-B85FFE8BF48D}"/>
    <cellStyle name="20% - Accent2 3 9" xfId="17197" xr:uid="{B7AB4738-911D-4002-BC39-B3047AD3E28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2 2 2" xfId="23976" xr:uid="{011A36DD-67AC-4D9D-8391-7E5D310E75B0}"/>
    <cellStyle name="20% - Accent2 4 2 2 2 3" xfId="15528" xr:uid="{E291A96F-6983-44C3-AC5D-28679207A2D7}"/>
    <cellStyle name="20% - Accent2 4 2 2 3" xfId="19758" xr:uid="{4D671158-8E52-49E3-8B5C-53E6D572079B}"/>
    <cellStyle name="20% - Accent2 4 2 2 4" xfId="11310" xr:uid="{529B243B-07C8-497A-8385-26150C0BE680}"/>
    <cellStyle name="20% - Accent2 4 2 3" xfId="4933" xr:uid="{00000000-0005-0000-0000-00001E010000}"/>
    <cellStyle name="20% - Accent2 4 2 3 2" xfId="21831" xr:uid="{EB3D3FB9-10F5-4B52-88B3-311F3006A8C5}"/>
    <cellStyle name="20% - Accent2 4 2 3 3" xfId="13383" xr:uid="{73DA8AE8-96D1-4256-B914-A64622DE9CB8}"/>
    <cellStyle name="20% - Accent2 4 2 4" xfId="17613" xr:uid="{9DF08C85-EED3-45A4-952F-522D872F248F}"/>
    <cellStyle name="20% - Accent2 4 2 5" xfId="9165" xr:uid="{62E1F51F-8824-4031-8D16-622D6EC302A6}"/>
    <cellStyle name="20% - Accent2 4 3" xfId="1038" xr:uid="{00000000-0005-0000-0000-00001F010000}"/>
    <cellStyle name="20% - Accent2 4 3 2" xfId="3269" xr:uid="{00000000-0005-0000-0000-000020010000}"/>
    <cellStyle name="20% - Accent2 4 3 2 2" xfId="7491" xr:uid="{00000000-0005-0000-0000-000021010000}"/>
    <cellStyle name="20% - Accent2 4 3 2 2 2" xfId="24389" xr:uid="{7B32EEDA-CF14-4601-99E8-1740BB38E0CE}"/>
    <cellStyle name="20% - Accent2 4 3 2 2 3" xfId="15941" xr:uid="{A8053634-27AC-4266-B089-1EA9437C1E83}"/>
    <cellStyle name="20% - Accent2 4 3 2 3" xfId="20171" xr:uid="{7940DFC0-E019-477B-84FE-54D787228085}"/>
    <cellStyle name="20% - Accent2 4 3 2 4" xfId="11723" xr:uid="{9AB27AA2-4A6B-41A2-8746-30BF70F8B633}"/>
    <cellStyle name="20% - Accent2 4 3 3" xfId="5346" xr:uid="{00000000-0005-0000-0000-000022010000}"/>
    <cellStyle name="20% - Accent2 4 3 3 2" xfId="22244" xr:uid="{EB1527CC-FC33-447D-8965-6CBE1E570B39}"/>
    <cellStyle name="20% - Accent2 4 3 3 3" xfId="13796" xr:uid="{AF02B454-B36A-46D2-A8E1-090AF2440021}"/>
    <cellStyle name="20% - Accent2 4 3 4" xfId="18026" xr:uid="{F7163A8F-4321-4B22-B8AA-2CDA96BF7915}"/>
    <cellStyle name="20% - Accent2 4 3 5" xfId="9578" xr:uid="{77949080-8934-4AB7-9404-7B2BC578BD02}"/>
    <cellStyle name="20% - Accent2 4 4" xfId="1452" xr:uid="{00000000-0005-0000-0000-000023010000}"/>
    <cellStyle name="20% - Accent2 4 4 2" xfId="3682" xr:uid="{00000000-0005-0000-0000-000024010000}"/>
    <cellStyle name="20% - Accent2 4 4 2 2" xfId="7904" xr:uid="{00000000-0005-0000-0000-000025010000}"/>
    <cellStyle name="20% - Accent2 4 4 2 2 2" xfId="24802" xr:uid="{DC3090B1-4D55-41F0-8105-B94035C10F5E}"/>
    <cellStyle name="20% - Accent2 4 4 2 2 3" xfId="16354" xr:uid="{30F52969-9759-456F-B583-4F8794F69C2B}"/>
    <cellStyle name="20% - Accent2 4 4 2 3" xfId="20584" xr:uid="{E3364FF2-B945-4DF4-B1D6-ED3A13A2FD2C}"/>
    <cellStyle name="20% - Accent2 4 4 2 4" xfId="12136" xr:uid="{5A127DBC-4ABE-499C-BD59-0778432041B8}"/>
    <cellStyle name="20% - Accent2 4 4 3" xfId="5759" xr:uid="{00000000-0005-0000-0000-000026010000}"/>
    <cellStyle name="20% - Accent2 4 4 3 2" xfId="22657" xr:uid="{6D6F0095-E3BF-4E29-A867-25597C157BCF}"/>
    <cellStyle name="20% - Accent2 4 4 3 3" xfId="14209" xr:uid="{0A647255-8A33-4597-B322-2C097C51F096}"/>
    <cellStyle name="20% - Accent2 4 4 4" xfId="18439" xr:uid="{6C91618A-3DE7-451E-8003-130647D21D49}"/>
    <cellStyle name="20% - Accent2 4 4 5" xfId="9991" xr:uid="{2AE3E423-C8C8-461B-A65A-7CA504631304}"/>
    <cellStyle name="20% - Accent2 4 5" xfId="1866" xr:uid="{00000000-0005-0000-0000-000027010000}"/>
    <cellStyle name="20% - Accent2 4 5 2" xfId="4095" xr:uid="{00000000-0005-0000-0000-000028010000}"/>
    <cellStyle name="20% - Accent2 4 5 2 2" xfId="8317" xr:uid="{00000000-0005-0000-0000-000029010000}"/>
    <cellStyle name="20% - Accent2 4 5 2 2 2" xfId="25215" xr:uid="{3875587F-2A9A-4387-B2F9-33F08D3E56DC}"/>
    <cellStyle name="20% - Accent2 4 5 2 2 3" xfId="16767" xr:uid="{7EEEEFDB-1C72-4C3D-8CAA-F8A85D29DFAE}"/>
    <cellStyle name="20% - Accent2 4 5 2 3" xfId="20997" xr:uid="{340EFBCA-60B5-4F21-BAB9-42805EB11DB0}"/>
    <cellStyle name="20% - Accent2 4 5 2 4" xfId="12549" xr:uid="{38CF9189-41B4-4C1E-9426-C999F2BBAA81}"/>
    <cellStyle name="20% - Accent2 4 5 3" xfId="6172" xr:uid="{00000000-0005-0000-0000-00002A010000}"/>
    <cellStyle name="20% - Accent2 4 5 3 2" xfId="23070" xr:uid="{6D2BC0FE-D9C9-4F04-A966-22AF78348E4D}"/>
    <cellStyle name="20% - Accent2 4 5 3 3" xfId="14622" xr:uid="{2FBE51ED-E81B-4377-9740-93526BB9B5B0}"/>
    <cellStyle name="20% - Accent2 4 5 4" xfId="18852" xr:uid="{45C44281-DC21-44D1-87FD-79662F06DF30}"/>
    <cellStyle name="20% - Accent2 4 5 5" xfId="10404" xr:uid="{1F70FDDA-635A-45DF-A460-E24C92B306A4}"/>
    <cellStyle name="20% - Accent2 4 6" xfId="2279" xr:uid="{00000000-0005-0000-0000-00002B010000}"/>
    <cellStyle name="20% - Accent2 4 6 2" xfId="6585" xr:uid="{00000000-0005-0000-0000-00002C010000}"/>
    <cellStyle name="20% - Accent2 4 6 2 2" xfId="23483" xr:uid="{F5B4876F-7785-486C-BCAD-BF993D9B772D}"/>
    <cellStyle name="20% - Accent2 4 6 2 3" xfId="15035" xr:uid="{B0770B53-0984-4A82-B295-ABDABFF74BC3}"/>
    <cellStyle name="20% - Accent2 4 6 3" xfId="19265" xr:uid="{62D3C53F-5789-493E-9FD8-B20D46A16CEE}"/>
    <cellStyle name="20% - Accent2 4 6 4" xfId="10817" xr:uid="{6A7B9998-3EDE-49C6-8757-36F6395EBAA0}"/>
    <cellStyle name="20% - Accent2 4 7" xfId="4519" xr:uid="{00000000-0005-0000-0000-00002D010000}"/>
    <cellStyle name="20% - Accent2 4 7 2" xfId="21417" xr:uid="{7F1ED331-817E-41EA-9089-0E8C99E52B02}"/>
    <cellStyle name="20% - Accent2 4 7 3" xfId="12969" xr:uid="{8A362797-66BE-4F89-B6D6-68DDE50DBF80}"/>
    <cellStyle name="20% - Accent2 4 8" xfId="17199" xr:uid="{9DC304FB-D0F3-47C0-B5BA-FA03907825D4}"/>
    <cellStyle name="20% - Accent2 4 9" xfId="8751" xr:uid="{45C7936F-C753-4F20-B55D-4221F737D735}"/>
    <cellStyle name="20% - Accent2 5" xfId="578" xr:uid="{00000000-0005-0000-0000-00002E010000}"/>
    <cellStyle name="20% - Accent2 5 2" xfId="2849" xr:uid="{00000000-0005-0000-0000-00002F010000}"/>
    <cellStyle name="20% - Accent2 5 2 2" xfId="7071" xr:uid="{00000000-0005-0000-0000-000030010000}"/>
    <cellStyle name="20% - Accent2 5 2 2 2" xfId="23969" xr:uid="{F93272CB-D2B7-4444-AED1-596F27279C86}"/>
    <cellStyle name="20% - Accent2 5 2 2 3" xfId="15521" xr:uid="{6C44A36F-9AC4-4719-93F9-A51A9A00D542}"/>
    <cellStyle name="20% - Accent2 5 2 3" xfId="19751" xr:uid="{5E61545C-D09F-4428-8151-704A36282515}"/>
    <cellStyle name="20% - Accent2 5 2 4" xfId="11303" xr:uid="{64CF8A89-F976-43CC-BE1B-3D5960615BC2}"/>
    <cellStyle name="20% - Accent2 5 3" xfId="4926" xr:uid="{00000000-0005-0000-0000-000031010000}"/>
    <cellStyle name="20% - Accent2 5 3 2" xfId="21824" xr:uid="{FFF674B6-87E1-4F33-A952-7DB2776E3FFC}"/>
    <cellStyle name="20% - Accent2 5 3 3" xfId="13376" xr:uid="{BA9D6F77-A05F-4189-9D1F-65A9CC237E93}"/>
    <cellStyle name="20% - Accent2 5 4" xfId="17606" xr:uid="{E2FF70DA-AD95-419A-82DA-41BB7506D2A9}"/>
    <cellStyle name="20% - Accent2 5 5" xfId="9158" xr:uid="{93327728-EC92-4C38-8E73-B42570784517}"/>
    <cellStyle name="20% - Accent2 6" xfId="1031" xr:uid="{00000000-0005-0000-0000-000032010000}"/>
    <cellStyle name="20% - Accent2 6 2" xfId="3262" xr:uid="{00000000-0005-0000-0000-000033010000}"/>
    <cellStyle name="20% - Accent2 6 2 2" xfId="7484" xr:uid="{00000000-0005-0000-0000-000034010000}"/>
    <cellStyle name="20% - Accent2 6 2 2 2" xfId="24382" xr:uid="{0D5CABEF-80F7-438C-8AE5-5EFCE2BA88B0}"/>
    <cellStyle name="20% - Accent2 6 2 2 3" xfId="15934" xr:uid="{85CBA1D6-38A5-4EB8-BBEE-2552047028E1}"/>
    <cellStyle name="20% - Accent2 6 2 3" xfId="20164" xr:uid="{A6E917EB-1AE5-4984-8AEB-501292BBFCE0}"/>
    <cellStyle name="20% - Accent2 6 2 4" xfId="11716" xr:uid="{79D920B4-5BD8-4E4F-B89F-EF2CA3FA7315}"/>
    <cellStyle name="20% - Accent2 6 3" xfId="5339" xr:uid="{00000000-0005-0000-0000-000035010000}"/>
    <cellStyle name="20% - Accent2 6 3 2" xfId="22237" xr:uid="{7D0A5BFE-5C22-4F52-988A-304B4A3D7AC0}"/>
    <cellStyle name="20% - Accent2 6 3 3" xfId="13789" xr:uid="{DE706254-9901-47FD-A659-A4FB45FB8AD7}"/>
    <cellStyle name="20% - Accent2 6 4" xfId="18019" xr:uid="{92743AA2-7822-4A98-9EFE-3EA38411BE4F}"/>
    <cellStyle name="20% - Accent2 6 5" xfId="9571" xr:uid="{6BF697DC-F7BD-4EAC-9614-AF2FA431FDD3}"/>
    <cellStyle name="20% - Accent2 7" xfId="1445" xr:uid="{00000000-0005-0000-0000-000036010000}"/>
    <cellStyle name="20% - Accent2 7 2" xfId="3675" xr:uid="{00000000-0005-0000-0000-000037010000}"/>
    <cellStyle name="20% - Accent2 7 2 2" xfId="7897" xr:uid="{00000000-0005-0000-0000-000038010000}"/>
    <cellStyle name="20% - Accent2 7 2 2 2" xfId="24795" xr:uid="{FACD5927-3E46-4219-824B-B32CF08A3E28}"/>
    <cellStyle name="20% - Accent2 7 2 2 3" xfId="16347" xr:uid="{043DA08F-EB71-468E-9F73-5950256EB6A2}"/>
    <cellStyle name="20% - Accent2 7 2 3" xfId="20577" xr:uid="{27518801-994C-4234-AAE5-A318D69F08FA}"/>
    <cellStyle name="20% - Accent2 7 2 4" xfId="12129" xr:uid="{02732FCA-0131-43BA-9563-BA89CCB32F1A}"/>
    <cellStyle name="20% - Accent2 7 3" xfId="5752" xr:uid="{00000000-0005-0000-0000-000039010000}"/>
    <cellStyle name="20% - Accent2 7 3 2" xfId="22650" xr:uid="{B0744D12-4EA6-476E-926A-A7AE331D5E77}"/>
    <cellStyle name="20% - Accent2 7 3 3" xfId="14202" xr:uid="{875ED0F0-58B0-4952-85C1-221470BC4C82}"/>
    <cellStyle name="20% - Accent2 7 4" xfId="18432" xr:uid="{37E000A0-71D9-4D58-9E07-7BF3BE7DD9E9}"/>
    <cellStyle name="20% - Accent2 7 5" xfId="9984" xr:uid="{BB2FDCD7-42E9-4AD5-B2A0-2D8FCA846348}"/>
    <cellStyle name="20% - Accent2 8" xfId="1859" xr:uid="{00000000-0005-0000-0000-00003A010000}"/>
    <cellStyle name="20% - Accent2 8 2" xfId="4088" xr:uid="{00000000-0005-0000-0000-00003B010000}"/>
    <cellStyle name="20% - Accent2 8 2 2" xfId="8310" xr:uid="{00000000-0005-0000-0000-00003C010000}"/>
    <cellStyle name="20% - Accent2 8 2 2 2" xfId="25208" xr:uid="{A0DEEEE2-B97E-4BF8-A81A-97D851553271}"/>
    <cellStyle name="20% - Accent2 8 2 2 3" xfId="16760" xr:uid="{4DF532B0-90C7-4A68-B5EA-4DFF3D25E756}"/>
    <cellStyle name="20% - Accent2 8 2 3" xfId="20990" xr:uid="{2CBB92BA-DAF1-4F8C-96F0-72BF91B94D18}"/>
    <cellStyle name="20% - Accent2 8 2 4" xfId="12542" xr:uid="{065498EE-B18C-4419-B9C2-508C0E2267BD}"/>
    <cellStyle name="20% - Accent2 8 3" xfId="6165" xr:uid="{00000000-0005-0000-0000-00003D010000}"/>
    <cellStyle name="20% - Accent2 8 3 2" xfId="23063" xr:uid="{41173624-8841-4739-A596-69F76C4DA364}"/>
    <cellStyle name="20% - Accent2 8 3 3" xfId="14615" xr:uid="{AC1DA6DA-76CD-46CF-BBDD-AF80BACF3E8B}"/>
    <cellStyle name="20% - Accent2 8 4" xfId="18845" xr:uid="{6615FCE5-161E-4F11-852F-924AD62DC02B}"/>
    <cellStyle name="20% - Accent2 8 5" xfId="10397" xr:uid="{1955DED6-DA18-435A-8094-E922B5F9C8D2}"/>
    <cellStyle name="20% - Accent2 9" xfId="2272" xr:uid="{00000000-0005-0000-0000-00003E010000}"/>
    <cellStyle name="20% - Accent2 9 2" xfId="6578" xr:uid="{00000000-0005-0000-0000-00003F010000}"/>
    <cellStyle name="20% - Accent2 9 2 2" xfId="23476" xr:uid="{D4CF9907-43F7-4403-9525-7B1937FC03F0}"/>
    <cellStyle name="20% - Accent2 9 2 3" xfId="15028" xr:uid="{87E94C75-2065-44D8-A2FB-B9B676EB9BFC}"/>
    <cellStyle name="20% - Accent2 9 3" xfId="19258" xr:uid="{7F0E5084-9947-4DC6-A642-85BBDCDACB27}"/>
    <cellStyle name="20% - Accent2 9 4" xfId="10810" xr:uid="{85CCF101-880F-44AB-A06F-67C2355E4D4E}"/>
    <cellStyle name="20% - Accent3" xfId="17" builtinId="38" customBuiltin="1"/>
    <cellStyle name="20% - Accent3 10" xfId="4520" xr:uid="{00000000-0005-0000-0000-000041010000}"/>
    <cellStyle name="20% - Accent3 10 2" xfId="21418" xr:uid="{F1DCE675-9BF6-458E-BB77-776A8C3771C9}"/>
    <cellStyle name="20% - Accent3 10 3" xfId="12970" xr:uid="{8CA8DB79-1056-476A-9D8B-598D01768DEC}"/>
    <cellStyle name="20% - Accent3 11" xfId="17200" xr:uid="{B4892E18-3946-412D-A5E1-AC76AD3FC13F}"/>
    <cellStyle name="20% - Accent3 12" xfId="8752" xr:uid="{408519DC-FBE7-4156-B353-2ABC68220A95}"/>
    <cellStyle name="20% - Accent3 2" xfId="18" xr:uid="{00000000-0005-0000-0000-000042010000}"/>
    <cellStyle name="20% - Accent3 2 10" xfId="17201" xr:uid="{83CC66ED-8E16-4F00-8F50-B18AC2850950}"/>
    <cellStyle name="20% - Accent3 2 11" xfId="8753" xr:uid="{E5A0B49C-679D-4A1C-88AD-3B33E0C0E0CC}"/>
    <cellStyle name="20% - Accent3 2 2" xfId="19" xr:uid="{00000000-0005-0000-0000-000043010000}"/>
    <cellStyle name="20% - Accent3 2 2 10" xfId="8754" xr:uid="{A3333AFF-0F0F-43AA-B7F2-9268F803C10D}"/>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23980" xr:uid="{65766A7D-CFFA-46E3-9FB7-9215E99EB0DD}"/>
    <cellStyle name="20% - Accent3 2 2 2 2 2 2 3" xfId="15532" xr:uid="{B43C2B4D-FD98-4A70-BD5D-03DFB449DB48}"/>
    <cellStyle name="20% - Accent3 2 2 2 2 2 3" xfId="19762" xr:uid="{93836E00-080D-4EFA-9603-8270D40B0438}"/>
    <cellStyle name="20% - Accent3 2 2 2 2 2 4" xfId="11314" xr:uid="{506FABA2-CA5C-4CEF-9ECE-E91CF15C7E97}"/>
    <cellStyle name="20% - Accent3 2 2 2 2 3" xfId="4937" xr:uid="{00000000-0005-0000-0000-000048010000}"/>
    <cellStyle name="20% - Accent3 2 2 2 2 3 2" xfId="21835" xr:uid="{A5B14FE7-92EB-480E-90AF-E0E996DF41C9}"/>
    <cellStyle name="20% - Accent3 2 2 2 2 3 3" xfId="13387" xr:uid="{7FBF7C69-EC35-4144-A5E5-A9CC6821B517}"/>
    <cellStyle name="20% - Accent3 2 2 2 2 4" xfId="17617" xr:uid="{BE673866-074E-441B-9AD2-B495508169AD}"/>
    <cellStyle name="20% - Accent3 2 2 2 2 5" xfId="9169" xr:uid="{7272FCCC-ADA2-4AF6-BBBA-E858727D3D8E}"/>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24393" xr:uid="{4F88B163-8FA8-4DD5-9FB2-4B2E73FB67C3}"/>
    <cellStyle name="20% - Accent3 2 2 2 3 2 2 3" xfId="15945" xr:uid="{247EEB2D-2A52-4E06-9CB5-1F7E9FF63B3E}"/>
    <cellStyle name="20% - Accent3 2 2 2 3 2 3" xfId="20175" xr:uid="{61C99F85-C2CE-45FD-8674-9E6038B3886B}"/>
    <cellStyle name="20% - Accent3 2 2 2 3 2 4" xfId="11727" xr:uid="{C48EF885-E7C1-43C1-85A5-A2E80B4EA7AF}"/>
    <cellStyle name="20% - Accent3 2 2 2 3 3" xfId="5350" xr:uid="{00000000-0005-0000-0000-00004C010000}"/>
    <cellStyle name="20% - Accent3 2 2 2 3 3 2" xfId="22248" xr:uid="{777C6071-77B8-45BF-A2BB-300C879BAF4E}"/>
    <cellStyle name="20% - Accent3 2 2 2 3 3 3" xfId="13800" xr:uid="{FA5117B9-6DFA-4C35-BF3B-D98F85B3A7BC}"/>
    <cellStyle name="20% - Accent3 2 2 2 3 4" xfId="18030" xr:uid="{D54BA9AA-B585-43E2-AB06-0F9B9E9BCED1}"/>
    <cellStyle name="20% - Accent3 2 2 2 3 5" xfId="9582" xr:uid="{296BA30A-6574-44D7-99C2-A44ED93E37FE}"/>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24806" xr:uid="{EA08E82C-31E2-49A8-BF27-BF42188C989E}"/>
    <cellStyle name="20% - Accent3 2 2 2 4 2 2 3" xfId="16358" xr:uid="{A8D460BA-2907-4F93-83D8-046C4183DED2}"/>
    <cellStyle name="20% - Accent3 2 2 2 4 2 3" xfId="20588" xr:uid="{8FF975A4-D91F-4BF4-AE48-561006CC14A4}"/>
    <cellStyle name="20% - Accent3 2 2 2 4 2 4" xfId="12140" xr:uid="{AA15115A-99F1-4742-B596-95E1607C2831}"/>
    <cellStyle name="20% - Accent3 2 2 2 4 3" xfId="5763" xr:uid="{00000000-0005-0000-0000-000050010000}"/>
    <cellStyle name="20% - Accent3 2 2 2 4 3 2" xfId="22661" xr:uid="{D28B157C-1A3E-4144-8973-314E2AAC0468}"/>
    <cellStyle name="20% - Accent3 2 2 2 4 3 3" xfId="14213" xr:uid="{06B25AD1-D92D-4668-B581-2F43F3C43397}"/>
    <cellStyle name="20% - Accent3 2 2 2 4 4" xfId="18443" xr:uid="{25027149-06BE-4104-83F2-9B1974EA4EA6}"/>
    <cellStyle name="20% - Accent3 2 2 2 4 5" xfId="9995" xr:uid="{FACDA84B-A96D-4975-909A-2558B375EA46}"/>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25219" xr:uid="{6109A52F-0DB3-4FC5-BE77-264CF8474F24}"/>
    <cellStyle name="20% - Accent3 2 2 2 5 2 2 3" xfId="16771" xr:uid="{69F2A1EC-BADF-4107-81B8-7FAEF5F802E9}"/>
    <cellStyle name="20% - Accent3 2 2 2 5 2 3" xfId="21001" xr:uid="{50DAFFC9-05EA-4DAE-95E6-6344CCF7E461}"/>
    <cellStyle name="20% - Accent3 2 2 2 5 2 4" xfId="12553" xr:uid="{149CE489-EB5F-4B78-9100-242A627DA97B}"/>
    <cellStyle name="20% - Accent3 2 2 2 5 3" xfId="6176" xr:uid="{00000000-0005-0000-0000-000054010000}"/>
    <cellStyle name="20% - Accent3 2 2 2 5 3 2" xfId="23074" xr:uid="{9A455C21-6FA9-40D7-9877-EE45B0823639}"/>
    <cellStyle name="20% - Accent3 2 2 2 5 3 3" xfId="14626" xr:uid="{52733664-36E3-4DD9-A913-50462EF67B08}"/>
    <cellStyle name="20% - Accent3 2 2 2 5 4" xfId="18856" xr:uid="{212069F4-63AB-47B1-B00C-7202EA51A76A}"/>
    <cellStyle name="20% - Accent3 2 2 2 5 5" xfId="10408" xr:uid="{2806B8BB-083D-4AB5-8CDE-A08563ABB16B}"/>
    <cellStyle name="20% - Accent3 2 2 2 6" xfId="2283" xr:uid="{00000000-0005-0000-0000-000055010000}"/>
    <cellStyle name="20% - Accent3 2 2 2 6 2" xfId="6589" xr:uid="{00000000-0005-0000-0000-000056010000}"/>
    <cellStyle name="20% - Accent3 2 2 2 6 2 2" xfId="23487" xr:uid="{FCD7EE9A-136C-4395-82F0-A59964C89DF3}"/>
    <cellStyle name="20% - Accent3 2 2 2 6 2 3" xfId="15039" xr:uid="{0D9539E2-BCFB-4BBB-878E-D62A9416E3C9}"/>
    <cellStyle name="20% - Accent3 2 2 2 6 3" xfId="19269" xr:uid="{99827158-EBCD-432B-8806-EF491EE90FA3}"/>
    <cellStyle name="20% - Accent3 2 2 2 6 4" xfId="10821" xr:uid="{3E0C7BF8-384E-4210-8732-2268FB0632DC}"/>
    <cellStyle name="20% - Accent3 2 2 2 7" xfId="4523" xr:uid="{00000000-0005-0000-0000-000057010000}"/>
    <cellStyle name="20% - Accent3 2 2 2 7 2" xfId="21421" xr:uid="{5CC6C519-D1A2-4F65-A397-29E3B1ADD5E3}"/>
    <cellStyle name="20% - Accent3 2 2 2 7 3" xfId="12973" xr:uid="{586212C3-44E5-4DD3-B162-A49E67981B53}"/>
    <cellStyle name="20% - Accent3 2 2 2 8" xfId="17203" xr:uid="{3971C387-3263-424C-A5AE-D5170D9173A6}"/>
    <cellStyle name="20% - Accent3 2 2 2 9" xfId="8755" xr:uid="{DEB0DB00-9C53-431B-8167-2C00BE9974F5}"/>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23979" xr:uid="{E5702D5B-EA43-45A3-B6AF-90A1A2507BDC}"/>
    <cellStyle name="20% - Accent3 2 2 3 2 2 3" xfId="15531" xr:uid="{12ADA359-1873-4887-B373-3A2296D83507}"/>
    <cellStyle name="20% - Accent3 2 2 3 2 3" xfId="19761" xr:uid="{80ABD1BE-10DF-4289-B50E-7F08FDB10A26}"/>
    <cellStyle name="20% - Accent3 2 2 3 2 4" xfId="11313" xr:uid="{4127AF31-B148-42B9-B20B-719156D61737}"/>
    <cellStyle name="20% - Accent3 2 2 3 3" xfId="4936" xr:uid="{00000000-0005-0000-0000-00005B010000}"/>
    <cellStyle name="20% - Accent3 2 2 3 3 2" xfId="21834" xr:uid="{B5815D0E-89A8-448F-9AF9-CC66838E8986}"/>
    <cellStyle name="20% - Accent3 2 2 3 3 3" xfId="13386" xr:uid="{49B480F5-3D19-443F-9234-EA439A482CC7}"/>
    <cellStyle name="20% - Accent3 2 2 3 4" xfId="17616" xr:uid="{F0FE552D-6835-49A5-B546-F832535FF642}"/>
    <cellStyle name="20% - Accent3 2 2 3 5" xfId="9168" xr:uid="{4E567275-A4C7-4E0A-8BAE-58AE4ECBDCB6}"/>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24392" xr:uid="{73ABE37C-A0FB-4767-B107-1629C7EBB925}"/>
    <cellStyle name="20% - Accent3 2 2 4 2 2 3" xfId="15944" xr:uid="{D0601645-24AF-4CF2-B587-5B6E2F96E586}"/>
    <cellStyle name="20% - Accent3 2 2 4 2 3" xfId="20174" xr:uid="{A82167A3-C0EA-4167-94CD-6A25B6F4FD69}"/>
    <cellStyle name="20% - Accent3 2 2 4 2 4" xfId="11726" xr:uid="{2E8E6E08-BD66-41BC-89FD-67BD412F1545}"/>
    <cellStyle name="20% - Accent3 2 2 4 3" xfId="5349" xr:uid="{00000000-0005-0000-0000-00005F010000}"/>
    <cellStyle name="20% - Accent3 2 2 4 3 2" xfId="22247" xr:uid="{F951688F-BFEF-4F77-9A1A-77E0082A67DD}"/>
    <cellStyle name="20% - Accent3 2 2 4 3 3" xfId="13799" xr:uid="{3318DA59-B3D6-4ADB-BAE8-92B64D199766}"/>
    <cellStyle name="20% - Accent3 2 2 4 4" xfId="18029" xr:uid="{7E6DFB13-2055-4F6B-8910-E107720EE602}"/>
    <cellStyle name="20% - Accent3 2 2 4 5" xfId="9581" xr:uid="{1228A467-CC2A-4844-92C2-3E4D89F7ED9E}"/>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24805" xr:uid="{F5ADBC7A-D626-4184-8B08-3B25128D1C5E}"/>
    <cellStyle name="20% - Accent3 2 2 5 2 2 3" xfId="16357" xr:uid="{ED69375F-8725-4483-B33B-C157335A738C}"/>
    <cellStyle name="20% - Accent3 2 2 5 2 3" xfId="20587" xr:uid="{A14656EA-27D6-4E25-AD28-2A9EF854B602}"/>
    <cellStyle name="20% - Accent3 2 2 5 2 4" xfId="12139" xr:uid="{73D7F6A4-7A69-4C03-B498-439BC8A42697}"/>
    <cellStyle name="20% - Accent3 2 2 5 3" xfId="5762" xr:uid="{00000000-0005-0000-0000-000063010000}"/>
    <cellStyle name="20% - Accent3 2 2 5 3 2" xfId="22660" xr:uid="{89A560AC-0068-45A7-A8FD-52A77FB8D5DF}"/>
    <cellStyle name="20% - Accent3 2 2 5 3 3" xfId="14212" xr:uid="{EAD7BE6A-4942-47AE-97C2-11446A71EE18}"/>
    <cellStyle name="20% - Accent3 2 2 5 4" xfId="18442" xr:uid="{41DC3D97-577E-4F83-96EF-9B8159670FDE}"/>
    <cellStyle name="20% - Accent3 2 2 5 5" xfId="9994" xr:uid="{C1C19132-335F-4EC4-8720-6FD0006A6999}"/>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25218" xr:uid="{477E3811-D33D-4B17-8779-3BD70F4EE771}"/>
    <cellStyle name="20% - Accent3 2 2 6 2 2 3" xfId="16770" xr:uid="{F4F59D01-6676-43A9-8D5C-5B45EFAFFD46}"/>
    <cellStyle name="20% - Accent3 2 2 6 2 3" xfId="21000" xr:uid="{43BCB17A-A2D3-4345-9D78-37938EA2E89B}"/>
    <cellStyle name="20% - Accent3 2 2 6 2 4" xfId="12552" xr:uid="{D374143F-DE28-453E-8AE9-20E0496E414B}"/>
    <cellStyle name="20% - Accent3 2 2 6 3" xfId="6175" xr:uid="{00000000-0005-0000-0000-000067010000}"/>
    <cellStyle name="20% - Accent3 2 2 6 3 2" xfId="23073" xr:uid="{03FDB21D-5D98-46FB-9719-2D35373CC921}"/>
    <cellStyle name="20% - Accent3 2 2 6 3 3" xfId="14625" xr:uid="{352298F9-B7D0-4700-A7F9-819B1F79C2E9}"/>
    <cellStyle name="20% - Accent3 2 2 6 4" xfId="18855" xr:uid="{2AD59E37-B98A-4B3B-A597-F2F55E1D4A80}"/>
    <cellStyle name="20% - Accent3 2 2 6 5" xfId="10407" xr:uid="{7EB7F8DE-FCB9-4A47-87E6-D309F01C29AE}"/>
    <cellStyle name="20% - Accent3 2 2 7" xfId="2282" xr:uid="{00000000-0005-0000-0000-000068010000}"/>
    <cellStyle name="20% - Accent3 2 2 7 2" xfId="6588" xr:uid="{00000000-0005-0000-0000-000069010000}"/>
    <cellStyle name="20% - Accent3 2 2 7 2 2" xfId="23486" xr:uid="{7A235534-0E63-4A10-B14F-28FC77CD814A}"/>
    <cellStyle name="20% - Accent3 2 2 7 2 3" xfId="15038" xr:uid="{495D5C22-EFB8-4937-A10C-8CE81E120F80}"/>
    <cellStyle name="20% - Accent3 2 2 7 3" xfId="19268" xr:uid="{E9EE7058-0CA7-4DA8-A5B9-E479C3DC867F}"/>
    <cellStyle name="20% - Accent3 2 2 7 4" xfId="10820" xr:uid="{997C4A3A-79AE-4CE6-964C-D9898064A24A}"/>
    <cellStyle name="20% - Accent3 2 2 8" xfId="4522" xr:uid="{00000000-0005-0000-0000-00006A010000}"/>
    <cellStyle name="20% - Accent3 2 2 8 2" xfId="21420" xr:uid="{4DB6B05F-04A0-4796-B72B-CA1C7AFF8785}"/>
    <cellStyle name="20% - Accent3 2 2 8 3" xfId="12972" xr:uid="{7EAC5400-1DC8-43F8-B011-FF236D441055}"/>
    <cellStyle name="20% - Accent3 2 2 9" xfId="17202" xr:uid="{68C3D67C-9F4F-4151-A4B9-ABB6B5F5C78B}"/>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23981" xr:uid="{42BDC4DD-0159-4F53-99E0-4F743F9237AD}"/>
    <cellStyle name="20% - Accent3 2 3 2 2 2 3" xfId="15533" xr:uid="{66612AA7-070F-42E3-B788-ECF193454294}"/>
    <cellStyle name="20% - Accent3 2 3 2 2 3" xfId="19763" xr:uid="{72C1BC95-1277-4794-A970-2361DDFD5758}"/>
    <cellStyle name="20% - Accent3 2 3 2 2 4" xfId="11315" xr:uid="{009D1E6A-724F-4369-AB9B-25F235C31113}"/>
    <cellStyle name="20% - Accent3 2 3 2 3" xfId="4938" xr:uid="{00000000-0005-0000-0000-00006F010000}"/>
    <cellStyle name="20% - Accent3 2 3 2 3 2" xfId="21836" xr:uid="{E6222336-4BFE-4B80-997D-69F1B0BDA7E7}"/>
    <cellStyle name="20% - Accent3 2 3 2 3 3" xfId="13388" xr:uid="{1FFE6A95-0B72-4BA7-8F1A-1C82A27AC06A}"/>
    <cellStyle name="20% - Accent3 2 3 2 4" xfId="17618" xr:uid="{C2826E04-A85B-42D6-BC27-BD7382E955A3}"/>
    <cellStyle name="20% - Accent3 2 3 2 5" xfId="9170" xr:uid="{48FAB99D-C37D-475C-8B72-BEEBB56360EE}"/>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24394" xr:uid="{43251095-0180-4E0B-AE27-0886D5B5F557}"/>
    <cellStyle name="20% - Accent3 2 3 3 2 2 3" xfId="15946" xr:uid="{1B287855-8A6E-4AEA-9516-EADF9D86B820}"/>
    <cellStyle name="20% - Accent3 2 3 3 2 3" xfId="20176" xr:uid="{499364D8-7A92-4435-8345-6B4C1499A97A}"/>
    <cellStyle name="20% - Accent3 2 3 3 2 4" xfId="11728" xr:uid="{3A0D3732-647E-46DC-A0BC-0F59AD4A311D}"/>
    <cellStyle name="20% - Accent3 2 3 3 3" xfId="5351" xr:uid="{00000000-0005-0000-0000-000073010000}"/>
    <cellStyle name="20% - Accent3 2 3 3 3 2" xfId="22249" xr:uid="{67902FAE-A712-49B9-9C99-B6DA6B0D5D2D}"/>
    <cellStyle name="20% - Accent3 2 3 3 3 3" xfId="13801" xr:uid="{4072C664-9E31-4547-868D-07D712D55511}"/>
    <cellStyle name="20% - Accent3 2 3 3 4" xfId="18031" xr:uid="{1A10CF4A-245C-4CBB-BE4B-04704E420366}"/>
    <cellStyle name="20% - Accent3 2 3 3 5" xfId="9583" xr:uid="{74684150-9F63-46E8-8F84-F2623E10D0D9}"/>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24807" xr:uid="{615E08C2-F01D-410F-8D6B-FDAD6AAA2218}"/>
    <cellStyle name="20% - Accent3 2 3 4 2 2 3" xfId="16359" xr:uid="{DB9E4B67-08C4-4F73-BCA1-080ED12ACAA6}"/>
    <cellStyle name="20% - Accent3 2 3 4 2 3" xfId="20589" xr:uid="{C8DE786B-50AF-457E-9360-67E848AD76CC}"/>
    <cellStyle name="20% - Accent3 2 3 4 2 4" xfId="12141" xr:uid="{9ED962F6-D13D-4F2D-AEFA-2588CE30242E}"/>
    <cellStyle name="20% - Accent3 2 3 4 3" xfId="5764" xr:uid="{00000000-0005-0000-0000-000077010000}"/>
    <cellStyle name="20% - Accent3 2 3 4 3 2" xfId="22662" xr:uid="{807DAD2E-8F04-42F8-849A-AD6FD594639F}"/>
    <cellStyle name="20% - Accent3 2 3 4 3 3" xfId="14214" xr:uid="{4287CA01-1AA0-41BD-840F-1BF82BB458B9}"/>
    <cellStyle name="20% - Accent3 2 3 4 4" xfId="18444" xr:uid="{F808A712-E2B2-4009-8FBB-5267A8DEAF74}"/>
    <cellStyle name="20% - Accent3 2 3 4 5" xfId="9996" xr:uid="{E9B80A2F-72CA-406F-BE23-9DDED9FEAD71}"/>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25220" xr:uid="{CB153759-4C3D-4F85-902E-9313DB38ECC6}"/>
    <cellStyle name="20% - Accent3 2 3 5 2 2 3" xfId="16772" xr:uid="{C7404BCB-3A84-4D99-B73C-617B1D92356B}"/>
    <cellStyle name="20% - Accent3 2 3 5 2 3" xfId="21002" xr:uid="{624636E8-EADA-450F-8AFE-D37F476BC7ED}"/>
    <cellStyle name="20% - Accent3 2 3 5 2 4" xfId="12554" xr:uid="{E5D9EE39-A419-4AA3-A8AF-9C63D2782E78}"/>
    <cellStyle name="20% - Accent3 2 3 5 3" xfId="6177" xr:uid="{00000000-0005-0000-0000-00007B010000}"/>
    <cellStyle name="20% - Accent3 2 3 5 3 2" xfId="23075" xr:uid="{DB21D7B1-457C-4342-8E4C-1F6FEE70285A}"/>
    <cellStyle name="20% - Accent3 2 3 5 3 3" xfId="14627" xr:uid="{C5333BBA-5BA5-4179-88A6-B99A416668B2}"/>
    <cellStyle name="20% - Accent3 2 3 5 4" xfId="18857" xr:uid="{E324111C-65B2-479C-9A2F-044209EF41F2}"/>
    <cellStyle name="20% - Accent3 2 3 5 5" xfId="10409" xr:uid="{5B73EFEF-0C65-4BD7-B2D1-BEF95452F879}"/>
    <cellStyle name="20% - Accent3 2 3 6" xfId="2284" xr:uid="{00000000-0005-0000-0000-00007C010000}"/>
    <cellStyle name="20% - Accent3 2 3 6 2" xfId="6590" xr:uid="{00000000-0005-0000-0000-00007D010000}"/>
    <cellStyle name="20% - Accent3 2 3 6 2 2" xfId="23488" xr:uid="{EB0DB9B9-BB42-4EA7-BED6-780B850A17CF}"/>
    <cellStyle name="20% - Accent3 2 3 6 2 3" xfId="15040" xr:uid="{1CB1BD0E-E184-4800-BE96-71F9701BD7EF}"/>
    <cellStyle name="20% - Accent3 2 3 6 3" xfId="19270" xr:uid="{512A4B7E-F336-4BFA-BDA1-FCAD7301D49E}"/>
    <cellStyle name="20% - Accent3 2 3 6 4" xfId="10822" xr:uid="{9B0EC99D-119D-47EB-A97F-9FD235744337}"/>
    <cellStyle name="20% - Accent3 2 3 7" xfId="4524" xr:uid="{00000000-0005-0000-0000-00007E010000}"/>
    <cellStyle name="20% - Accent3 2 3 7 2" xfId="21422" xr:uid="{B058A300-A226-47EB-A87F-CE315EF47F05}"/>
    <cellStyle name="20% - Accent3 2 3 7 3" xfId="12974" xr:uid="{549FE836-DFA4-477E-BE77-F806452F0FFC}"/>
    <cellStyle name="20% - Accent3 2 3 8" xfId="17204" xr:uid="{E2A648A8-63B5-48FD-9A6E-C199EA44BB26}"/>
    <cellStyle name="20% - Accent3 2 3 9" xfId="8756" xr:uid="{D257322C-4D66-4BEC-9888-CC2CA79CDD7B}"/>
    <cellStyle name="20% - Accent3 2 4" xfId="587" xr:uid="{00000000-0005-0000-0000-00007F010000}"/>
    <cellStyle name="20% - Accent3 2 4 2" xfId="2858" xr:uid="{00000000-0005-0000-0000-000080010000}"/>
    <cellStyle name="20% - Accent3 2 4 2 2" xfId="7080" xr:uid="{00000000-0005-0000-0000-000081010000}"/>
    <cellStyle name="20% - Accent3 2 4 2 2 2" xfId="23978" xr:uid="{F22FE581-6590-4FCA-98F1-7C71068ABAF2}"/>
    <cellStyle name="20% - Accent3 2 4 2 2 3" xfId="15530" xr:uid="{310AF1DD-12D7-47F9-B62D-A4A426227072}"/>
    <cellStyle name="20% - Accent3 2 4 2 3" xfId="19760" xr:uid="{364C30D6-CA79-43E9-B3EB-3B8ABD192485}"/>
    <cellStyle name="20% - Accent3 2 4 2 4" xfId="11312" xr:uid="{BAD12920-5E9C-4002-8B3B-6C92A1E4338F}"/>
    <cellStyle name="20% - Accent3 2 4 3" xfId="4935" xr:uid="{00000000-0005-0000-0000-000082010000}"/>
    <cellStyle name="20% - Accent3 2 4 3 2" xfId="21833" xr:uid="{121A70EF-069F-45EE-AB31-64509C2E4F75}"/>
    <cellStyle name="20% - Accent3 2 4 3 3" xfId="13385" xr:uid="{CE6CD10B-6959-4326-97E2-EF2620DC3AC5}"/>
    <cellStyle name="20% - Accent3 2 4 4" xfId="17615" xr:uid="{9A038D50-293F-49D2-B39D-466527EE99DA}"/>
    <cellStyle name="20% - Accent3 2 4 5" xfId="9167" xr:uid="{E1D4B014-CA30-443F-806A-4BD01C9F3FAD}"/>
    <cellStyle name="20% - Accent3 2 5" xfId="1040" xr:uid="{00000000-0005-0000-0000-000083010000}"/>
    <cellStyle name="20% - Accent3 2 5 2" xfId="3271" xr:uid="{00000000-0005-0000-0000-000084010000}"/>
    <cellStyle name="20% - Accent3 2 5 2 2" xfId="7493" xr:uid="{00000000-0005-0000-0000-000085010000}"/>
    <cellStyle name="20% - Accent3 2 5 2 2 2" xfId="24391" xr:uid="{D69DE865-2184-4A7D-B0BD-E9A58B6C098C}"/>
    <cellStyle name="20% - Accent3 2 5 2 2 3" xfId="15943" xr:uid="{D48FFF27-A6E9-489B-AF34-1A291B149168}"/>
    <cellStyle name="20% - Accent3 2 5 2 3" xfId="20173" xr:uid="{BBB77C93-D6C7-41D8-BF04-E930635C58CC}"/>
    <cellStyle name="20% - Accent3 2 5 2 4" xfId="11725" xr:uid="{1366F636-2AFC-47AD-8BE8-1A18BAE02D0A}"/>
    <cellStyle name="20% - Accent3 2 5 3" xfId="5348" xr:uid="{00000000-0005-0000-0000-000086010000}"/>
    <cellStyle name="20% - Accent3 2 5 3 2" xfId="22246" xr:uid="{E2D995D1-FC45-4289-B415-47929E2B7BA7}"/>
    <cellStyle name="20% - Accent3 2 5 3 3" xfId="13798" xr:uid="{75E35255-0A99-4E6C-8C61-A359A8CDFE6F}"/>
    <cellStyle name="20% - Accent3 2 5 4" xfId="18028" xr:uid="{C9EFE6FE-C9AB-43C0-8923-984B1BF4EF69}"/>
    <cellStyle name="20% - Accent3 2 5 5" xfId="9580" xr:uid="{138F8BFB-5B08-4FDD-9553-51DDF502D8B1}"/>
    <cellStyle name="20% - Accent3 2 6" xfId="1454" xr:uid="{00000000-0005-0000-0000-000087010000}"/>
    <cellStyle name="20% - Accent3 2 6 2" xfId="3684" xr:uid="{00000000-0005-0000-0000-000088010000}"/>
    <cellStyle name="20% - Accent3 2 6 2 2" xfId="7906" xr:uid="{00000000-0005-0000-0000-000089010000}"/>
    <cellStyle name="20% - Accent3 2 6 2 2 2" xfId="24804" xr:uid="{AED301D0-8607-44DF-BBA4-C53CCDB4D541}"/>
    <cellStyle name="20% - Accent3 2 6 2 2 3" xfId="16356" xr:uid="{2E0F1831-9828-457D-8051-229A28096142}"/>
    <cellStyle name="20% - Accent3 2 6 2 3" xfId="20586" xr:uid="{838B673C-912C-4B42-823C-EAB54952BFF0}"/>
    <cellStyle name="20% - Accent3 2 6 2 4" xfId="12138" xr:uid="{F39FC142-810C-499B-AB2A-CEF227FD1AC6}"/>
    <cellStyle name="20% - Accent3 2 6 3" xfId="5761" xr:uid="{00000000-0005-0000-0000-00008A010000}"/>
    <cellStyle name="20% - Accent3 2 6 3 2" xfId="22659" xr:uid="{AC98ADF6-1D61-4342-9DB7-EEC58F6B9A0C}"/>
    <cellStyle name="20% - Accent3 2 6 3 3" xfId="14211" xr:uid="{DD23F1EA-0A2F-4DE1-8F7B-E4F21EFB9828}"/>
    <cellStyle name="20% - Accent3 2 6 4" xfId="18441" xr:uid="{371EAFC1-5363-4D5F-AE97-22E23E316339}"/>
    <cellStyle name="20% - Accent3 2 6 5" xfId="9993" xr:uid="{8B30874F-FF7A-4B29-B464-F6D9EC9299B3}"/>
    <cellStyle name="20% - Accent3 2 7" xfId="1868" xr:uid="{00000000-0005-0000-0000-00008B010000}"/>
    <cellStyle name="20% - Accent3 2 7 2" xfId="4097" xr:uid="{00000000-0005-0000-0000-00008C010000}"/>
    <cellStyle name="20% - Accent3 2 7 2 2" xfId="8319" xr:uid="{00000000-0005-0000-0000-00008D010000}"/>
    <cellStyle name="20% - Accent3 2 7 2 2 2" xfId="25217" xr:uid="{1ACFF814-9B26-4500-BF87-B9240EB09E2D}"/>
    <cellStyle name="20% - Accent3 2 7 2 2 3" xfId="16769" xr:uid="{A14D9796-3A76-47FF-B47B-00809DAE5CBB}"/>
    <cellStyle name="20% - Accent3 2 7 2 3" xfId="20999" xr:uid="{96782DAD-0878-4003-8EBA-A8C1A5B6A3EC}"/>
    <cellStyle name="20% - Accent3 2 7 2 4" xfId="12551" xr:uid="{7074F12D-67A1-4FCE-9BB9-F22F498E5D6C}"/>
    <cellStyle name="20% - Accent3 2 7 3" xfId="6174" xr:uid="{00000000-0005-0000-0000-00008E010000}"/>
    <cellStyle name="20% - Accent3 2 7 3 2" xfId="23072" xr:uid="{015FDDAA-751E-467C-BED0-3EB285CDF5DD}"/>
    <cellStyle name="20% - Accent3 2 7 3 3" xfId="14624" xr:uid="{6D330682-4650-47EA-86E3-F6CE4F69D806}"/>
    <cellStyle name="20% - Accent3 2 7 4" xfId="18854" xr:uid="{256B78DD-F2BD-4D5D-97FE-9079F8DC0ACE}"/>
    <cellStyle name="20% - Accent3 2 7 5" xfId="10406" xr:uid="{5DCFBD26-FCB5-4BC2-9CE6-B5DC8E77BB16}"/>
    <cellStyle name="20% - Accent3 2 8" xfId="2281" xr:uid="{00000000-0005-0000-0000-00008F010000}"/>
    <cellStyle name="20% - Accent3 2 8 2" xfId="6587" xr:uid="{00000000-0005-0000-0000-000090010000}"/>
    <cellStyle name="20% - Accent3 2 8 2 2" xfId="23485" xr:uid="{BBC915B5-2E73-4E30-A839-D087EAC5102C}"/>
    <cellStyle name="20% - Accent3 2 8 2 3" xfId="15037" xr:uid="{049924A0-1916-46A8-B3DD-EBD09324A160}"/>
    <cellStyle name="20% - Accent3 2 8 3" xfId="19267" xr:uid="{3AE60937-D273-4B6C-A922-43705738A501}"/>
    <cellStyle name="20% - Accent3 2 8 4" xfId="10819" xr:uid="{E76E08B9-BF35-477E-99BC-CDF693E106C3}"/>
    <cellStyle name="20% - Accent3 2 9" xfId="4521" xr:uid="{00000000-0005-0000-0000-000091010000}"/>
    <cellStyle name="20% - Accent3 2 9 2" xfId="21419" xr:uid="{27B261CF-C776-4FF3-8B35-5D95EB9274A4}"/>
    <cellStyle name="20% - Accent3 2 9 3" xfId="12971" xr:uid="{BE0BC68E-A168-482B-A102-692C7C87A8ED}"/>
    <cellStyle name="20% - Accent3 3" xfId="22" xr:uid="{00000000-0005-0000-0000-000092010000}"/>
    <cellStyle name="20% - Accent3 3 10" xfId="8757" xr:uid="{AFA3CD5D-E4E6-40AF-85C1-3A7CD18A225F}"/>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23983" xr:uid="{B77EFDA4-90B7-4616-BF33-EAF10EF848AF}"/>
    <cellStyle name="20% - Accent3 3 2 2 2 2 3" xfId="15535" xr:uid="{494C8B44-7A51-43D2-AEEC-46F3B23A2CAB}"/>
    <cellStyle name="20% - Accent3 3 2 2 2 3" xfId="19765" xr:uid="{285722E4-B0FC-4908-8053-E823F3537C23}"/>
    <cellStyle name="20% - Accent3 3 2 2 2 4" xfId="11317" xr:uid="{AFB8D653-BF6A-465B-9C47-319081FECDE4}"/>
    <cellStyle name="20% - Accent3 3 2 2 3" xfId="4940" xr:uid="{00000000-0005-0000-0000-000097010000}"/>
    <cellStyle name="20% - Accent3 3 2 2 3 2" xfId="21838" xr:uid="{ED2DFA2B-67CC-4661-AE36-5E7288064C62}"/>
    <cellStyle name="20% - Accent3 3 2 2 3 3" xfId="13390" xr:uid="{49379C2F-5FF1-47FD-B0B6-495B16F8FF15}"/>
    <cellStyle name="20% - Accent3 3 2 2 4" xfId="17620" xr:uid="{DD111D85-7009-4F45-B8D2-5F54EC2070C2}"/>
    <cellStyle name="20% - Accent3 3 2 2 5" xfId="9172" xr:uid="{EF852322-41ED-44F4-8FEE-B3C8F85F58B5}"/>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24396" xr:uid="{7BF0E9E2-0AEC-4FB8-98C9-EF5C271EB9EB}"/>
    <cellStyle name="20% - Accent3 3 2 3 2 2 3" xfId="15948" xr:uid="{95D45C1A-FB54-49CA-8B7F-8E7A6DB590ED}"/>
    <cellStyle name="20% - Accent3 3 2 3 2 3" xfId="20178" xr:uid="{740FFD66-3FDA-4A51-8915-15D808E526AA}"/>
    <cellStyle name="20% - Accent3 3 2 3 2 4" xfId="11730" xr:uid="{FAAD075E-D724-41B0-A27F-56CE438B3A83}"/>
    <cellStyle name="20% - Accent3 3 2 3 3" xfId="5353" xr:uid="{00000000-0005-0000-0000-00009B010000}"/>
    <cellStyle name="20% - Accent3 3 2 3 3 2" xfId="22251" xr:uid="{666538B2-33D5-4834-A1E7-BD8641BDE93E}"/>
    <cellStyle name="20% - Accent3 3 2 3 3 3" xfId="13803" xr:uid="{6DA2F8EC-3034-49DB-9C3B-8426BC3C0708}"/>
    <cellStyle name="20% - Accent3 3 2 3 4" xfId="18033" xr:uid="{40AD408C-375C-4999-A7DF-23D4EC097053}"/>
    <cellStyle name="20% - Accent3 3 2 3 5" xfId="9585" xr:uid="{1AA13064-51FA-408F-AEE9-9B6A5CDDFCAA}"/>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24809" xr:uid="{35132779-7A06-4DB6-9E54-10C1F1FCA1D2}"/>
    <cellStyle name="20% - Accent3 3 2 4 2 2 3" xfId="16361" xr:uid="{475E479D-D58E-4961-BFDD-2FA4F85424BA}"/>
    <cellStyle name="20% - Accent3 3 2 4 2 3" xfId="20591" xr:uid="{F189B503-B83C-4EE4-AC50-76E2452654EE}"/>
    <cellStyle name="20% - Accent3 3 2 4 2 4" xfId="12143" xr:uid="{3E3CD577-8669-46AA-8953-1D2D668BB0C3}"/>
    <cellStyle name="20% - Accent3 3 2 4 3" xfId="5766" xr:uid="{00000000-0005-0000-0000-00009F010000}"/>
    <cellStyle name="20% - Accent3 3 2 4 3 2" xfId="22664" xr:uid="{E0369A46-228D-45A9-A0FB-24DAB7BBBA42}"/>
    <cellStyle name="20% - Accent3 3 2 4 3 3" xfId="14216" xr:uid="{8325907F-C743-441F-9919-B94D4839BB60}"/>
    <cellStyle name="20% - Accent3 3 2 4 4" xfId="18446" xr:uid="{1245495A-2C2F-4EBD-81A5-8A38B82CF5EB}"/>
    <cellStyle name="20% - Accent3 3 2 4 5" xfId="9998" xr:uid="{205199C3-64A0-4200-8E18-EB0CD3BD5209}"/>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25222" xr:uid="{465A6AF2-D490-425A-BF91-5EAA5FDF4BF7}"/>
    <cellStyle name="20% - Accent3 3 2 5 2 2 3" xfId="16774" xr:uid="{38A2FD1B-485B-4D25-9F12-21805374E87F}"/>
    <cellStyle name="20% - Accent3 3 2 5 2 3" xfId="21004" xr:uid="{621EA55B-B2BC-4E0E-808D-FC1FF7F00BFF}"/>
    <cellStyle name="20% - Accent3 3 2 5 2 4" xfId="12556" xr:uid="{2C08F5EB-245D-4213-B0F4-0374154E6D31}"/>
    <cellStyle name="20% - Accent3 3 2 5 3" xfId="6179" xr:uid="{00000000-0005-0000-0000-0000A3010000}"/>
    <cellStyle name="20% - Accent3 3 2 5 3 2" xfId="23077" xr:uid="{9F72BC59-38FA-4E66-870A-F22B52099A7E}"/>
    <cellStyle name="20% - Accent3 3 2 5 3 3" xfId="14629" xr:uid="{B5AA4230-E8FC-4DA3-B102-90C6DAC75920}"/>
    <cellStyle name="20% - Accent3 3 2 5 4" xfId="18859" xr:uid="{B1865918-C2D0-4B5D-B7FE-4330872F2288}"/>
    <cellStyle name="20% - Accent3 3 2 5 5" xfId="10411" xr:uid="{A6D21AB6-7E24-46F3-AE4D-21D1F410221F}"/>
    <cellStyle name="20% - Accent3 3 2 6" xfId="2286" xr:uid="{00000000-0005-0000-0000-0000A4010000}"/>
    <cellStyle name="20% - Accent3 3 2 6 2" xfId="6592" xr:uid="{00000000-0005-0000-0000-0000A5010000}"/>
    <cellStyle name="20% - Accent3 3 2 6 2 2" xfId="23490" xr:uid="{8E06E868-E956-4166-9832-C01DAD89D1E8}"/>
    <cellStyle name="20% - Accent3 3 2 6 2 3" xfId="15042" xr:uid="{D2A98EF7-731B-40D4-BB70-A7953F2A0062}"/>
    <cellStyle name="20% - Accent3 3 2 6 3" xfId="19272" xr:uid="{80A4C9CA-ADBD-42E1-851E-7C4853B09966}"/>
    <cellStyle name="20% - Accent3 3 2 6 4" xfId="10824" xr:uid="{2127695C-2F0C-41B6-8CA8-C60556B3EAF1}"/>
    <cellStyle name="20% - Accent3 3 2 7" xfId="4526" xr:uid="{00000000-0005-0000-0000-0000A6010000}"/>
    <cellStyle name="20% - Accent3 3 2 7 2" xfId="21424" xr:uid="{871C9FC2-0254-42F8-BEE7-F6F49F86006A}"/>
    <cellStyle name="20% - Accent3 3 2 7 3" xfId="12976" xr:uid="{2728E990-E261-4BA0-9489-3FBF04F48FB9}"/>
    <cellStyle name="20% - Accent3 3 2 8" xfId="17206" xr:uid="{F00FF986-555A-4517-B803-984E8AE5479B}"/>
    <cellStyle name="20% - Accent3 3 2 9" xfId="8758" xr:uid="{A32C3B60-5070-47B5-8293-48F951FF0BFF}"/>
    <cellStyle name="20% - Accent3 3 3" xfId="591" xr:uid="{00000000-0005-0000-0000-0000A7010000}"/>
    <cellStyle name="20% - Accent3 3 3 2" xfId="2862" xr:uid="{00000000-0005-0000-0000-0000A8010000}"/>
    <cellStyle name="20% - Accent3 3 3 2 2" xfId="7084" xr:uid="{00000000-0005-0000-0000-0000A9010000}"/>
    <cellStyle name="20% - Accent3 3 3 2 2 2" xfId="23982" xr:uid="{F5C644DD-EF09-4F63-B42D-348379E47E33}"/>
    <cellStyle name="20% - Accent3 3 3 2 2 3" xfId="15534" xr:uid="{43C08E6B-5CD0-411B-983B-271BD0730D2F}"/>
    <cellStyle name="20% - Accent3 3 3 2 3" xfId="19764" xr:uid="{3219AF5F-50C4-4FBB-B340-8A243951DB73}"/>
    <cellStyle name="20% - Accent3 3 3 2 4" xfId="11316" xr:uid="{86F500DE-F6B0-4CAC-8F8E-6A4DF385EB1F}"/>
    <cellStyle name="20% - Accent3 3 3 3" xfId="4939" xr:uid="{00000000-0005-0000-0000-0000AA010000}"/>
    <cellStyle name="20% - Accent3 3 3 3 2" xfId="21837" xr:uid="{E1158349-465D-4A1A-81F4-B42BB3FA1119}"/>
    <cellStyle name="20% - Accent3 3 3 3 3" xfId="13389" xr:uid="{A61AFC42-285A-4FCE-AB4C-C921E3533A34}"/>
    <cellStyle name="20% - Accent3 3 3 4" xfId="17619" xr:uid="{355A7268-D984-4732-A541-2497499F1576}"/>
    <cellStyle name="20% - Accent3 3 3 5" xfId="9171" xr:uid="{776A8E5A-A431-4A6F-ABF1-4AEBB6FDA323}"/>
    <cellStyle name="20% - Accent3 3 4" xfId="1044" xr:uid="{00000000-0005-0000-0000-0000AB010000}"/>
    <cellStyle name="20% - Accent3 3 4 2" xfId="3275" xr:uid="{00000000-0005-0000-0000-0000AC010000}"/>
    <cellStyle name="20% - Accent3 3 4 2 2" xfId="7497" xr:uid="{00000000-0005-0000-0000-0000AD010000}"/>
    <cellStyle name="20% - Accent3 3 4 2 2 2" xfId="24395" xr:uid="{4ECB2A3E-DE61-4BA6-96E3-6A2D1B3742D9}"/>
    <cellStyle name="20% - Accent3 3 4 2 2 3" xfId="15947" xr:uid="{CC059A72-8392-4FFD-BD22-36963BDB01AB}"/>
    <cellStyle name="20% - Accent3 3 4 2 3" xfId="20177" xr:uid="{85E6D970-E4F9-403C-BF8C-316CB4A45BBF}"/>
    <cellStyle name="20% - Accent3 3 4 2 4" xfId="11729" xr:uid="{E6E6C8DE-9FE5-46F7-8B86-8DEAB961AAF2}"/>
    <cellStyle name="20% - Accent3 3 4 3" xfId="5352" xr:uid="{00000000-0005-0000-0000-0000AE010000}"/>
    <cellStyle name="20% - Accent3 3 4 3 2" xfId="22250" xr:uid="{47E640FF-B14E-4CE2-BA75-010E5A1C6943}"/>
    <cellStyle name="20% - Accent3 3 4 3 3" xfId="13802" xr:uid="{DEAE4800-7778-47F6-8437-E07959B12641}"/>
    <cellStyle name="20% - Accent3 3 4 4" xfId="18032" xr:uid="{01474A48-2467-4409-BC3E-E59E08869184}"/>
    <cellStyle name="20% - Accent3 3 4 5" xfId="9584" xr:uid="{F8B83C7D-4977-4131-BE50-11E2B0100EA8}"/>
    <cellStyle name="20% - Accent3 3 5" xfId="1458" xr:uid="{00000000-0005-0000-0000-0000AF010000}"/>
    <cellStyle name="20% - Accent3 3 5 2" xfId="3688" xr:uid="{00000000-0005-0000-0000-0000B0010000}"/>
    <cellStyle name="20% - Accent3 3 5 2 2" xfId="7910" xr:uid="{00000000-0005-0000-0000-0000B1010000}"/>
    <cellStyle name="20% - Accent3 3 5 2 2 2" xfId="24808" xr:uid="{D3177196-259C-49A4-813B-CB0088943891}"/>
    <cellStyle name="20% - Accent3 3 5 2 2 3" xfId="16360" xr:uid="{CBE59F97-64F4-4D3F-820B-B0D20557B218}"/>
    <cellStyle name="20% - Accent3 3 5 2 3" xfId="20590" xr:uid="{773D4F9F-7F42-4FD0-9E1D-957A8C17459A}"/>
    <cellStyle name="20% - Accent3 3 5 2 4" xfId="12142" xr:uid="{8A72C1E4-EC2E-42DE-9459-CDD1EA5A5C53}"/>
    <cellStyle name="20% - Accent3 3 5 3" xfId="5765" xr:uid="{00000000-0005-0000-0000-0000B2010000}"/>
    <cellStyle name="20% - Accent3 3 5 3 2" xfId="22663" xr:uid="{9EAE2722-A973-4711-9E8A-B8EF64D28497}"/>
    <cellStyle name="20% - Accent3 3 5 3 3" xfId="14215" xr:uid="{EEA55771-44F8-4377-BDCE-36C298112B47}"/>
    <cellStyle name="20% - Accent3 3 5 4" xfId="18445" xr:uid="{E27ACF83-72FB-49A1-9B97-5AE6C87F470E}"/>
    <cellStyle name="20% - Accent3 3 5 5" xfId="9997" xr:uid="{E4181D7C-B5EB-45C6-B503-C0A6E38C1146}"/>
    <cellStyle name="20% - Accent3 3 6" xfId="1872" xr:uid="{00000000-0005-0000-0000-0000B3010000}"/>
    <cellStyle name="20% - Accent3 3 6 2" xfId="4101" xr:uid="{00000000-0005-0000-0000-0000B4010000}"/>
    <cellStyle name="20% - Accent3 3 6 2 2" xfId="8323" xr:uid="{00000000-0005-0000-0000-0000B5010000}"/>
    <cellStyle name="20% - Accent3 3 6 2 2 2" xfId="25221" xr:uid="{DE1E3441-423E-42D5-AE2D-7147DACC0D6D}"/>
    <cellStyle name="20% - Accent3 3 6 2 2 3" xfId="16773" xr:uid="{61316188-C244-4400-931D-916F8CD1A26E}"/>
    <cellStyle name="20% - Accent3 3 6 2 3" xfId="21003" xr:uid="{19B181B5-578E-4B50-A412-E6BA15B34E97}"/>
    <cellStyle name="20% - Accent3 3 6 2 4" xfId="12555" xr:uid="{E7EB508B-8B52-43C9-9D7F-D191FE24B44E}"/>
    <cellStyle name="20% - Accent3 3 6 3" xfId="6178" xr:uid="{00000000-0005-0000-0000-0000B6010000}"/>
    <cellStyle name="20% - Accent3 3 6 3 2" xfId="23076" xr:uid="{9A8AB523-D08F-43B2-91F1-9F808C71F83C}"/>
    <cellStyle name="20% - Accent3 3 6 3 3" xfId="14628" xr:uid="{9F7AB47A-0C88-4BB7-A59E-E3ED38BF0A3F}"/>
    <cellStyle name="20% - Accent3 3 6 4" xfId="18858" xr:uid="{3D98A9BC-B9F3-4BF7-962C-4E6847B49490}"/>
    <cellStyle name="20% - Accent3 3 6 5" xfId="10410" xr:uid="{D9FFC7F5-19DF-4E4A-A003-64269B6D7AC9}"/>
    <cellStyle name="20% - Accent3 3 7" xfId="2285" xr:uid="{00000000-0005-0000-0000-0000B7010000}"/>
    <cellStyle name="20% - Accent3 3 7 2" xfId="6591" xr:uid="{00000000-0005-0000-0000-0000B8010000}"/>
    <cellStyle name="20% - Accent3 3 7 2 2" xfId="23489" xr:uid="{C58B3E97-54AB-4EEE-A8AA-E9AEC562278E}"/>
    <cellStyle name="20% - Accent3 3 7 2 3" xfId="15041" xr:uid="{D801CC35-4AC1-445A-8805-8C2BE46DADF8}"/>
    <cellStyle name="20% - Accent3 3 7 3" xfId="19271" xr:uid="{451715D0-20E6-4B48-8A54-920968FB09C7}"/>
    <cellStyle name="20% - Accent3 3 7 4" xfId="10823" xr:uid="{665C12BB-D441-4F9A-9FB2-77787217E708}"/>
    <cellStyle name="20% - Accent3 3 8" xfId="4525" xr:uid="{00000000-0005-0000-0000-0000B9010000}"/>
    <cellStyle name="20% - Accent3 3 8 2" xfId="21423" xr:uid="{68F20192-40B2-4DC7-BE0D-E586EECD1889}"/>
    <cellStyle name="20% - Accent3 3 8 3" xfId="12975" xr:uid="{3DBCB740-D806-486B-A7E8-2DEDBD8363A8}"/>
    <cellStyle name="20% - Accent3 3 9" xfId="17205" xr:uid="{B1740C19-0BFB-4183-9BEF-ED59C67E564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2 2 2" xfId="23984" xr:uid="{01140ACD-D264-4C96-8B6D-695C34866BFD}"/>
    <cellStyle name="20% - Accent3 4 2 2 2 3" xfId="15536" xr:uid="{CCCA8E21-2300-4F38-B7C1-EB831A211A4F}"/>
    <cellStyle name="20% - Accent3 4 2 2 3" xfId="19766" xr:uid="{F11134C8-213B-4FE9-B239-99E111EC7E67}"/>
    <cellStyle name="20% - Accent3 4 2 2 4" xfId="11318" xr:uid="{20101110-F1C3-4980-BD6B-1538FFC2D8F5}"/>
    <cellStyle name="20% - Accent3 4 2 3" xfId="4941" xr:uid="{00000000-0005-0000-0000-0000BE010000}"/>
    <cellStyle name="20% - Accent3 4 2 3 2" xfId="21839" xr:uid="{2BDE6921-A687-4C63-AEAE-C723B2A1E1E2}"/>
    <cellStyle name="20% - Accent3 4 2 3 3" xfId="13391" xr:uid="{06EF0B12-4B31-4A22-9229-15102FFEDB5B}"/>
    <cellStyle name="20% - Accent3 4 2 4" xfId="17621" xr:uid="{701154C7-3E41-4C25-8055-CB313DD2B86A}"/>
    <cellStyle name="20% - Accent3 4 2 5" xfId="9173" xr:uid="{37586244-F476-4C3A-8684-17EB0B02112D}"/>
    <cellStyle name="20% - Accent3 4 3" xfId="1046" xr:uid="{00000000-0005-0000-0000-0000BF010000}"/>
    <cellStyle name="20% - Accent3 4 3 2" xfId="3277" xr:uid="{00000000-0005-0000-0000-0000C0010000}"/>
    <cellStyle name="20% - Accent3 4 3 2 2" xfId="7499" xr:uid="{00000000-0005-0000-0000-0000C1010000}"/>
    <cellStyle name="20% - Accent3 4 3 2 2 2" xfId="24397" xr:uid="{8137BC53-B450-442A-8078-C34DB2B7012F}"/>
    <cellStyle name="20% - Accent3 4 3 2 2 3" xfId="15949" xr:uid="{8050DFBD-AC72-4AB2-88EB-C9B7F5D5BBE4}"/>
    <cellStyle name="20% - Accent3 4 3 2 3" xfId="20179" xr:uid="{229FCB1B-C9D6-46C5-88F2-BA137039537B}"/>
    <cellStyle name="20% - Accent3 4 3 2 4" xfId="11731" xr:uid="{C05C1C74-EC5D-48A8-A02B-D0EA5AF5DD64}"/>
    <cellStyle name="20% - Accent3 4 3 3" xfId="5354" xr:uid="{00000000-0005-0000-0000-0000C2010000}"/>
    <cellStyle name="20% - Accent3 4 3 3 2" xfId="22252" xr:uid="{E18D2F4C-2D9C-49A1-87FC-07BA6789FA87}"/>
    <cellStyle name="20% - Accent3 4 3 3 3" xfId="13804" xr:uid="{75159A6D-8EFB-403E-85E7-DBDFDD230BA0}"/>
    <cellStyle name="20% - Accent3 4 3 4" xfId="18034" xr:uid="{79FC6D68-2D20-4173-8C38-BCB0355352D5}"/>
    <cellStyle name="20% - Accent3 4 3 5" xfId="9586" xr:uid="{070D6934-CF5B-46CB-ADE8-BC82ADCB6578}"/>
    <cellStyle name="20% - Accent3 4 4" xfId="1460" xr:uid="{00000000-0005-0000-0000-0000C3010000}"/>
    <cellStyle name="20% - Accent3 4 4 2" xfId="3690" xr:uid="{00000000-0005-0000-0000-0000C4010000}"/>
    <cellStyle name="20% - Accent3 4 4 2 2" xfId="7912" xr:uid="{00000000-0005-0000-0000-0000C5010000}"/>
    <cellStyle name="20% - Accent3 4 4 2 2 2" xfId="24810" xr:uid="{750171C2-241A-4DFA-A2A8-104E442D2645}"/>
    <cellStyle name="20% - Accent3 4 4 2 2 3" xfId="16362" xr:uid="{6EC8175C-673E-4EA9-965A-49DF39828AF8}"/>
    <cellStyle name="20% - Accent3 4 4 2 3" xfId="20592" xr:uid="{71E948E3-5F22-4A7C-B11F-78E4F3D839FE}"/>
    <cellStyle name="20% - Accent3 4 4 2 4" xfId="12144" xr:uid="{6F98AF4E-A24F-48A3-BF1F-A5750E02F67B}"/>
    <cellStyle name="20% - Accent3 4 4 3" xfId="5767" xr:uid="{00000000-0005-0000-0000-0000C6010000}"/>
    <cellStyle name="20% - Accent3 4 4 3 2" xfId="22665" xr:uid="{31F73860-CAAA-4486-A492-6C3237937BDA}"/>
    <cellStyle name="20% - Accent3 4 4 3 3" xfId="14217" xr:uid="{6E5C2FE6-8BB5-4FA0-9E43-5277EFCF6E7B}"/>
    <cellStyle name="20% - Accent3 4 4 4" xfId="18447" xr:uid="{C3A6C175-4822-4ACC-9150-981FA30C04DF}"/>
    <cellStyle name="20% - Accent3 4 4 5" xfId="9999" xr:uid="{46019BFC-D089-42AB-B0FC-EC623D729A4D}"/>
    <cellStyle name="20% - Accent3 4 5" xfId="1874" xr:uid="{00000000-0005-0000-0000-0000C7010000}"/>
    <cellStyle name="20% - Accent3 4 5 2" xfId="4103" xr:uid="{00000000-0005-0000-0000-0000C8010000}"/>
    <cellStyle name="20% - Accent3 4 5 2 2" xfId="8325" xr:uid="{00000000-0005-0000-0000-0000C9010000}"/>
    <cellStyle name="20% - Accent3 4 5 2 2 2" xfId="25223" xr:uid="{A555E8FE-C12C-47EC-9D45-98CCF5437EBC}"/>
    <cellStyle name="20% - Accent3 4 5 2 2 3" xfId="16775" xr:uid="{D501874C-9E08-43B2-9569-F619483EF1A0}"/>
    <cellStyle name="20% - Accent3 4 5 2 3" xfId="21005" xr:uid="{4561C0F4-8B2A-44A3-9697-D0010851524C}"/>
    <cellStyle name="20% - Accent3 4 5 2 4" xfId="12557" xr:uid="{90BD1457-3C98-4C68-B164-3ED110A23045}"/>
    <cellStyle name="20% - Accent3 4 5 3" xfId="6180" xr:uid="{00000000-0005-0000-0000-0000CA010000}"/>
    <cellStyle name="20% - Accent3 4 5 3 2" xfId="23078" xr:uid="{6840004F-5435-4A83-B387-0BD85A32E373}"/>
    <cellStyle name="20% - Accent3 4 5 3 3" xfId="14630" xr:uid="{272C27D8-2C74-44BE-96D1-21955D4C43EA}"/>
    <cellStyle name="20% - Accent3 4 5 4" xfId="18860" xr:uid="{2E921F4F-076A-4EEA-AEDD-9A63464158A6}"/>
    <cellStyle name="20% - Accent3 4 5 5" xfId="10412" xr:uid="{51578D4F-6AB2-4A6A-BCFD-50A6055DB98F}"/>
    <cellStyle name="20% - Accent3 4 6" xfId="2287" xr:uid="{00000000-0005-0000-0000-0000CB010000}"/>
    <cellStyle name="20% - Accent3 4 6 2" xfId="6593" xr:uid="{00000000-0005-0000-0000-0000CC010000}"/>
    <cellStyle name="20% - Accent3 4 6 2 2" xfId="23491" xr:uid="{F88FD43D-16F2-44A7-B588-86E03372D42E}"/>
    <cellStyle name="20% - Accent3 4 6 2 3" xfId="15043" xr:uid="{AE71FF8A-E837-4F46-B0E6-C431B07017D1}"/>
    <cellStyle name="20% - Accent3 4 6 3" xfId="19273" xr:uid="{117BEB43-247E-42FE-B21E-C47968110582}"/>
    <cellStyle name="20% - Accent3 4 6 4" xfId="10825" xr:uid="{45066689-098F-47E0-B3DD-5A187D05D0BB}"/>
    <cellStyle name="20% - Accent3 4 7" xfId="4527" xr:uid="{00000000-0005-0000-0000-0000CD010000}"/>
    <cellStyle name="20% - Accent3 4 7 2" xfId="21425" xr:uid="{0FBB72BF-66D4-434E-96BD-1260901767C8}"/>
    <cellStyle name="20% - Accent3 4 7 3" xfId="12977" xr:uid="{87990171-D18F-4C7F-A417-D8A94557BFBF}"/>
    <cellStyle name="20% - Accent3 4 8" xfId="17207" xr:uid="{7D7D1D63-A05B-4250-A87D-9A31C6F4285A}"/>
    <cellStyle name="20% - Accent3 4 9" xfId="8759" xr:uid="{B897DDDC-0150-45C2-8573-9D7882936E45}"/>
    <cellStyle name="20% - Accent3 5" xfId="586" xr:uid="{00000000-0005-0000-0000-0000CE010000}"/>
    <cellStyle name="20% - Accent3 5 2" xfId="2857" xr:uid="{00000000-0005-0000-0000-0000CF010000}"/>
    <cellStyle name="20% - Accent3 5 2 2" xfId="7079" xr:uid="{00000000-0005-0000-0000-0000D0010000}"/>
    <cellStyle name="20% - Accent3 5 2 2 2" xfId="23977" xr:uid="{87DDFD5A-D6FF-4ED3-AB97-66F2251DBFE9}"/>
    <cellStyle name="20% - Accent3 5 2 2 3" xfId="15529" xr:uid="{ECAFFBE5-81C9-4384-89FD-3BDDEDCCC034}"/>
    <cellStyle name="20% - Accent3 5 2 3" xfId="19759" xr:uid="{17907901-CF3E-473B-AC83-CFCF9D2FD8A8}"/>
    <cellStyle name="20% - Accent3 5 2 4" xfId="11311" xr:uid="{E469567B-691D-4931-924F-76CD2DC68A24}"/>
    <cellStyle name="20% - Accent3 5 3" xfId="4934" xr:uid="{00000000-0005-0000-0000-0000D1010000}"/>
    <cellStyle name="20% - Accent3 5 3 2" xfId="21832" xr:uid="{7AC0F5A4-B911-4104-A351-E309A6F56147}"/>
    <cellStyle name="20% - Accent3 5 3 3" xfId="13384" xr:uid="{9CAA9C96-BF4E-48C6-9D28-B0BBD416D165}"/>
    <cellStyle name="20% - Accent3 5 4" xfId="17614" xr:uid="{ED5AD4AC-D123-4FEA-AC54-21E9464E2F95}"/>
    <cellStyle name="20% - Accent3 5 5" xfId="9166" xr:uid="{F324FD03-E7D9-4451-AAAC-69E2B78DEC96}"/>
    <cellStyle name="20% - Accent3 6" xfId="1039" xr:uid="{00000000-0005-0000-0000-0000D2010000}"/>
    <cellStyle name="20% - Accent3 6 2" xfId="3270" xr:uid="{00000000-0005-0000-0000-0000D3010000}"/>
    <cellStyle name="20% - Accent3 6 2 2" xfId="7492" xr:uid="{00000000-0005-0000-0000-0000D4010000}"/>
    <cellStyle name="20% - Accent3 6 2 2 2" xfId="24390" xr:uid="{17D4B499-011E-429B-B53B-47892F27D307}"/>
    <cellStyle name="20% - Accent3 6 2 2 3" xfId="15942" xr:uid="{0B1E870F-9C98-4FE1-A4DE-E2B67797D00E}"/>
    <cellStyle name="20% - Accent3 6 2 3" xfId="20172" xr:uid="{5D0CA073-65CA-43EC-95FD-3BF38550B4A6}"/>
    <cellStyle name="20% - Accent3 6 2 4" xfId="11724" xr:uid="{59DE4BAE-5287-44AA-93C5-0ED566DADDC0}"/>
    <cellStyle name="20% - Accent3 6 3" xfId="5347" xr:uid="{00000000-0005-0000-0000-0000D5010000}"/>
    <cellStyle name="20% - Accent3 6 3 2" xfId="22245" xr:uid="{AC9AABBE-8448-494B-A8F0-AF670E954C3D}"/>
    <cellStyle name="20% - Accent3 6 3 3" xfId="13797" xr:uid="{8886FA32-7411-4FA0-9A8A-418A9A692F7E}"/>
    <cellStyle name="20% - Accent3 6 4" xfId="18027" xr:uid="{4C7B98DC-7B11-4EA9-B907-EF64DDB02FD8}"/>
    <cellStyle name="20% - Accent3 6 5" xfId="9579" xr:uid="{956D2770-B546-4E2E-ADF6-D01DCD54D79D}"/>
    <cellStyle name="20% - Accent3 7" xfId="1453" xr:uid="{00000000-0005-0000-0000-0000D6010000}"/>
    <cellStyle name="20% - Accent3 7 2" xfId="3683" xr:uid="{00000000-0005-0000-0000-0000D7010000}"/>
    <cellStyle name="20% - Accent3 7 2 2" xfId="7905" xr:uid="{00000000-0005-0000-0000-0000D8010000}"/>
    <cellStyle name="20% - Accent3 7 2 2 2" xfId="24803" xr:uid="{BC950FFE-B001-4166-87F0-2A79A139BACD}"/>
    <cellStyle name="20% - Accent3 7 2 2 3" xfId="16355" xr:uid="{80743A34-E312-4CD1-AF1C-E9A3BD6FDD3D}"/>
    <cellStyle name="20% - Accent3 7 2 3" xfId="20585" xr:uid="{E8B53309-A4C5-4971-84C1-A59DE679690A}"/>
    <cellStyle name="20% - Accent3 7 2 4" xfId="12137" xr:uid="{7B57FBC1-856E-4F41-BF43-158B20DF2092}"/>
    <cellStyle name="20% - Accent3 7 3" xfId="5760" xr:uid="{00000000-0005-0000-0000-0000D9010000}"/>
    <cellStyle name="20% - Accent3 7 3 2" xfId="22658" xr:uid="{ABF765C8-E07D-4FAC-84E9-D5A2D52FEAE5}"/>
    <cellStyle name="20% - Accent3 7 3 3" xfId="14210" xr:uid="{0AE43703-D27D-4172-8002-B3BA6C0E3963}"/>
    <cellStyle name="20% - Accent3 7 4" xfId="18440" xr:uid="{AC774F2D-443A-49A3-AB29-0454FBE9708A}"/>
    <cellStyle name="20% - Accent3 7 5" xfId="9992" xr:uid="{17F3B61E-F4DC-4FFE-8BCE-CC9B44FCF15F}"/>
    <cellStyle name="20% - Accent3 8" xfId="1867" xr:uid="{00000000-0005-0000-0000-0000DA010000}"/>
    <cellStyle name="20% - Accent3 8 2" xfId="4096" xr:uid="{00000000-0005-0000-0000-0000DB010000}"/>
    <cellStyle name="20% - Accent3 8 2 2" xfId="8318" xr:uid="{00000000-0005-0000-0000-0000DC010000}"/>
    <cellStyle name="20% - Accent3 8 2 2 2" xfId="25216" xr:uid="{240141D2-D615-4D7E-A097-60F4723E0B4F}"/>
    <cellStyle name="20% - Accent3 8 2 2 3" xfId="16768" xr:uid="{13F37AE8-8467-43FE-B343-4BBAE46C17DB}"/>
    <cellStyle name="20% - Accent3 8 2 3" xfId="20998" xr:uid="{2F1080E5-FF60-4673-B647-86A6AF43AE61}"/>
    <cellStyle name="20% - Accent3 8 2 4" xfId="12550" xr:uid="{3725D23F-2936-4D21-AE22-15486CADF837}"/>
    <cellStyle name="20% - Accent3 8 3" xfId="6173" xr:uid="{00000000-0005-0000-0000-0000DD010000}"/>
    <cellStyle name="20% - Accent3 8 3 2" xfId="23071" xr:uid="{533B3B54-163A-4A4B-8B4D-97F9BD8AFB47}"/>
    <cellStyle name="20% - Accent3 8 3 3" xfId="14623" xr:uid="{1C23CC08-E2DC-44AA-9FB6-109FF8B91FF8}"/>
    <cellStyle name="20% - Accent3 8 4" xfId="18853" xr:uid="{82856679-7561-48BB-A28C-F5382BBDDB9A}"/>
    <cellStyle name="20% - Accent3 8 5" xfId="10405" xr:uid="{D5DB413F-E3AB-4E55-89FA-B243C8741722}"/>
    <cellStyle name="20% - Accent3 9" xfId="2280" xr:uid="{00000000-0005-0000-0000-0000DE010000}"/>
    <cellStyle name="20% - Accent3 9 2" xfId="6586" xr:uid="{00000000-0005-0000-0000-0000DF010000}"/>
    <cellStyle name="20% - Accent3 9 2 2" xfId="23484" xr:uid="{8B93EDED-FD08-44D2-A874-43CF292200DC}"/>
    <cellStyle name="20% - Accent3 9 2 3" xfId="15036" xr:uid="{A9B489FD-DAEA-4C57-A0E1-6CD36B5800C9}"/>
    <cellStyle name="20% - Accent3 9 3" xfId="19266" xr:uid="{57E1E859-3F05-4163-86C0-C105E25D863F}"/>
    <cellStyle name="20% - Accent3 9 4" xfId="10818" xr:uid="{D2E1C20A-DFF9-417D-ADB8-1C2502CCA305}"/>
    <cellStyle name="20% - Accent4" xfId="25" builtinId="42" customBuiltin="1"/>
    <cellStyle name="20% - Accent4 10" xfId="4528" xr:uid="{00000000-0005-0000-0000-0000E1010000}"/>
    <cellStyle name="20% - Accent4 10 2" xfId="21426" xr:uid="{71D1F00F-46CC-44F2-9686-A0C327540716}"/>
    <cellStyle name="20% - Accent4 10 3" xfId="12978" xr:uid="{BA609960-DEBF-4495-9EDB-F7C8D47E85F3}"/>
    <cellStyle name="20% - Accent4 11" xfId="17208" xr:uid="{53746FE3-CF34-46EB-8A62-C0EB62C1C00E}"/>
    <cellStyle name="20% - Accent4 12" xfId="8760" xr:uid="{47A714B1-419E-4351-8FBE-10A8C74108E1}"/>
    <cellStyle name="20% - Accent4 2" xfId="26" xr:uid="{00000000-0005-0000-0000-0000E2010000}"/>
    <cellStyle name="20% - Accent4 2 10" xfId="17209" xr:uid="{0E6D946B-9B54-40D3-9B12-6B8F61AB56BD}"/>
    <cellStyle name="20% - Accent4 2 11" xfId="8761" xr:uid="{BBDE4125-42A3-4245-AA8D-CC6C8B3A7746}"/>
    <cellStyle name="20% - Accent4 2 2" xfId="27" xr:uid="{00000000-0005-0000-0000-0000E3010000}"/>
    <cellStyle name="20% - Accent4 2 2 10" xfId="8762" xr:uid="{AD7AA9A0-F0DC-460E-A8FD-A3F5B029F3F1}"/>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23988" xr:uid="{878026FD-F4B4-4EDD-B409-0E45E4E30F53}"/>
    <cellStyle name="20% - Accent4 2 2 2 2 2 2 3" xfId="15540" xr:uid="{91130310-9B8E-43A0-8543-E42B11FB3DD9}"/>
    <cellStyle name="20% - Accent4 2 2 2 2 2 3" xfId="19770" xr:uid="{C798823C-5027-44DB-9305-B0D28B5C549E}"/>
    <cellStyle name="20% - Accent4 2 2 2 2 2 4" xfId="11322" xr:uid="{1D4C8C2B-16B5-4154-93C0-2F87A54FF803}"/>
    <cellStyle name="20% - Accent4 2 2 2 2 3" xfId="4945" xr:uid="{00000000-0005-0000-0000-0000E8010000}"/>
    <cellStyle name="20% - Accent4 2 2 2 2 3 2" xfId="21843" xr:uid="{A2E89742-A321-4678-A17C-C6362626E80B}"/>
    <cellStyle name="20% - Accent4 2 2 2 2 3 3" xfId="13395" xr:uid="{5A7C054C-CC9F-4E2F-8A1C-BADCD61A7E58}"/>
    <cellStyle name="20% - Accent4 2 2 2 2 4" xfId="17625" xr:uid="{F26E5EA5-1A9A-48BE-B4C8-9FC1864565F2}"/>
    <cellStyle name="20% - Accent4 2 2 2 2 5" xfId="9177" xr:uid="{76DD2480-50F9-4ABA-B00F-4A3DEF8A9061}"/>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24401" xr:uid="{AF0B0A7E-F09A-4605-82FE-B73CF3DDF117}"/>
    <cellStyle name="20% - Accent4 2 2 2 3 2 2 3" xfId="15953" xr:uid="{33522F84-4344-4700-9E0F-498D00608BC1}"/>
    <cellStyle name="20% - Accent4 2 2 2 3 2 3" xfId="20183" xr:uid="{39355E7A-92EB-4470-965B-AF015CA45D9A}"/>
    <cellStyle name="20% - Accent4 2 2 2 3 2 4" xfId="11735" xr:uid="{529C97AA-65C9-4BE5-8081-80A94AB06A05}"/>
    <cellStyle name="20% - Accent4 2 2 2 3 3" xfId="5358" xr:uid="{00000000-0005-0000-0000-0000EC010000}"/>
    <cellStyle name="20% - Accent4 2 2 2 3 3 2" xfId="22256" xr:uid="{705CD5A1-B065-4E30-B4E9-E7907E7F8595}"/>
    <cellStyle name="20% - Accent4 2 2 2 3 3 3" xfId="13808" xr:uid="{AA64EDBF-2D02-4296-B31F-188F6B2B3C4D}"/>
    <cellStyle name="20% - Accent4 2 2 2 3 4" xfId="18038" xr:uid="{82C41DCE-0340-4023-BE5D-4F21BDE47A2D}"/>
    <cellStyle name="20% - Accent4 2 2 2 3 5" xfId="9590" xr:uid="{444DDF6D-1551-45E2-B79D-5AE1AB43BC9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24814" xr:uid="{5722F16A-4467-4533-A880-B1D14D5D6FCD}"/>
    <cellStyle name="20% - Accent4 2 2 2 4 2 2 3" xfId="16366" xr:uid="{F52A12E0-DFF9-463D-BF7E-4F735CD137B6}"/>
    <cellStyle name="20% - Accent4 2 2 2 4 2 3" xfId="20596" xr:uid="{53AD928F-BF29-44A1-B4DE-D820CD119B3F}"/>
    <cellStyle name="20% - Accent4 2 2 2 4 2 4" xfId="12148" xr:uid="{23A87088-381D-4F90-8540-5BDD9FF2A809}"/>
    <cellStyle name="20% - Accent4 2 2 2 4 3" xfId="5771" xr:uid="{00000000-0005-0000-0000-0000F0010000}"/>
    <cellStyle name="20% - Accent4 2 2 2 4 3 2" xfId="22669" xr:uid="{B4798D51-C7A7-477D-9EAA-17D483D6E89E}"/>
    <cellStyle name="20% - Accent4 2 2 2 4 3 3" xfId="14221" xr:uid="{D8815BB2-2AB1-4E9C-9F82-7C54BF98CFD2}"/>
    <cellStyle name="20% - Accent4 2 2 2 4 4" xfId="18451" xr:uid="{BCFCB298-82E3-4728-9EBF-477367DDC643}"/>
    <cellStyle name="20% - Accent4 2 2 2 4 5" xfId="10003" xr:uid="{E70149D3-94B0-4CAA-8667-EECEF39F99BE}"/>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25227" xr:uid="{B8947151-EAA1-4E86-BE2C-118BBF273AE4}"/>
    <cellStyle name="20% - Accent4 2 2 2 5 2 2 3" xfId="16779" xr:uid="{BF838D3D-179D-406A-8BE6-9B73FE35684C}"/>
    <cellStyle name="20% - Accent4 2 2 2 5 2 3" xfId="21009" xr:uid="{A9D221C8-73F0-4E02-9BEF-DD6585C575B1}"/>
    <cellStyle name="20% - Accent4 2 2 2 5 2 4" xfId="12561" xr:uid="{7F1339D0-9381-4662-8C30-EBA615172100}"/>
    <cellStyle name="20% - Accent4 2 2 2 5 3" xfId="6184" xr:uid="{00000000-0005-0000-0000-0000F4010000}"/>
    <cellStyle name="20% - Accent4 2 2 2 5 3 2" xfId="23082" xr:uid="{A820DC5F-705B-4C74-B340-8913DF06FA02}"/>
    <cellStyle name="20% - Accent4 2 2 2 5 3 3" xfId="14634" xr:uid="{2D4DE527-EB9E-4254-B193-15F003C0894B}"/>
    <cellStyle name="20% - Accent4 2 2 2 5 4" xfId="18864" xr:uid="{FAFCFE34-2881-48B9-A44D-E99799A63769}"/>
    <cellStyle name="20% - Accent4 2 2 2 5 5" xfId="10416" xr:uid="{68FCAAC9-5E4F-43FD-8252-C7DAC09760DA}"/>
    <cellStyle name="20% - Accent4 2 2 2 6" xfId="2291" xr:uid="{00000000-0005-0000-0000-0000F5010000}"/>
    <cellStyle name="20% - Accent4 2 2 2 6 2" xfId="6597" xr:uid="{00000000-0005-0000-0000-0000F6010000}"/>
    <cellStyle name="20% - Accent4 2 2 2 6 2 2" xfId="23495" xr:uid="{92FAC762-32EA-4DE8-A979-B3DE0660B0FF}"/>
    <cellStyle name="20% - Accent4 2 2 2 6 2 3" xfId="15047" xr:uid="{69E36EC8-1B0B-4FFC-A72E-98DA3F422A60}"/>
    <cellStyle name="20% - Accent4 2 2 2 6 3" xfId="19277" xr:uid="{E4874AB9-B799-4100-9F44-9507F6B796A9}"/>
    <cellStyle name="20% - Accent4 2 2 2 6 4" xfId="10829" xr:uid="{EA44BEA5-E515-4780-A794-FABBD70A315D}"/>
    <cellStyle name="20% - Accent4 2 2 2 7" xfId="4531" xr:uid="{00000000-0005-0000-0000-0000F7010000}"/>
    <cellStyle name="20% - Accent4 2 2 2 7 2" xfId="21429" xr:uid="{CD81B4F0-6D7F-467D-BFC1-C0534963B594}"/>
    <cellStyle name="20% - Accent4 2 2 2 7 3" xfId="12981" xr:uid="{11E1032C-F43B-475F-A228-8408D6B258EE}"/>
    <cellStyle name="20% - Accent4 2 2 2 8" xfId="17211" xr:uid="{F1B55B91-6DE1-486B-97CB-D89F30AAA5A4}"/>
    <cellStyle name="20% - Accent4 2 2 2 9" xfId="8763" xr:uid="{B485F3BB-C554-42CB-821E-C0CF6CCA0789}"/>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23987" xr:uid="{20B4DA82-9AE7-4AAF-9BA5-7AEA0BBC9E96}"/>
    <cellStyle name="20% - Accent4 2 2 3 2 2 3" xfId="15539" xr:uid="{06797798-AE65-4F47-8FA7-1A0748BA525F}"/>
    <cellStyle name="20% - Accent4 2 2 3 2 3" xfId="19769" xr:uid="{77541FD4-ABA5-40AF-B608-E64CA833EDDB}"/>
    <cellStyle name="20% - Accent4 2 2 3 2 4" xfId="11321" xr:uid="{CC3119B7-D7D9-4C1D-A099-BFA592F0D25E}"/>
    <cellStyle name="20% - Accent4 2 2 3 3" xfId="4944" xr:uid="{00000000-0005-0000-0000-0000FB010000}"/>
    <cellStyle name="20% - Accent4 2 2 3 3 2" xfId="21842" xr:uid="{27C1EBDC-7F7D-4499-B86D-D2254AFE492C}"/>
    <cellStyle name="20% - Accent4 2 2 3 3 3" xfId="13394" xr:uid="{8DFF9A08-8D13-45FB-BE18-D2D968D602D5}"/>
    <cellStyle name="20% - Accent4 2 2 3 4" xfId="17624" xr:uid="{E02C408A-91F3-4311-914D-713EA462A8E1}"/>
    <cellStyle name="20% - Accent4 2 2 3 5" xfId="9176" xr:uid="{4E898B2F-FEF3-47DD-8E60-4ECCAB5030DC}"/>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24400" xr:uid="{A13E7BE6-C310-4C65-A165-E11A5509B577}"/>
    <cellStyle name="20% - Accent4 2 2 4 2 2 3" xfId="15952" xr:uid="{1D502DC9-8228-4AF0-BA35-90C2BE3B4CB2}"/>
    <cellStyle name="20% - Accent4 2 2 4 2 3" xfId="20182" xr:uid="{D70428B5-F6FE-4E5E-A2FE-8AF19B242642}"/>
    <cellStyle name="20% - Accent4 2 2 4 2 4" xfId="11734" xr:uid="{D641A31B-901E-4F21-A338-7FB2D6A9CF54}"/>
    <cellStyle name="20% - Accent4 2 2 4 3" xfId="5357" xr:uid="{00000000-0005-0000-0000-0000FF010000}"/>
    <cellStyle name="20% - Accent4 2 2 4 3 2" xfId="22255" xr:uid="{93506FD5-2949-4EE1-A6FC-7826EDC9C33C}"/>
    <cellStyle name="20% - Accent4 2 2 4 3 3" xfId="13807" xr:uid="{90AA411D-EFCB-406C-BF16-431400F20304}"/>
    <cellStyle name="20% - Accent4 2 2 4 4" xfId="18037" xr:uid="{5E5796C8-A5E6-4E57-8A02-7CC4115C120E}"/>
    <cellStyle name="20% - Accent4 2 2 4 5" xfId="9589" xr:uid="{CFF99447-C558-495C-B85A-A790685EA344}"/>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24813" xr:uid="{C58BBE74-1F8F-42B2-9B6B-7F2FAC370E25}"/>
    <cellStyle name="20% - Accent4 2 2 5 2 2 3" xfId="16365" xr:uid="{2C20DB53-1519-4614-9078-C08DBE413198}"/>
    <cellStyle name="20% - Accent4 2 2 5 2 3" xfId="20595" xr:uid="{20F030F8-F162-435B-8E7A-054428F18171}"/>
    <cellStyle name="20% - Accent4 2 2 5 2 4" xfId="12147" xr:uid="{EB73083A-A3B7-485B-87B4-F62DAE07504F}"/>
    <cellStyle name="20% - Accent4 2 2 5 3" xfId="5770" xr:uid="{00000000-0005-0000-0000-000003020000}"/>
    <cellStyle name="20% - Accent4 2 2 5 3 2" xfId="22668" xr:uid="{9E2853E7-9256-4060-AC88-02DB40CFD4A6}"/>
    <cellStyle name="20% - Accent4 2 2 5 3 3" xfId="14220" xr:uid="{79AAC42A-9B5D-4008-B706-D964A073FE6E}"/>
    <cellStyle name="20% - Accent4 2 2 5 4" xfId="18450" xr:uid="{AEE490FC-4976-489B-8D00-21261920DBED}"/>
    <cellStyle name="20% - Accent4 2 2 5 5" xfId="10002" xr:uid="{DC30E889-EADB-4653-A967-CDFCCA3776ED}"/>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25226" xr:uid="{97012625-B707-470F-BD97-46D78571795B}"/>
    <cellStyle name="20% - Accent4 2 2 6 2 2 3" xfId="16778" xr:uid="{9177D468-2D14-4573-86E4-91F194C903E1}"/>
    <cellStyle name="20% - Accent4 2 2 6 2 3" xfId="21008" xr:uid="{D203928E-EAAC-43E4-B9A2-13C621E8B2A5}"/>
    <cellStyle name="20% - Accent4 2 2 6 2 4" xfId="12560" xr:uid="{C48C50DC-4584-43F5-ADE9-B2D217C9C83D}"/>
    <cellStyle name="20% - Accent4 2 2 6 3" xfId="6183" xr:uid="{00000000-0005-0000-0000-000007020000}"/>
    <cellStyle name="20% - Accent4 2 2 6 3 2" xfId="23081" xr:uid="{F85BE687-0BA4-4548-B4A2-CAAF74347761}"/>
    <cellStyle name="20% - Accent4 2 2 6 3 3" xfId="14633" xr:uid="{32CE8DA3-78CA-4A8B-ABF2-17E160BFF174}"/>
    <cellStyle name="20% - Accent4 2 2 6 4" xfId="18863" xr:uid="{7A2D4ADC-8489-4F23-9326-40DC684F5A57}"/>
    <cellStyle name="20% - Accent4 2 2 6 5" xfId="10415" xr:uid="{5C6A77CF-3DC1-44F2-B9A5-7C315E2D5B8E}"/>
    <cellStyle name="20% - Accent4 2 2 7" xfId="2290" xr:uid="{00000000-0005-0000-0000-000008020000}"/>
    <cellStyle name="20% - Accent4 2 2 7 2" xfId="6596" xr:uid="{00000000-0005-0000-0000-000009020000}"/>
    <cellStyle name="20% - Accent4 2 2 7 2 2" xfId="23494" xr:uid="{EA4485D3-0CBC-4B97-91C4-3EFC4CBFCC03}"/>
    <cellStyle name="20% - Accent4 2 2 7 2 3" xfId="15046" xr:uid="{DD8D60A6-D31E-497E-8962-4055E3369948}"/>
    <cellStyle name="20% - Accent4 2 2 7 3" xfId="19276" xr:uid="{304FE9BF-A270-436F-A87C-48A6B8D9EF14}"/>
    <cellStyle name="20% - Accent4 2 2 7 4" xfId="10828" xr:uid="{1F627790-E6AE-4F03-AAA6-56E150CC7C93}"/>
    <cellStyle name="20% - Accent4 2 2 8" xfId="4530" xr:uid="{00000000-0005-0000-0000-00000A020000}"/>
    <cellStyle name="20% - Accent4 2 2 8 2" xfId="21428" xr:uid="{CC98B450-825A-4D2A-B8EA-4AD5D41A5E17}"/>
    <cellStyle name="20% - Accent4 2 2 8 3" xfId="12980" xr:uid="{055E9053-86F2-45BB-9E4C-EF9FEBC3F36B}"/>
    <cellStyle name="20% - Accent4 2 2 9" xfId="17210" xr:uid="{258B6B8C-7037-40AA-B8F8-F7A0574D660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23989" xr:uid="{9EA1ADC0-DA08-4286-AC65-F8CB34EF4CC4}"/>
    <cellStyle name="20% - Accent4 2 3 2 2 2 3" xfId="15541" xr:uid="{4550CCF3-EAC4-4610-A664-68CAA3C71A22}"/>
    <cellStyle name="20% - Accent4 2 3 2 2 3" xfId="19771" xr:uid="{DE64DF6E-FE2D-4D5F-841E-0EC90854774F}"/>
    <cellStyle name="20% - Accent4 2 3 2 2 4" xfId="11323" xr:uid="{E87CEEA0-5E2C-4B24-9984-D3A405054F03}"/>
    <cellStyle name="20% - Accent4 2 3 2 3" xfId="4946" xr:uid="{00000000-0005-0000-0000-00000F020000}"/>
    <cellStyle name="20% - Accent4 2 3 2 3 2" xfId="21844" xr:uid="{D511ECA9-6D48-426B-8E93-639759FC4F6C}"/>
    <cellStyle name="20% - Accent4 2 3 2 3 3" xfId="13396" xr:uid="{ED292AE6-4F64-42D5-A4DA-EF7D6D4C9854}"/>
    <cellStyle name="20% - Accent4 2 3 2 4" xfId="17626" xr:uid="{E3BDC1DF-5A3D-4D1D-82B0-F3A1B0BDAAC3}"/>
    <cellStyle name="20% - Accent4 2 3 2 5" xfId="9178" xr:uid="{7E813FE6-72DB-4907-999B-251F2FE0DCB4}"/>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24402" xr:uid="{1DE00C42-7AC6-43A9-B010-E55BC6A98448}"/>
    <cellStyle name="20% - Accent4 2 3 3 2 2 3" xfId="15954" xr:uid="{C45151EA-8151-4C60-9C9D-264533078F44}"/>
    <cellStyle name="20% - Accent4 2 3 3 2 3" xfId="20184" xr:uid="{113FB1D4-1F38-4DC0-A899-C295720088EB}"/>
    <cellStyle name="20% - Accent4 2 3 3 2 4" xfId="11736" xr:uid="{BBFE9CE7-3B2B-4BC2-AE21-6174D2AFCB38}"/>
    <cellStyle name="20% - Accent4 2 3 3 3" xfId="5359" xr:uid="{00000000-0005-0000-0000-000013020000}"/>
    <cellStyle name="20% - Accent4 2 3 3 3 2" xfId="22257" xr:uid="{63573686-9571-458B-9375-12B4823E5BE7}"/>
    <cellStyle name="20% - Accent4 2 3 3 3 3" xfId="13809" xr:uid="{4234D1CA-56E1-4728-9F54-AC07ED756BC5}"/>
    <cellStyle name="20% - Accent4 2 3 3 4" xfId="18039" xr:uid="{9086FD73-BA0F-400F-B37F-CC9050C4CDFD}"/>
    <cellStyle name="20% - Accent4 2 3 3 5" xfId="9591" xr:uid="{D70B1236-948D-4BA4-A935-9D143D2183ED}"/>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24815" xr:uid="{208B1D36-9B8A-4328-A7E5-E8E702AC28F2}"/>
    <cellStyle name="20% - Accent4 2 3 4 2 2 3" xfId="16367" xr:uid="{B0F4437E-ADA3-4D2F-8145-C68351893F32}"/>
    <cellStyle name="20% - Accent4 2 3 4 2 3" xfId="20597" xr:uid="{42A989BB-0BB0-49D7-9A2F-5504B40CE7C3}"/>
    <cellStyle name="20% - Accent4 2 3 4 2 4" xfId="12149" xr:uid="{007E1DF9-7AF5-49D7-A8FD-E9DA62B1DBDA}"/>
    <cellStyle name="20% - Accent4 2 3 4 3" xfId="5772" xr:uid="{00000000-0005-0000-0000-000017020000}"/>
    <cellStyle name="20% - Accent4 2 3 4 3 2" xfId="22670" xr:uid="{4D39CC62-97E0-4F7A-8254-136FBA2ED4B0}"/>
    <cellStyle name="20% - Accent4 2 3 4 3 3" xfId="14222" xr:uid="{334EC7BC-E70E-4A9E-8FA3-8D76BA3668A9}"/>
    <cellStyle name="20% - Accent4 2 3 4 4" xfId="18452" xr:uid="{9FBA6DBC-34DA-442D-9054-DCC0977938F7}"/>
    <cellStyle name="20% - Accent4 2 3 4 5" xfId="10004" xr:uid="{1C998BB6-6D25-49D2-A899-64104E9F68DA}"/>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25228" xr:uid="{3B78B221-0D36-400E-A1B3-8AC680137FEC}"/>
    <cellStyle name="20% - Accent4 2 3 5 2 2 3" xfId="16780" xr:uid="{BB2B14A6-5FE7-4910-AD75-238CF28630C1}"/>
    <cellStyle name="20% - Accent4 2 3 5 2 3" xfId="21010" xr:uid="{9E845CD4-E722-413B-B80B-336C16CCB899}"/>
    <cellStyle name="20% - Accent4 2 3 5 2 4" xfId="12562" xr:uid="{D026352D-0CD0-49E8-B763-AA4E8CB08592}"/>
    <cellStyle name="20% - Accent4 2 3 5 3" xfId="6185" xr:uid="{00000000-0005-0000-0000-00001B020000}"/>
    <cellStyle name="20% - Accent4 2 3 5 3 2" xfId="23083" xr:uid="{25105FFC-BE92-4A83-9A9E-ADAA19FFD92D}"/>
    <cellStyle name="20% - Accent4 2 3 5 3 3" xfId="14635" xr:uid="{6D145870-C3E1-4C25-94CB-59EBEB1B0249}"/>
    <cellStyle name="20% - Accent4 2 3 5 4" xfId="18865" xr:uid="{87E09BB8-7320-4709-AE4F-E1117D237F84}"/>
    <cellStyle name="20% - Accent4 2 3 5 5" xfId="10417" xr:uid="{7B8FAB44-8E64-4600-8F05-94722DE28904}"/>
    <cellStyle name="20% - Accent4 2 3 6" xfId="2292" xr:uid="{00000000-0005-0000-0000-00001C020000}"/>
    <cellStyle name="20% - Accent4 2 3 6 2" xfId="6598" xr:uid="{00000000-0005-0000-0000-00001D020000}"/>
    <cellStyle name="20% - Accent4 2 3 6 2 2" xfId="23496" xr:uid="{1ABD6B23-91F3-4295-AC49-D239A604AA34}"/>
    <cellStyle name="20% - Accent4 2 3 6 2 3" xfId="15048" xr:uid="{F7F8E9F8-A141-40D5-A548-90513BBE45E7}"/>
    <cellStyle name="20% - Accent4 2 3 6 3" xfId="19278" xr:uid="{975355F0-1989-4D17-A506-74094B10A560}"/>
    <cellStyle name="20% - Accent4 2 3 6 4" xfId="10830" xr:uid="{379DFB71-1216-47FD-BB1D-1EE4088CE833}"/>
    <cellStyle name="20% - Accent4 2 3 7" xfId="4532" xr:uid="{00000000-0005-0000-0000-00001E020000}"/>
    <cellStyle name="20% - Accent4 2 3 7 2" xfId="21430" xr:uid="{E635C006-BBDA-4C32-AE7A-EE0F6CF4BADC}"/>
    <cellStyle name="20% - Accent4 2 3 7 3" xfId="12982" xr:uid="{8BC27286-AEDC-4E64-AC2B-CA6ADCF9E3B1}"/>
    <cellStyle name="20% - Accent4 2 3 8" xfId="17212" xr:uid="{C1AF7318-382B-43DD-B505-FDE4B56B9A32}"/>
    <cellStyle name="20% - Accent4 2 3 9" xfId="8764" xr:uid="{B24B8E1A-505C-41AC-A7C5-1A418EECF557}"/>
    <cellStyle name="20% - Accent4 2 4" xfId="595" xr:uid="{00000000-0005-0000-0000-00001F020000}"/>
    <cellStyle name="20% - Accent4 2 4 2" xfId="2866" xr:uid="{00000000-0005-0000-0000-000020020000}"/>
    <cellStyle name="20% - Accent4 2 4 2 2" xfId="7088" xr:uid="{00000000-0005-0000-0000-000021020000}"/>
    <cellStyle name="20% - Accent4 2 4 2 2 2" xfId="23986" xr:uid="{FCF93458-C30F-4511-9EBF-688C79634CFE}"/>
    <cellStyle name="20% - Accent4 2 4 2 2 3" xfId="15538" xr:uid="{D0A423D3-FDFA-48CD-B32C-C0FC07C7E079}"/>
    <cellStyle name="20% - Accent4 2 4 2 3" xfId="19768" xr:uid="{7FDFD3BA-9A27-407B-907F-85AB30A5D064}"/>
    <cellStyle name="20% - Accent4 2 4 2 4" xfId="11320" xr:uid="{5F9F1894-694D-4A86-ACCA-D45064DA9DEA}"/>
    <cellStyle name="20% - Accent4 2 4 3" xfId="4943" xr:uid="{00000000-0005-0000-0000-000022020000}"/>
    <cellStyle name="20% - Accent4 2 4 3 2" xfId="21841" xr:uid="{45EC9CCE-83D9-44F8-A8B9-A4A6E8605666}"/>
    <cellStyle name="20% - Accent4 2 4 3 3" xfId="13393" xr:uid="{BEE27809-24BE-40FE-A3A3-90BF132A10C0}"/>
    <cellStyle name="20% - Accent4 2 4 4" xfId="17623" xr:uid="{8D142DD4-069B-4561-B830-53FE44A6075C}"/>
    <cellStyle name="20% - Accent4 2 4 5" xfId="9175" xr:uid="{EA7620A9-0192-4FE1-ABBD-A2EC45ACC5DA}"/>
    <cellStyle name="20% - Accent4 2 5" xfId="1048" xr:uid="{00000000-0005-0000-0000-000023020000}"/>
    <cellStyle name="20% - Accent4 2 5 2" xfId="3279" xr:uid="{00000000-0005-0000-0000-000024020000}"/>
    <cellStyle name="20% - Accent4 2 5 2 2" xfId="7501" xr:uid="{00000000-0005-0000-0000-000025020000}"/>
    <cellStyle name="20% - Accent4 2 5 2 2 2" xfId="24399" xr:uid="{043AF398-ED9A-4FA3-810A-0343B15E833E}"/>
    <cellStyle name="20% - Accent4 2 5 2 2 3" xfId="15951" xr:uid="{7C66143D-2983-4610-ACBB-815D98C33E6A}"/>
    <cellStyle name="20% - Accent4 2 5 2 3" xfId="20181" xr:uid="{B5BE996E-9D8E-4F70-9EF7-0673173B3F45}"/>
    <cellStyle name="20% - Accent4 2 5 2 4" xfId="11733" xr:uid="{5F731C4A-CA30-4C33-B583-C8F71BF5D18F}"/>
    <cellStyle name="20% - Accent4 2 5 3" xfId="5356" xr:uid="{00000000-0005-0000-0000-000026020000}"/>
    <cellStyle name="20% - Accent4 2 5 3 2" xfId="22254" xr:uid="{44CD86C6-A07D-468D-8B5B-7352B5F60AC1}"/>
    <cellStyle name="20% - Accent4 2 5 3 3" xfId="13806" xr:uid="{78A22311-21BD-4CB5-88DC-E13ED4F46758}"/>
    <cellStyle name="20% - Accent4 2 5 4" xfId="18036" xr:uid="{B967DD9B-351A-4E9B-BB7C-9D232A62CF7D}"/>
    <cellStyle name="20% - Accent4 2 5 5" xfId="9588" xr:uid="{E2593539-50EA-415F-A92F-2C7045D52AB7}"/>
    <cellStyle name="20% - Accent4 2 6" xfId="1462" xr:uid="{00000000-0005-0000-0000-000027020000}"/>
    <cellStyle name="20% - Accent4 2 6 2" xfId="3692" xr:uid="{00000000-0005-0000-0000-000028020000}"/>
    <cellStyle name="20% - Accent4 2 6 2 2" xfId="7914" xr:uid="{00000000-0005-0000-0000-000029020000}"/>
    <cellStyle name="20% - Accent4 2 6 2 2 2" xfId="24812" xr:uid="{323B3D89-C089-4302-865E-5B581DB7F8E8}"/>
    <cellStyle name="20% - Accent4 2 6 2 2 3" xfId="16364" xr:uid="{283B3DF0-B544-40DC-9ED9-49AC39FD3F09}"/>
    <cellStyle name="20% - Accent4 2 6 2 3" xfId="20594" xr:uid="{2A2B1983-5FA2-4EB1-A900-58ECBED86CA5}"/>
    <cellStyle name="20% - Accent4 2 6 2 4" xfId="12146" xr:uid="{AA7324AC-D23B-4ADD-AF8D-D0FEBC79B6BA}"/>
    <cellStyle name="20% - Accent4 2 6 3" xfId="5769" xr:uid="{00000000-0005-0000-0000-00002A020000}"/>
    <cellStyle name="20% - Accent4 2 6 3 2" xfId="22667" xr:uid="{FD0FF0F3-AAE4-41D7-8445-4CF399C7C391}"/>
    <cellStyle name="20% - Accent4 2 6 3 3" xfId="14219" xr:uid="{78624737-F02E-4F95-A2D3-64323E3C859A}"/>
    <cellStyle name="20% - Accent4 2 6 4" xfId="18449" xr:uid="{332A537F-4A8D-4443-BC25-F7E9376C41B8}"/>
    <cellStyle name="20% - Accent4 2 6 5" xfId="10001" xr:uid="{D21DAF66-450E-4E5B-81E1-CE7FE2D19969}"/>
    <cellStyle name="20% - Accent4 2 7" xfId="1876" xr:uid="{00000000-0005-0000-0000-00002B020000}"/>
    <cellStyle name="20% - Accent4 2 7 2" xfId="4105" xr:uid="{00000000-0005-0000-0000-00002C020000}"/>
    <cellStyle name="20% - Accent4 2 7 2 2" xfId="8327" xr:uid="{00000000-0005-0000-0000-00002D020000}"/>
    <cellStyle name="20% - Accent4 2 7 2 2 2" xfId="25225" xr:uid="{B11A05E9-8377-4C14-958D-754CD578C338}"/>
    <cellStyle name="20% - Accent4 2 7 2 2 3" xfId="16777" xr:uid="{823F8472-DA7C-40BB-A02A-3744A31CD866}"/>
    <cellStyle name="20% - Accent4 2 7 2 3" xfId="21007" xr:uid="{16E30E9E-E3D8-4AB2-B7EE-B8F56C39A42C}"/>
    <cellStyle name="20% - Accent4 2 7 2 4" xfId="12559" xr:uid="{4D3B68A5-5871-4913-82D8-47A6BE473968}"/>
    <cellStyle name="20% - Accent4 2 7 3" xfId="6182" xr:uid="{00000000-0005-0000-0000-00002E020000}"/>
    <cellStyle name="20% - Accent4 2 7 3 2" xfId="23080" xr:uid="{383BC49B-8CB8-4785-A881-9E52C7AEF04E}"/>
    <cellStyle name="20% - Accent4 2 7 3 3" xfId="14632" xr:uid="{B50F8AA4-436A-43B5-B726-D64A6E91E003}"/>
    <cellStyle name="20% - Accent4 2 7 4" xfId="18862" xr:uid="{0C26983F-EFCB-4B51-B569-4DA24A387DDF}"/>
    <cellStyle name="20% - Accent4 2 7 5" xfId="10414" xr:uid="{7142A3BB-58CA-4300-9731-D019E1C1D5E7}"/>
    <cellStyle name="20% - Accent4 2 8" xfId="2289" xr:uid="{00000000-0005-0000-0000-00002F020000}"/>
    <cellStyle name="20% - Accent4 2 8 2" xfId="6595" xr:uid="{00000000-0005-0000-0000-000030020000}"/>
    <cellStyle name="20% - Accent4 2 8 2 2" xfId="23493" xr:uid="{A9F023AB-6587-41F5-8B5A-DEDBB0A79281}"/>
    <cellStyle name="20% - Accent4 2 8 2 3" xfId="15045" xr:uid="{1FA26F82-80FD-446C-982D-2DF3128AA499}"/>
    <cellStyle name="20% - Accent4 2 8 3" xfId="19275" xr:uid="{17CDDE69-6A3C-4F41-9C75-0BD5106F4858}"/>
    <cellStyle name="20% - Accent4 2 8 4" xfId="10827" xr:uid="{3966E96F-A768-4FE9-B87F-FFA9BD47B614}"/>
    <cellStyle name="20% - Accent4 2 9" xfId="4529" xr:uid="{00000000-0005-0000-0000-000031020000}"/>
    <cellStyle name="20% - Accent4 2 9 2" xfId="21427" xr:uid="{CA9CA687-4EBC-405D-9B5F-B4F3FB0805D2}"/>
    <cellStyle name="20% - Accent4 2 9 3" xfId="12979" xr:uid="{42882737-871B-462E-BEF9-CF76DFE8B17C}"/>
    <cellStyle name="20% - Accent4 3" xfId="30" xr:uid="{00000000-0005-0000-0000-000032020000}"/>
    <cellStyle name="20% - Accent4 3 10" xfId="8765" xr:uid="{94CD1386-5EB6-4369-A48D-D39F3E8EFEE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23991" xr:uid="{F9296FA1-88A3-49B0-8317-FEC10FDF11AE}"/>
    <cellStyle name="20% - Accent4 3 2 2 2 2 3" xfId="15543" xr:uid="{E825E11B-227B-4CB6-8BFB-308C8E96176F}"/>
    <cellStyle name="20% - Accent4 3 2 2 2 3" xfId="19773" xr:uid="{14E39F3A-938A-46CB-A041-04E30F204A6A}"/>
    <cellStyle name="20% - Accent4 3 2 2 2 4" xfId="11325" xr:uid="{EDBEE522-E04A-49A1-A9CA-4243F3DB5089}"/>
    <cellStyle name="20% - Accent4 3 2 2 3" xfId="4948" xr:uid="{00000000-0005-0000-0000-000037020000}"/>
    <cellStyle name="20% - Accent4 3 2 2 3 2" xfId="21846" xr:uid="{3FE9327F-6AA2-4235-B4D4-EDF7A788EF87}"/>
    <cellStyle name="20% - Accent4 3 2 2 3 3" xfId="13398" xr:uid="{CE56E870-A79E-4CE5-AEBC-A7699126634A}"/>
    <cellStyle name="20% - Accent4 3 2 2 4" xfId="17628" xr:uid="{CDD07969-D6EB-4D12-9499-7F376896D7EB}"/>
    <cellStyle name="20% - Accent4 3 2 2 5" xfId="9180" xr:uid="{11F28D94-52AA-40DA-A823-59361B37060B}"/>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24404" xr:uid="{816BF96E-4566-499C-90B9-3CDD44EE0D56}"/>
    <cellStyle name="20% - Accent4 3 2 3 2 2 3" xfId="15956" xr:uid="{3A789481-11E1-4100-91B0-C7CFEF869BA9}"/>
    <cellStyle name="20% - Accent4 3 2 3 2 3" xfId="20186" xr:uid="{452D2008-C4BF-41F0-A9D4-AAF6216F5ED9}"/>
    <cellStyle name="20% - Accent4 3 2 3 2 4" xfId="11738" xr:uid="{2247EEC4-4B6A-445E-BE74-08696F28AFDC}"/>
    <cellStyle name="20% - Accent4 3 2 3 3" xfId="5361" xr:uid="{00000000-0005-0000-0000-00003B020000}"/>
    <cellStyle name="20% - Accent4 3 2 3 3 2" xfId="22259" xr:uid="{DE584777-82D4-42AD-B626-12F4743EA5E2}"/>
    <cellStyle name="20% - Accent4 3 2 3 3 3" xfId="13811" xr:uid="{6C19906A-1E1E-4A84-B166-B3A314BFC51D}"/>
    <cellStyle name="20% - Accent4 3 2 3 4" xfId="18041" xr:uid="{56F324D2-8306-40DC-AA5C-1CADE17E0B08}"/>
    <cellStyle name="20% - Accent4 3 2 3 5" xfId="9593" xr:uid="{2EAB0DF3-77D4-40E6-B259-FF066DA93B6F}"/>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24817" xr:uid="{DF4F20B8-A02F-499C-B49D-3FA20A9B8427}"/>
    <cellStyle name="20% - Accent4 3 2 4 2 2 3" xfId="16369" xr:uid="{285F590E-00D8-4122-9BC3-B27E8C475AD4}"/>
    <cellStyle name="20% - Accent4 3 2 4 2 3" xfId="20599" xr:uid="{601B867A-98A3-473B-937E-B4D662323E6D}"/>
    <cellStyle name="20% - Accent4 3 2 4 2 4" xfId="12151" xr:uid="{232C3665-D710-4273-86C8-4E0BA4A557C9}"/>
    <cellStyle name="20% - Accent4 3 2 4 3" xfId="5774" xr:uid="{00000000-0005-0000-0000-00003F020000}"/>
    <cellStyle name="20% - Accent4 3 2 4 3 2" xfId="22672" xr:uid="{EF9852BA-5D1D-4F64-9ABA-D25FB1A30AFA}"/>
    <cellStyle name="20% - Accent4 3 2 4 3 3" xfId="14224" xr:uid="{84699B86-E9C3-4739-931B-5CB607DFBD2F}"/>
    <cellStyle name="20% - Accent4 3 2 4 4" xfId="18454" xr:uid="{E2A815AD-651D-4A0E-AD74-CBEE3761F57E}"/>
    <cellStyle name="20% - Accent4 3 2 4 5" xfId="10006" xr:uid="{CE3DA0BB-F077-4CEB-8274-87DE7D9945E8}"/>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25230" xr:uid="{5568AFB3-F5CA-4E9F-9D63-761E5C694223}"/>
    <cellStyle name="20% - Accent4 3 2 5 2 2 3" xfId="16782" xr:uid="{1F760FEF-19E7-45E3-9F8A-D25854FD06BD}"/>
    <cellStyle name="20% - Accent4 3 2 5 2 3" xfId="21012" xr:uid="{09BC7CF5-35F3-4112-8310-46E7B885F27B}"/>
    <cellStyle name="20% - Accent4 3 2 5 2 4" xfId="12564" xr:uid="{EF225A98-F18E-4BA9-843E-6456E371EA78}"/>
    <cellStyle name="20% - Accent4 3 2 5 3" xfId="6187" xr:uid="{00000000-0005-0000-0000-000043020000}"/>
    <cellStyle name="20% - Accent4 3 2 5 3 2" xfId="23085" xr:uid="{3F7030AD-7C6C-4378-93F1-AF5F25BBFAD5}"/>
    <cellStyle name="20% - Accent4 3 2 5 3 3" xfId="14637" xr:uid="{B5C1C099-13D6-430F-B410-C6BCCDC1A59B}"/>
    <cellStyle name="20% - Accent4 3 2 5 4" xfId="18867" xr:uid="{794B8C75-D2C0-48EB-A25A-8060DB37544A}"/>
    <cellStyle name="20% - Accent4 3 2 5 5" xfId="10419" xr:uid="{B0E8A526-0626-416D-873D-B95D5DF4D5C8}"/>
    <cellStyle name="20% - Accent4 3 2 6" xfId="2294" xr:uid="{00000000-0005-0000-0000-000044020000}"/>
    <cellStyle name="20% - Accent4 3 2 6 2" xfId="6600" xr:uid="{00000000-0005-0000-0000-000045020000}"/>
    <cellStyle name="20% - Accent4 3 2 6 2 2" xfId="23498" xr:uid="{B888734D-4321-4DAA-907C-73E50BAF181D}"/>
    <cellStyle name="20% - Accent4 3 2 6 2 3" xfId="15050" xr:uid="{AC01B9EF-2DCE-4BE8-8252-7C2B0EE4AC00}"/>
    <cellStyle name="20% - Accent4 3 2 6 3" xfId="19280" xr:uid="{C64914AB-8A3C-4F20-A78B-296BEFF908BA}"/>
    <cellStyle name="20% - Accent4 3 2 6 4" xfId="10832" xr:uid="{C9EB1EA0-FE3A-406B-AC64-F323B112325B}"/>
    <cellStyle name="20% - Accent4 3 2 7" xfId="4534" xr:uid="{00000000-0005-0000-0000-000046020000}"/>
    <cellStyle name="20% - Accent4 3 2 7 2" xfId="21432" xr:uid="{B6744BE6-5206-43D8-9EFA-251992072D1B}"/>
    <cellStyle name="20% - Accent4 3 2 7 3" xfId="12984" xr:uid="{F384B6E7-A583-41E9-AD25-BA75BC3853BE}"/>
    <cellStyle name="20% - Accent4 3 2 8" xfId="17214" xr:uid="{81F218B6-5843-4920-BC2E-97C60AE800FA}"/>
    <cellStyle name="20% - Accent4 3 2 9" xfId="8766" xr:uid="{DB89EB82-84CC-46D8-95B7-1745A3207498}"/>
    <cellStyle name="20% - Accent4 3 3" xfId="599" xr:uid="{00000000-0005-0000-0000-000047020000}"/>
    <cellStyle name="20% - Accent4 3 3 2" xfId="2870" xr:uid="{00000000-0005-0000-0000-000048020000}"/>
    <cellStyle name="20% - Accent4 3 3 2 2" xfId="7092" xr:uid="{00000000-0005-0000-0000-000049020000}"/>
    <cellStyle name="20% - Accent4 3 3 2 2 2" xfId="23990" xr:uid="{4B94CCEB-9F4F-4DEC-8F83-5E7E212E1297}"/>
    <cellStyle name="20% - Accent4 3 3 2 2 3" xfId="15542" xr:uid="{3077E3DB-D412-41A9-921E-D8C9708EEB15}"/>
    <cellStyle name="20% - Accent4 3 3 2 3" xfId="19772" xr:uid="{8F5F31EA-89E3-48FE-B2E0-BA9373C05BBA}"/>
    <cellStyle name="20% - Accent4 3 3 2 4" xfId="11324" xr:uid="{909B97D1-7970-4685-ADF3-28E7C19AA1B2}"/>
    <cellStyle name="20% - Accent4 3 3 3" xfId="4947" xr:uid="{00000000-0005-0000-0000-00004A020000}"/>
    <cellStyle name="20% - Accent4 3 3 3 2" xfId="21845" xr:uid="{A452F987-148F-48EE-833E-FFFF8035900E}"/>
    <cellStyle name="20% - Accent4 3 3 3 3" xfId="13397" xr:uid="{F55E8215-90B2-467F-8B38-96775E2C2CCA}"/>
    <cellStyle name="20% - Accent4 3 3 4" xfId="17627" xr:uid="{89C5B9BB-4DFD-4BEB-8B3C-A8B5FB86C8B2}"/>
    <cellStyle name="20% - Accent4 3 3 5" xfId="9179" xr:uid="{B6B9999E-0FDD-4529-809A-D4F643354AAB}"/>
    <cellStyle name="20% - Accent4 3 4" xfId="1052" xr:uid="{00000000-0005-0000-0000-00004B020000}"/>
    <cellStyle name="20% - Accent4 3 4 2" xfId="3283" xr:uid="{00000000-0005-0000-0000-00004C020000}"/>
    <cellStyle name="20% - Accent4 3 4 2 2" xfId="7505" xr:uid="{00000000-0005-0000-0000-00004D020000}"/>
    <cellStyle name="20% - Accent4 3 4 2 2 2" xfId="24403" xr:uid="{FEC6610D-C92E-42B5-9F6F-30B2E5C3ECA0}"/>
    <cellStyle name="20% - Accent4 3 4 2 2 3" xfId="15955" xr:uid="{94984914-4C44-41B9-9844-2EE257ECD255}"/>
    <cellStyle name="20% - Accent4 3 4 2 3" xfId="20185" xr:uid="{EEB7A3DC-6079-4E39-9F3A-D81F7E72FAE4}"/>
    <cellStyle name="20% - Accent4 3 4 2 4" xfId="11737" xr:uid="{33436C5E-FBF1-467C-8BBC-3C97C9FA3C07}"/>
    <cellStyle name="20% - Accent4 3 4 3" xfId="5360" xr:uid="{00000000-0005-0000-0000-00004E020000}"/>
    <cellStyle name="20% - Accent4 3 4 3 2" xfId="22258" xr:uid="{0CD5F434-1090-47CE-BE8C-4C5A9117FECB}"/>
    <cellStyle name="20% - Accent4 3 4 3 3" xfId="13810" xr:uid="{CFFC9CA6-2DA5-4606-AFAA-E62E0BA13FA1}"/>
    <cellStyle name="20% - Accent4 3 4 4" xfId="18040" xr:uid="{47A6D5FB-32AD-44AC-B0FC-E68D6D1D925B}"/>
    <cellStyle name="20% - Accent4 3 4 5" xfId="9592" xr:uid="{BE8B7186-6EFF-488E-A2F3-3021EA98DE7C}"/>
    <cellStyle name="20% - Accent4 3 5" xfId="1466" xr:uid="{00000000-0005-0000-0000-00004F020000}"/>
    <cellStyle name="20% - Accent4 3 5 2" xfId="3696" xr:uid="{00000000-0005-0000-0000-000050020000}"/>
    <cellStyle name="20% - Accent4 3 5 2 2" xfId="7918" xr:uid="{00000000-0005-0000-0000-000051020000}"/>
    <cellStyle name="20% - Accent4 3 5 2 2 2" xfId="24816" xr:uid="{65325EC1-5C02-4D57-A998-3E83000E36EC}"/>
    <cellStyle name="20% - Accent4 3 5 2 2 3" xfId="16368" xr:uid="{23415765-21F2-454A-A6FD-572EA9D7ED44}"/>
    <cellStyle name="20% - Accent4 3 5 2 3" xfId="20598" xr:uid="{7C012F23-11CB-444F-A84F-63ED75C284A3}"/>
    <cellStyle name="20% - Accent4 3 5 2 4" xfId="12150" xr:uid="{2137181C-66F2-47AA-8C40-1D13921AA5A5}"/>
    <cellStyle name="20% - Accent4 3 5 3" xfId="5773" xr:uid="{00000000-0005-0000-0000-000052020000}"/>
    <cellStyle name="20% - Accent4 3 5 3 2" xfId="22671" xr:uid="{3D26182D-EDF9-420F-BD38-18EECC38C203}"/>
    <cellStyle name="20% - Accent4 3 5 3 3" xfId="14223" xr:uid="{5B764C4C-2DA7-4DD2-80E9-2090F5E3654D}"/>
    <cellStyle name="20% - Accent4 3 5 4" xfId="18453" xr:uid="{29175084-7427-460E-9E64-F502AE822E83}"/>
    <cellStyle name="20% - Accent4 3 5 5" xfId="10005" xr:uid="{7FDE4256-B38E-4E4D-9A83-A80560480851}"/>
    <cellStyle name="20% - Accent4 3 6" xfId="1880" xr:uid="{00000000-0005-0000-0000-000053020000}"/>
    <cellStyle name="20% - Accent4 3 6 2" xfId="4109" xr:uid="{00000000-0005-0000-0000-000054020000}"/>
    <cellStyle name="20% - Accent4 3 6 2 2" xfId="8331" xr:uid="{00000000-0005-0000-0000-000055020000}"/>
    <cellStyle name="20% - Accent4 3 6 2 2 2" xfId="25229" xr:uid="{36A1B0C4-F145-4B5D-B3F5-91A49D111228}"/>
    <cellStyle name="20% - Accent4 3 6 2 2 3" xfId="16781" xr:uid="{10AADD6C-ECB1-4792-870B-C89A7E201E25}"/>
    <cellStyle name="20% - Accent4 3 6 2 3" xfId="21011" xr:uid="{C918179A-FCB3-4A51-970A-97ACC1854F6F}"/>
    <cellStyle name="20% - Accent4 3 6 2 4" xfId="12563" xr:uid="{F496D79C-47C4-4B64-ADC3-918493DFAA8D}"/>
    <cellStyle name="20% - Accent4 3 6 3" xfId="6186" xr:uid="{00000000-0005-0000-0000-000056020000}"/>
    <cellStyle name="20% - Accent4 3 6 3 2" xfId="23084" xr:uid="{05815942-01B3-49AF-A830-1D1955E8751E}"/>
    <cellStyle name="20% - Accent4 3 6 3 3" xfId="14636" xr:uid="{E4FDF898-A622-41C1-ADD4-9FFB89B75AA8}"/>
    <cellStyle name="20% - Accent4 3 6 4" xfId="18866" xr:uid="{27C8B015-D65D-481E-844E-386CCAC8A248}"/>
    <cellStyle name="20% - Accent4 3 6 5" xfId="10418" xr:uid="{4A554A7E-2D3E-43AF-9060-F6F7A39768D0}"/>
    <cellStyle name="20% - Accent4 3 7" xfId="2293" xr:uid="{00000000-0005-0000-0000-000057020000}"/>
    <cellStyle name="20% - Accent4 3 7 2" xfId="6599" xr:uid="{00000000-0005-0000-0000-000058020000}"/>
    <cellStyle name="20% - Accent4 3 7 2 2" xfId="23497" xr:uid="{1119506C-F210-48BD-9A31-737DFB903195}"/>
    <cellStyle name="20% - Accent4 3 7 2 3" xfId="15049" xr:uid="{BBDACBA8-78C0-4A10-A0A7-6105A63B984B}"/>
    <cellStyle name="20% - Accent4 3 7 3" xfId="19279" xr:uid="{41D9972E-A322-4794-B9A4-EAC9E5AE8D21}"/>
    <cellStyle name="20% - Accent4 3 7 4" xfId="10831" xr:uid="{C2E0C0E2-50C2-4201-91C9-644B8942451A}"/>
    <cellStyle name="20% - Accent4 3 8" xfId="4533" xr:uid="{00000000-0005-0000-0000-000059020000}"/>
    <cellStyle name="20% - Accent4 3 8 2" xfId="21431" xr:uid="{DEE6D8DE-25DB-4E1B-A768-ADBEF8C19E35}"/>
    <cellStyle name="20% - Accent4 3 8 3" xfId="12983" xr:uid="{E2E6BA63-AE04-4B31-ABD2-7D5307E69FFE}"/>
    <cellStyle name="20% - Accent4 3 9" xfId="17213" xr:uid="{85A9310B-7F52-47CA-A660-36D9B0A9AA24}"/>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2 2 2" xfId="23992" xr:uid="{18DB87AC-BCC9-4DFE-855A-A22FD0853186}"/>
    <cellStyle name="20% - Accent4 4 2 2 2 3" xfId="15544" xr:uid="{B6C2A9CC-9B8B-4B1D-9AAF-B982EA27453D}"/>
    <cellStyle name="20% - Accent4 4 2 2 3" xfId="19774" xr:uid="{51CE0054-72E9-4A38-A058-BBA93DCD8760}"/>
    <cellStyle name="20% - Accent4 4 2 2 4" xfId="11326" xr:uid="{A96606CB-847A-4CD3-A3E2-C4D48AB548B0}"/>
    <cellStyle name="20% - Accent4 4 2 3" xfId="4949" xr:uid="{00000000-0005-0000-0000-00005E020000}"/>
    <cellStyle name="20% - Accent4 4 2 3 2" xfId="21847" xr:uid="{D1380E39-2097-4218-B00A-0636B868F40D}"/>
    <cellStyle name="20% - Accent4 4 2 3 3" xfId="13399" xr:uid="{597E6C61-119E-49E8-95D9-9DEF03584F78}"/>
    <cellStyle name="20% - Accent4 4 2 4" xfId="17629" xr:uid="{CBB0F523-AC87-41DC-BF9F-5939A566BC1F}"/>
    <cellStyle name="20% - Accent4 4 2 5" xfId="9181" xr:uid="{7A2B13AF-D295-41DB-8FF0-C67FFB3FB30E}"/>
    <cellStyle name="20% - Accent4 4 3" xfId="1054" xr:uid="{00000000-0005-0000-0000-00005F020000}"/>
    <cellStyle name="20% - Accent4 4 3 2" xfId="3285" xr:uid="{00000000-0005-0000-0000-000060020000}"/>
    <cellStyle name="20% - Accent4 4 3 2 2" xfId="7507" xr:uid="{00000000-0005-0000-0000-000061020000}"/>
    <cellStyle name="20% - Accent4 4 3 2 2 2" xfId="24405" xr:uid="{51C1C0E1-30A6-4081-8D15-B8635F683C84}"/>
    <cellStyle name="20% - Accent4 4 3 2 2 3" xfId="15957" xr:uid="{3BE85BC5-106F-4810-85A4-A25795A345F0}"/>
    <cellStyle name="20% - Accent4 4 3 2 3" xfId="20187" xr:uid="{855FEBF9-D90D-4666-ACA6-4B278C83E04E}"/>
    <cellStyle name="20% - Accent4 4 3 2 4" xfId="11739" xr:uid="{42B377E3-E019-4A20-AD68-72EBD5D73F15}"/>
    <cellStyle name="20% - Accent4 4 3 3" xfId="5362" xr:uid="{00000000-0005-0000-0000-000062020000}"/>
    <cellStyle name="20% - Accent4 4 3 3 2" xfId="22260" xr:uid="{CF7DC28D-B739-4934-8BCE-2DAFBE7C8CBD}"/>
    <cellStyle name="20% - Accent4 4 3 3 3" xfId="13812" xr:uid="{6DA18E75-B65F-4AC2-BF5D-6D7CA1F185BC}"/>
    <cellStyle name="20% - Accent4 4 3 4" xfId="18042" xr:uid="{74CEBA6F-12D2-482B-BCFA-DEDC67E6D9A4}"/>
    <cellStyle name="20% - Accent4 4 3 5" xfId="9594" xr:uid="{71E2D16D-6DB9-4FAC-AE54-3FCC2FCBFAB1}"/>
    <cellStyle name="20% - Accent4 4 4" xfId="1468" xr:uid="{00000000-0005-0000-0000-000063020000}"/>
    <cellStyle name="20% - Accent4 4 4 2" xfId="3698" xr:uid="{00000000-0005-0000-0000-000064020000}"/>
    <cellStyle name="20% - Accent4 4 4 2 2" xfId="7920" xr:uid="{00000000-0005-0000-0000-000065020000}"/>
    <cellStyle name="20% - Accent4 4 4 2 2 2" xfId="24818" xr:uid="{0AF68847-6DAF-4265-A15C-D75DC2E47974}"/>
    <cellStyle name="20% - Accent4 4 4 2 2 3" xfId="16370" xr:uid="{A122E520-4DD8-4EB5-A9DA-C49CC0D2C237}"/>
    <cellStyle name="20% - Accent4 4 4 2 3" xfId="20600" xr:uid="{C2BEB12A-886C-4D18-8044-585AD5CF90BC}"/>
    <cellStyle name="20% - Accent4 4 4 2 4" xfId="12152" xr:uid="{866F12ED-C4BD-4C53-851D-94F718A8257D}"/>
    <cellStyle name="20% - Accent4 4 4 3" xfId="5775" xr:uid="{00000000-0005-0000-0000-000066020000}"/>
    <cellStyle name="20% - Accent4 4 4 3 2" xfId="22673" xr:uid="{991FFA9F-551B-4E5A-8E16-57C63BFB0F3C}"/>
    <cellStyle name="20% - Accent4 4 4 3 3" xfId="14225" xr:uid="{9E35FA1E-666A-47A5-8D19-EB06D9AB5BEA}"/>
    <cellStyle name="20% - Accent4 4 4 4" xfId="18455" xr:uid="{97DBFE47-1C14-4D85-AF10-13178D5FEFA0}"/>
    <cellStyle name="20% - Accent4 4 4 5" xfId="10007" xr:uid="{9E8C392F-E957-46A3-874D-4664D74E1313}"/>
    <cellStyle name="20% - Accent4 4 5" xfId="1882" xr:uid="{00000000-0005-0000-0000-000067020000}"/>
    <cellStyle name="20% - Accent4 4 5 2" xfId="4111" xr:uid="{00000000-0005-0000-0000-000068020000}"/>
    <cellStyle name="20% - Accent4 4 5 2 2" xfId="8333" xr:uid="{00000000-0005-0000-0000-000069020000}"/>
    <cellStyle name="20% - Accent4 4 5 2 2 2" xfId="25231" xr:uid="{2B80576B-E57A-44DE-8A13-D271DD333022}"/>
    <cellStyle name="20% - Accent4 4 5 2 2 3" xfId="16783" xr:uid="{4551C3B0-6DED-4FE7-AB72-013C5FFFAB4B}"/>
    <cellStyle name="20% - Accent4 4 5 2 3" xfId="21013" xr:uid="{AE9D1799-05BE-4831-9593-E662AC4697F0}"/>
    <cellStyle name="20% - Accent4 4 5 2 4" xfId="12565" xr:uid="{1ABBDAFA-0F90-4A73-BB86-0E60B1261DA3}"/>
    <cellStyle name="20% - Accent4 4 5 3" xfId="6188" xr:uid="{00000000-0005-0000-0000-00006A020000}"/>
    <cellStyle name="20% - Accent4 4 5 3 2" xfId="23086" xr:uid="{689B828F-9D39-4E0D-9E56-0D1164C1599B}"/>
    <cellStyle name="20% - Accent4 4 5 3 3" xfId="14638" xr:uid="{D068390F-7338-4BF7-9D93-6666B8207AA0}"/>
    <cellStyle name="20% - Accent4 4 5 4" xfId="18868" xr:uid="{5B7A6A71-155E-4789-BC61-81CE233EE149}"/>
    <cellStyle name="20% - Accent4 4 5 5" xfId="10420" xr:uid="{4F1C82A3-E4EF-466A-B0B0-329B501BA926}"/>
    <cellStyle name="20% - Accent4 4 6" xfId="2295" xr:uid="{00000000-0005-0000-0000-00006B020000}"/>
    <cellStyle name="20% - Accent4 4 6 2" xfId="6601" xr:uid="{00000000-0005-0000-0000-00006C020000}"/>
    <cellStyle name="20% - Accent4 4 6 2 2" xfId="23499" xr:uid="{14231001-2E14-456C-B9DC-F7CDFC42DB7F}"/>
    <cellStyle name="20% - Accent4 4 6 2 3" xfId="15051" xr:uid="{881B801A-F107-433B-9E9C-7E0F2D76601B}"/>
    <cellStyle name="20% - Accent4 4 6 3" xfId="19281" xr:uid="{65D9B5EB-4B6D-41B5-8F57-EC0E3A92B674}"/>
    <cellStyle name="20% - Accent4 4 6 4" xfId="10833" xr:uid="{F1491F20-70C4-4FD4-8D35-BB014FA67A6E}"/>
    <cellStyle name="20% - Accent4 4 7" xfId="4535" xr:uid="{00000000-0005-0000-0000-00006D020000}"/>
    <cellStyle name="20% - Accent4 4 7 2" xfId="21433" xr:uid="{7BD00A96-E87A-4D78-A072-23975EECE941}"/>
    <cellStyle name="20% - Accent4 4 7 3" xfId="12985" xr:uid="{148B7EFB-7175-4118-BFF9-022EB977D43F}"/>
    <cellStyle name="20% - Accent4 4 8" xfId="17215" xr:uid="{6B80ECF2-EC68-432A-9DC0-EADCEDBD7A46}"/>
    <cellStyle name="20% - Accent4 4 9" xfId="8767" xr:uid="{6ED24C4A-399E-4702-8DBB-D99899EF1FF5}"/>
    <cellStyle name="20% - Accent4 5" xfId="594" xr:uid="{00000000-0005-0000-0000-00006E020000}"/>
    <cellStyle name="20% - Accent4 5 2" xfId="2865" xr:uid="{00000000-0005-0000-0000-00006F020000}"/>
    <cellStyle name="20% - Accent4 5 2 2" xfId="7087" xr:uid="{00000000-0005-0000-0000-000070020000}"/>
    <cellStyle name="20% - Accent4 5 2 2 2" xfId="23985" xr:uid="{747C4C96-D665-4D7B-843E-5456E4E3246D}"/>
    <cellStyle name="20% - Accent4 5 2 2 3" xfId="15537" xr:uid="{0ED285DE-059B-4217-A979-46FF719D56E2}"/>
    <cellStyle name="20% - Accent4 5 2 3" xfId="19767" xr:uid="{48060637-9B37-4938-BAF9-F615246AD6FD}"/>
    <cellStyle name="20% - Accent4 5 2 4" xfId="11319" xr:uid="{C50AF85D-2559-4806-8B57-0432843CBAB5}"/>
    <cellStyle name="20% - Accent4 5 3" xfId="4942" xr:uid="{00000000-0005-0000-0000-000071020000}"/>
    <cellStyle name="20% - Accent4 5 3 2" xfId="21840" xr:uid="{8F72A465-932A-499B-9EAE-80E4127D97F9}"/>
    <cellStyle name="20% - Accent4 5 3 3" xfId="13392" xr:uid="{CC2035FE-33B2-4477-9DFD-72D6D1A9F84D}"/>
    <cellStyle name="20% - Accent4 5 4" xfId="17622" xr:uid="{F5FE6FE6-0A11-425C-B16D-EA7D408D5A8E}"/>
    <cellStyle name="20% - Accent4 5 5" xfId="9174" xr:uid="{2A1F423D-1A69-4637-8DE7-F01C0A797949}"/>
    <cellStyle name="20% - Accent4 6" xfId="1047" xr:uid="{00000000-0005-0000-0000-000072020000}"/>
    <cellStyle name="20% - Accent4 6 2" xfId="3278" xr:uid="{00000000-0005-0000-0000-000073020000}"/>
    <cellStyle name="20% - Accent4 6 2 2" xfId="7500" xr:uid="{00000000-0005-0000-0000-000074020000}"/>
    <cellStyle name="20% - Accent4 6 2 2 2" xfId="24398" xr:uid="{E9808B5D-4472-47E3-90AC-FC6810F67418}"/>
    <cellStyle name="20% - Accent4 6 2 2 3" xfId="15950" xr:uid="{E9583733-C4B4-4FDF-B5A7-EA62A03585A9}"/>
    <cellStyle name="20% - Accent4 6 2 3" xfId="20180" xr:uid="{4007EA78-69B8-4B98-83AE-2FE75DE26300}"/>
    <cellStyle name="20% - Accent4 6 2 4" xfId="11732" xr:uid="{8B90A489-11BC-439D-92DA-3F3F75CF7B07}"/>
    <cellStyle name="20% - Accent4 6 3" xfId="5355" xr:uid="{00000000-0005-0000-0000-000075020000}"/>
    <cellStyle name="20% - Accent4 6 3 2" xfId="22253" xr:uid="{AC2568B1-7DFC-49B2-B1C0-EAD45C4ECA29}"/>
    <cellStyle name="20% - Accent4 6 3 3" xfId="13805" xr:uid="{2C522993-5F53-4E52-AE66-9FE43A1748C6}"/>
    <cellStyle name="20% - Accent4 6 4" xfId="18035" xr:uid="{FAE83EBD-0407-44E7-9FA3-424FCFA5E284}"/>
    <cellStyle name="20% - Accent4 6 5" xfId="9587" xr:uid="{0BFF3C48-AC03-49F8-9927-77FB7BE32ABA}"/>
    <cellStyle name="20% - Accent4 7" xfId="1461" xr:uid="{00000000-0005-0000-0000-000076020000}"/>
    <cellStyle name="20% - Accent4 7 2" xfId="3691" xr:uid="{00000000-0005-0000-0000-000077020000}"/>
    <cellStyle name="20% - Accent4 7 2 2" xfId="7913" xr:uid="{00000000-0005-0000-0000-000078020000}"/>
    <cellStyle name="20% - Accent4 7 2 2 2" xfId="24811" xr:uid="{965DF279-0BA4-483C-BD33-4BB6E2EA62F5}"/>
    <cellStyle name="20% - Accent4 7 2 2 3" xfId="16363" xr:uid="{B1647A55-DECD-4BBF-A5B3-04ED506CB33C}"/>
    <cellStyle name="20% - Accent4 7 2 3" xfId="20593" xr:uid="{493639CB-DDEF-45B7-80AF-4EB5AFE09827}"/>
    <cellStyle name="20% - Accent4 7 2 4" xfId="12145" xr:uid="{835F14B1-B011-488F-AAD3-F60730BF7CFE}"/>
    <cellStyle name="20% - Accent4 7 3" xfId="5768" xr:uid="{00000000-0005-0000-0000-000079020000}"/>
    <cellStyle name="20% - Accent4 7 3 2" xfId="22666" xr:uid="{24D6010E-8DA5-4810-8069-CF4298C497F7}"/>
    <cellStyle name="20% - Accent4 7 3 3" xfId="14218" xr:uid="{C71CDAB3-D492-4814-8A39-391CCC57197E}"/>
    <cellStyle name="20% - Accent4 7 4" xfId="18448" xr:uid="{1E625416-FBAA-4FA5-AE78-59C18EED2176}"/>
    <cellStyle name="20% - Accent4 7 5" xfId="10000" xr:uid="{07507267-2E32-4F68-8404-AA1F17BD6459}"/>
    <cellStyle name="20% - Accent4 8" xfId="1875" xr:uid="{00000000-0005-0000-0000-00007A020000}"/>
    <cellStyle name="20% - Accent4 8 2" xfId="4104" xr:uid="{00000000-0005-0000-0000-00007B020000}"/>
    <cellStyle name="20% - Accent4 8 2 2" xfId="8326" xr:uid="{00000000-0005-0000-0000-00007C020000}"/>
    <cellStyle name="20% - Accent4 8 2 2 2" xfId="25224" xr:uid="{44823A73-9A87-4D39-AD25-B97164095FF5}"/>
    <cellStyle name="20% - Accent4 8 2 2 3" xfId="16776" xr:uid="{3D6AA830-DEA1-464B-AA9F-A42E49682A0A}"/>
    <cellStyle name="20% - Accent4 8 2 3" xfId="21006" xr:uid="{667D1C62-DE5D-46EB-8B33-2D792ED20E6A}"/>
    <cellStyle name="20% - Accent4 8 2 4" xfId="12558" xr:uid="{95EB2154-05D0-4619-B6C8-82CBBE5377D4}"/>
    <cellStyle name="20% - Accent4 8 3" xfId="6181" xr:uid="{00000000-0005-0000-0000-00007D020000}"/>
    <cellStyle name="20% - Accent4 8 3 2" xfId="23079" xr:uid="{758F49E9-EE6E-444C-A788-F74880EFC746}"/>
    <cellStyle name="20% - Accent4 8 3 3" xfId="14631" xr:uid="{BCA8A655-A3DC-46D9-81F8-781E80C076DE}"/>
    <cellStyle name="20% - Accent4 8 4" xfId="18861" xr:uid="{A3717391-0AD5-4334-842A-EF2D8AF454C5}"/>
    <cellStyle name="20% - Accent4 8 5" xfId="10413" xr:uid="{AD410ABD-375E-4F12-B2BD-54AAFEF983FE}"/>
    <cellStyle name="20% - Accent4 9" xfId="2288" xr:uid="{00000000-0005-0000-0000-00007E020000}"/>
    <cellStyle name="20% - Accent4 9 2" xfId="6594" xr:uid="{00000000-0005-0000-0000-00007F020000}"/>
    <cellStyle name="20% - Accent4 9 2 2" xfId="23492" xr:uid="{5533C913-7A24-402C-B1D9-7B635D8302DD}"/>
    <cellStyle name="20% - Accent4 9 2 3" xfId="15044" xr:uid="{85D55047-A67A-4D5A-AFB5-EFC60B19175D}"/>
    <cellStyle name="20% - Accent4 9 3" xfId="19274" xr:uid="{043D77FF-5C22-415B-BEEB-3D721354BF63}"/>
    <cellStyle name="20% - Accent4 9 4" xfId="10826" xr:uid="{B541FA88-04FE-4922-B5F5-8B8B4484884C}"/>
    <cellStyle name="20% - Accent5" xfId="33" builtinId="46" customBuiltin="1"/>
    <cellStyle name="20% - Accent5 10" xfId="4536" xr:uid="{00000000-0005-0000-0000-000081020000}"/>
    <cellStyle name="20% - Accent5 10 2" xfId="21434" xr:uid="{924203D9-A3AE-4FA8-9E7E-36BF7D104C83}"/>
    <cellStyle name="20% - Accent5 10 3" xfId="12986" xr:uid="{D9E36C7D-E715-44BA-9323-F773C69EBD9E}"/>
    <cellStyle name="20% - Accent5 11" xfId="17216" xr:uid="{C956A1F6-F0DD-4CFC-AEB4-27307A02C224}"/>
    <cellStyle name="20% - Accent5 12" xfId="8768" xr:uid="{7EDAE180-E923-4DFB-B4A2-813B1D2691A9}"/>
    <cellStyle name="20% - Accent5 2" xfId="34" xr:uid="{00000000-0005-0000-0000-000082020000}"/>
    <cellStyle name="20% - Accent5 2 10" xfId="17217" xr:uid="{91E1F675-EB99-4CA7-97C8-820CA1472C32}"/>
    <cellStyle name="20% - Accent5 2 11" xfId="8769" xr:uid="{EFA5C198-B5B2-441E-AFBF-71A51099CAD4}"/>
    <cellStyle name="20% - Accent5 2 2" xfId="35" xr:uid="{00000000-0005-0000-0000-000083020000}"/>
    <cellStyle name="20% - Accent5 2 2 10" xfId="8770" xr:uid="{AA24B94A-C886-4751-B366-D2F881CBC697}"/>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23996" xr:uid="{8C0EE48C-8BAC-4718-A962-37DB82CFF2B6}"/>
    <cellStyle name="20% - Accent5 2 2 2 2 2 2 3" xfId="15548" xr:uid="{2D48A944-F14E-478D-8424-CDD5040DF4BA}"/>
    <cellStyle name="20% - Accent5 2 2 2 2 2 3" xfId="19778" xr:uid="{68189E37-2B84-472F-829A-ECB035B28A99}"/>
    <cellStyle name="20% - Accent5 2 2 2 2 2 4" xfId="11330" xr:uid="{254234FC-97E5-4585-970B-2A28406614E9}"/>
    <cellStyle name="20% - Accent5 2 2 2 2 3" xfId="4953" xr:uid="{00000000-0005-0000-0000-000088020000}"/>
    <cellStyle name="20% - Accent5 2 2 2 2 3 2" xfId="21851" xr:uid="{D9802F2C-A58D-40C5-BE90-E434A3B99B85}"/>
    <cellStyle name="20% - Accent5 2 2 2 2 3 3" xfId="13403" xr:uid="{7241988B-A699-44DC-BC34-AEF2523C12B2}"/>
    <cellStyle name="20% - Accent5 2 2 2 2 4" xfId="17633" xr:uid="{53D5AAF1-C75C-4258-BDDB-9EFFE3A48FDF}"/>
    <cellStyle name="20% - Accent5 2 2 2 2 5" xfId="9185" xr:uid="{1F2A0209-4889-4AAB-9116-2790AAFC2F65}"/>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24409" xr:uid="{60A29C2B-42FF-4F6B-BF33-6823819706A9}"/>
    <cellStyle name="20% - Accent5 2 2 2 3 2 2 3" xfId="15961" xr:uid="{052B58F9-AB30-4C7B-A8F5-432783F51658}"/>
    <cellStyle name="20% - Accent5 2 2 2 3 2 3" xfId="20191" xr:uid="{42BE6867-72BF-48B5-9A22-0F4D90477542}"/>
    <cellStyle name="20% - Accent5 2 2 2 3 2 4" xfId="11743" xr:uid="{89AC9AA8-B34C-46A1-90E6-787C00328E80}"/>
    <cellStyle name="20% - Accent5 2 2 2 3 3" xfId="5366" xr:uid="{00000000-0005-0000-0000-00008C020000}"/>
    <cellStyle name="20% - Accent5 2 2 2 3 3 2" xfId="22264" xr:uid="{DEC0B48F-DDDF-44F1-A119-1AD25DCAAE7A}"/>
    <cellStyle name="20% - Accent5 2 2 2 3 3 3" xfId="13816" xr:uid="{2B3708F7-23BD-4E5A-AF21-F236C6052529}"/>
    <cellStyle name="20% - Accent5 2 2 2 3 4" xfId="18046" xr:uid="{44C164C5-6C36-4BCF-AD9C-DD15B29EC536}"/>
    <cellStyle name="20% - Accent5 2 2 2 3 5" xfId="9598" xr:uid="{FABF537D-D510-4CB6-8152-1885267A5E73}"/>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24822" xr:uid="{002CDE9C-E704-482E-80AD-038880F12B09}"/>
    <cellStyle name="20% - Accent5 2 2 2 4 2 2 3" xfId="16374" xr:uid="{59FDF10A-69B4-4CB1-BF02-848C1D22E8A4}"/>
    <cellStyle name="20% - Accent5 2 2 2 4 2 3" xfId="20604" xr:uid="{7B1B77D6-9104-45EB-A458-909DE6EB5133}"/>
    <cellStyle name="20% - Accent5 2 2 2 4 2 4" xfId="12156" xr:uid="{5F2EC28C-FE22-49AC-99BB-E6E69AAD4175}"/>
    <cellStyle name="20% - Accent5 2 2 2 4 3" xfId="5779" xr:uid="{00000000-0005-0000-0000-000090020000}"/>
    <cellStyle name="20% - Accent5 2 2 2 4 3 2" xfId="22677" xr:uid="{7A802D08-18B9-44E8-903A-C6A9FD8711C4}"/>
    <cellStyle name="20% - Accent5 2 2 2 4 3 3" xfId="14229" xr:uid="{5650C842-39A4-4034-9499-F3AE8DA8FA7C}"/>
    <cellStyle name="20% - Accent5 2 2 2 4 4" xfId="18459" xr:uid="{A822722C-2AD6-4D6B-B93B-0B9035853BC9}"/>
    <cellStyle name="20% - Accent5 2 2 2 4 5" xfId="10011" xr:uid="{F3DF4257-5FBA-4E67-A2D0-7FC0631D1283}"/>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25235" xr:uid="{95680A86-A0BC-429C-8C77-C648B101500A}"/>
    <cellStyle name="20% - Accent5 2 2 2 5 2 2 3" xfId="16787" xr:uid="{EB4CE017-243D-40E6-865A-0841076609FF}"/>
    <cellStyle name="20% - Accent5 2 2 2 5 2 3" xfId="21017" xr:uid="{6BBF2298-4300-45EA-AE41-034BB0AE8AC3}"/>
    <cellStyle name="20% - Accent5 2 2 2 5 2 4" xfId="12569" xr:uid="{F427DFFC-BA4F-40C5-BB01-04C2EA761E86}"/>
    <cellStyle name="20% - Accent5 2 2 2 5 3" xfId="6192" xr:uid="{00000000-0005-0000-0000-000094020000}"/>
    <cellStyle name="20% - Accent5 2 2 2 5 3 2" xfId="23090" xr:uid="{74371B73-2B05-4C47-86A2-EFC528E838DA}"/>
    <cellStyle name="20% - Accent5 2 2 2 5 3 3" xfId="14642" xr:uid="{406FB5A2-F4E0-4D28-92DA-C5C349B6223E}"/>
    <cellStyle name="20% - Accent5 2 2 2 5 4" xfId="18872" xr:uid="{96F2E271-637C-4F63-82C1-36B17507FDB9}"/>
    <cellStyle name="20% - Accent5 2 2 2 5 5" xfId="10424" xr:uid="{63052503-7048-43E7-89D2-39F3F09924F2}"/>
    <cellStyle name="20% - Accent5 2 2 2 6" xfId="2299" xr:uid="{00000000-0005-0000-0000-000095020000}"/>
    <cellStyle name="20% - Accent5 2 2 2 6 2" xfId="6605" xr:uid="{00000000-0005-0000-0000-000096020000}"/>
    <cellStyle name="20% - Accent5 2 2 2 6 2 2" xfId="23503" xr:uid="{0282EAA3-2A1A-4018-A346-AA1D24BCC947}"/>
    <cellStyle name="20% - Accent5 2 2 2 6 2 3" xfId="15055" xr:uid="{07C1849B-60EB-4D68-95F0-4F81C885AAF2}"/>
    <cellStyle name="20% - Accent5 2 2 2 6 3" xfId="19285" xr:uid="{5940F2D4-96B0-48D9-86B5-04E03E4CA8D9}"/>
    <cellStyle name="20% - Accent5 2 2 2 6 4" xfId="10837" xr:uid="{21CF335D-B57E-405F-AC6B-341F1FFB0947}"/>
    <cellStyle name="20% - Accent5 2 2 2 7" xfId="4539" xr:uid="{00000000-0005-0000-0000-000097020000}"/>
    <cellStyle name="20% - Accent5 2 2 2 7 2" xfId="21437" xr:uid="{DD20C572-6122-4CA3-AD4F-5F63D1A1AFF4}"/>
    <cellStyle name="20% - Accent5 2 2 2 7 3" xfId="12989" xr:uid="{BB6D0296-C2FE-4E8E-A174-09CEC5C7F525}"/>
    <cellStyle name="20% - Accent5 2 2 2 8" xfId="17219" xr:uid="{BA4A6B45-5F6F-4DC9-B444-CD28F9221783}"/>
    <cellStyle name="20% - Accent5 2 2 2 9" xfId="8771" xr:uid="{C3FC098A-ABE0-4847-9977-56740D8C8602}"/>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23995" xr:uid="{AF55ACF1-3EC8-4ED5-B3A9-0BE7F18059CB}"/>
    <cellStyle name="20% - Accent5 2 2 3 2 2 3" xfId="15547" xr:uid="{12DD4E1F-8338-4B2E-9DAA-A2A424F5C58F}"/>
    <cellStyle name="20% - Accent5 2 2 3 2 3" xfId="19777" xr:uid="{14045258-27D8-48EE-8E19-E911F554CAF8}"/>
    <cellStyle name="20% - Accent5 2 2 3 2 4" xfId="11329" xr:uid="{A692044B-5B72-4844-AE74-F40241F11FD1}"/>
    <cellStyle name="20% - Accent5 2 2 3 3" xfId="4952" xr:uid="{00000000-0005-0000-0000-00009B020000}"/>
    <cellStyle name="20% - Accent5 2 2 3 3 2" xfId="21850" xr:uid="{5DC1343A-E7E6-45D8-BFD8-39CC2B9871B4}"/>
    <cellStyle name="20% - Accent5 2 2 3 3 3" xfId="13402" xr:uid="{7D2CF016-59A5-4262-A086-C5D3A3C93841}"/>
    <cellStyle name="20% - Accent5 2 2 3 4" xfId="17632" xr:uid="{7D4F49AD-0AB2-4972-8358-319474108872}"/>
    <cellStyle name="20% - Accent5 2 2 3 5" xfId="9184" xr:uid="{EC38F197-8A4D-4A70-937B-21CAD94887F9}"/>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24408" xr:uid="{E890159A-79F2-422E-8E59-BEC586457A94}"/>
    <cellStyle name="20% - Accent5 2 2 4 2 2 3" xfId="15960" xr:uid="{B0558CBE-4763-4982-8F74-F7C7089332A3}"/>
    <cellStyle name="20% - Accent5 2 2 4 2 3" xfId="20190" xr:uid="{93E93E1A-6602-4059-84B0-11F108070BD7}"/>
    <cellStyle name="20% - Accent5 2 2 4 2 4" xfId="11742" xr:uid="{59827CE7-C1A4-4AAB-BE66-3BB60A66981D}"/>
    <cellStyle name="20% - Accent5 2 2 4 3" xfId="5365" xr:uid="{00000000-0005-0000-0000-00009F020000}"/>
    <cellStyle name="20% - Accent5 2 2 4 3 2" xfId="22263" xr:uid="{0C2DF856-6EF4-4B3B-81AC-2161DD8CE4D2}"/>
    <cellStyle name="20% - Accent5 2 2 4 3 3" xfId="13815" xr:uid="{979BD85B-1E4D-4BE8-88C4-FF47C24F1356}"/>
    <cellStyle name="20% - Accent5 2 2 4 4" xfId="18045" xr:uid="{D766565C-939E-4A3E-9EEC-B517FD7964E4}"/>
    <cellStyle name="20% - Accent5 2 2 4 5" xfId="9597" xr:uid="{5BFA1208-35B5-4088-8CB9-16E229025322}"/>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24821" xr:uid="{5224EC65-5D7E-4ECD-BF6A-F85FA67A0D8B}"/>
    <cellStyle name="20% - Accent5 2 2 5 2 2 3" xfId="16373" xr:uid="{C59F1522-353A-4C1D-B7EE-3FB95B4C8224}"/>
    <cellStyle name="20% - Accent5 2 2 5 2 3" xfId="20603" xr:uid="{61AC5F52-E832-466E-9041-E4E10F6A67A6}"/>
    <cellStyle name="20% - Accent5 2 2 5 2 4" xfId="12155" xr:uid="{97DD05AB-77CE-4051-9068-6DE1D54E0ECB}"/>
    <cellStyle name="20% - Accent5 2 2 5 3" xfId="5778" xr:uid="{00000000-0005-0000-0000-0000A3020000}"/>
    <cellStyle name="20% - Accent5 2 2 5 3 2" xfId="22676" xr:uid="{47073418-5928-4431-B72C-E72D117F4C26}"/>
    <cellStyle name="20% - Accent5 2 2 5 3 3" xfId="14228" xr:uid="{31C18D8D-B628-48ED-8D99-A5CF1F3FFAB0}"/>
    <cellStyle name="20% - Accent5 2 2 5 4" xfId="18458" xr:uid="{18B6CF40-D14D-41CB-88E5-59F9041E5931}"/>
    <cellStyle name="20% - Accent5 2 2 5 5" xfId="10010" xr:uid="{E6B70739-A04B-4BDE-BFB8-DD637A08959C}"/>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25234" xr:uid="{0B4256FF-6B83-49D7-8B8E-44E7E8BDF361}"/>
    <cellStyle name="20% - Accent5 2 2 6 2 2 3" xfId="16786" xr:uid="{D0910C16-0579-4695-839F-E07A880D2E7F}"/>
    <cellStyle name="20% - Accent5 2 2 6 2 3" xfId="21016" xr:uid="{BB807924-4285-434C-8F0A-22AE5A12C591}"/>
    <cellStyle name="20% - Accent5 2 2 6 2 4" xfId="12568" xr:uid="{071D9E57-04D0-48B2-8A57-6F8039312089}"/>
    <cellStyle name="20% - Accent5 2 2 6 3" xfId="6191" xr:uid="{00000000-0005-0000-0000-0000A7020000}"/>
    <cellStyle name="20% - Accent5 2 2 6 3 2" xfId="23089" xr:uid="{36ADC928-9365-4FA5-826F-F1A73A93A069}"/>
    <cellStyle name="20% - Accent5 2 2 6 3 3" xfId="14641" xr:uid="{4ACCE0D7-8D49-4304-AB12-D42846FE401A}"/>
    <cellStyle name="20% - Accent5 2 2 6 4" xfId="18871" xr:uid="{66A1C759-CA00-4288-B950-44E4919D49B6}"/>
    <cellStyle name="20% - Accent5 2 2 6 5" xfId="10423" xr:uid="{7EB73A42-9B50-4696-B38E-E6FA8011DB5E}"/>
    <cellStyle name="20% - Accent5 2 2 7" xfId="2298" xr:uid="{00000000-0005-0000-0000-0000A8020000}"/>
    <cellStyle name="20% - Accent5 2 2 7 2" xfId="6604" xr:uid="{00000000-0005-0000-0000-0000A9020000}"/>
    <cellStyle name="20% - Accent5 2 2 7 2 2" xfId="23502" xr:uid="{195173A0-FAD0-40F6-A6C1-BFE66AD43CD2}"/>
    <cellStyle name="20% - Accent5 2 2 7 2 3" xfId="15054" xr:uid="{74AE07D3-6856-45BE-86D3-78010AA01A05}"/>
    <cellStyle name="20% - Accent5 2 2 7 3" xfId="19284" xr:uid="{555DDC9F-752E-4D93-B09F-F43A8A4ACFE0}"/>
    <cellStyle name="20% - Accent5 2 2 7 4" xfId="10836" xr:uid="{302FF9DA-65F2-463D-86BE-352805472F4F}"/>
    <cellStyle name="20% - Accent5 2 2 8" xfId="4538" xr:uid="{00000000-0005-0000-0000-0000AA020000}"/>
    <cellStyle name="20% - Accent5 2 2 8 2" xfId="21436" xr:uid="{9EFD6725-9F3C-4A6F-8971-9EB3C8635047}"/>
    <cellStyle name="20% - Accent5 2 2 8 3" xfId="12988" xr:uid="{BD5EE70B-690D-4D8D-999D-96B175AB7794}"/>
    <cellStyle name="20% - Accent5 2 2 9" xfId="17218" xr:uid="{477D12EC-3B9A-4396-A640-232DC122709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23997" xr:uid="{A6B710D5-CAE7-4073-99E0-938C8A04D9BB}"/>
    <cellStyle name="20% - Accent5 2 3 2 2 2 3" xfId="15549" xr:uid="{680ED29B-B261-4490-B510-A2663C421D97}"/>
    <cellStyle name="20% - Accent5 2 3 2 2 3" xfId="19779" xr:uid="{9A195C15-43DC-4F55-9CAD-43755A2968F3}"/>
    <cellStyle name="20% - Accent5 2 3 2 2 4" xfId="11331" xr:uid="{C7D9C542-CD0B-4FFC-972D-8E4AA45B8A0B}"/>
    <cellStyle name="20% - Accent5 2 3 2 3" xfId="4954" xr:uid="{00000000-0005-0000-0000-0000AF020000}"/>
    <cellStyle name="20% - Accent5 2 3 2 3 2" xfId="21852" xr:uid="{2CE1C1CC-00FC-4A3E-AF9A-802E8A728C1E}"/>
    <cellStyle name="20% - Accent5 2 3 2 3 3" xfId="13404" xr:uid="{BFCF148E-1B1E-4420-987E-64345DC790CC}"/>
    <cellStyle name="20% - Accent5 2 3 2 4" xfId="17634" xr:uid="{DE50289B-542F-4076-90F0-5772A0FEB93B}"/>
    <cellStyle name="20% - Accent5 2 3 2 5" xfId="9186" xr:uid="{E35768E5-4891-4B7B-95D8-78817C2C8C39}"/>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24410" xr:uid="{30E0A9CC-2D00-422D-8B48-741D89D0A7C8}"/>
    <cellStyle name="20% - Accent5 2 3 3 2 2 3" xfId="15962" xr:uid="{CC05AE28-14CA-4C39-ADA2-BE1A32D862AA}"/>
    <cellStyle name="20% - Accent5 2 3 3 2 3" xfId="20192" xr:uid="{5B36C58C-3F50-4D04-8B35-1A8D5DD36A24}"/>
    <cellStyle name="20% - Accent5 2 3 3 2 4" xfId="11744" xr:uid="{D1467A33-B294-4C5B-BEBA-68C6AD8070AA}"/>
    <cellStyle name="20% - Accent5 2 3 3 3" xfId="5367" xr:uid="{00000000-0005-0000-0000-0000B3020000}"/>
    <cellStyle name="20% - Accent5 2 3 3 3 2" xfId="22265" xr:uid="{E2612FAF-4B6C-4F65-B9BB-2E3BE7FC0670}"/>
    <cellStyle name="20% - Accent5 2 3 3 3 3" xfId="13817" xr:uid="{65EE6BED-4494-4150-95D3-2B56D1D28438}"/>
    <cellStyle name="20% - Accent5 2 3 3 4" xfId="18047" xr:uid="{FDB949B5-EF15-49FE-967A-42CFCC83F573}"/>
    <cellStyle name="20% - Accent5 2 3 3 5" xfId="9599" xr:uid="{A5118F30-B6D2-4538-88CF-164113A57D29}"/>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24823" xr:uid="{11C11507-C901-480C-B553-C62143B25FC1}"/>
    <cellStyle name="20% - Accent5 2 3 4 2 2 3" xfId="16375" xr:uid="{C635ABE4-ED7C-4FE9-A77C-A3A0A81E85FB}"/>
    <cellStyle name="20% - Accent5 2 3 4 2 3" xfId="20605" xr:uid="{19706EC8-1893-48A3-B539-0B7A8532170F}"/>
    <cellStyle name="20% - Accent5 2 3 4 2 4" xfId="12157" xr:uid="{6CD55A6E-CD8F-481D-A760-DA8CC90C41DC}"/>
    <cellStyle name="20% - Accent5 2 3 4 3" xfId="5780" xr:uid="{00000000-0005-0000-0000-0000B7020000}"/>
    <cellStyle name="20% - Accent5 2 3 4 3 2" xfId="22678" xr:uid="{C8E2F1A0-C470-45A5-AB89-68AE6D05A04D}"/>
    <cellStyle name="20% - Accent5 2 3 4 3 3" xfId="14230" xr:uid="{339F6EC5-14D2-440B-96C9-046B6CFA5A63}"/>
    <cellStyle name="20% - Accent5 2 3 4 4" xfId="18460" xr:uid="{0F4ADC76-75AB-4CD9-A643-526817E4C81C}"/>
    <cellStyle name="20% - Accent5 2 3 4 5" xfId="10012" xr:uid="{49FA4E0B-45D8-42DF-8B9E-1F519347269B}"/>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25236" xr:uid="{97421DEA-B52C-4DE2-8537-5FAAF4ADFB3A}"/>
    <cellStyle name="20% - Accent5 2 3 5 2 2 3" xfId="16788" xr:uid="{9D7EE0F8-48AC-4020-A3A2-4D6E338769D4}"/>
    <cellStyle name="20% - Accent5 2 3 5 2 3" xfId="21018" xr:uid="{39944211-D59A-4551-9307-E7A222A8823D}"/>
    <cellStyle name="20% - Accent5 2 3 5 2 4" xfId="12570" xr:uid="{59B9BE59-C074-4363-B6B6-EEFD66BF35E9}"/>
    <cellStyle name="20% - Accent5 2 3 5 3" xfId="6193" xr:uid="{00000000-0005-0000-0000-0000BB020000}"/>
    <cellStyle name="20% - Accent5 2 3 5 3 2" xfId="23091" xr:uid="{A63C4F89-F023-4758-A849-7E27A51FF993}"/>
    <cellStyle name="20% - Accent5 2 3 5 3 3" xfId="14643" xr:uid="{DE0DA2BB-0A39-489E-BAE3-C3C5FBEE771E}"/>
    <cellStyle name="20% - Accent5 2 3 5 4" xfId="18873" xr:uid="{ED7F07D3-50EB-439B-8CC4-FF77144FA046}"/>
    <cellStyle name="20% - Accent5 2 3 5 5" xfId="10425" xr:uid="{1C525DD7-E89E-43AF-9868-91F3FD231B15}"/>
    <cellStyle name="20% - Accent5 2 3 6" xfId="2300" xr:uid="{00000000-0005-0000-0000-0000BC020000}"/>
    <cellStyle name="20% - Accent5 2 3 6 2" xfId="6606" xr:uid="{00000000-0005-0000-0000-0000BD020000}"/>
    <cellStyle name="20% - Accent5 2 3 6 2 2" xfId="23504" xr:uid="{81ADA224-58A6-4D46-A017-C9C5B2436A71}"/>
    <cellStyle name="20% - Accent5 2 3 6 2 3" xfId="15056" xr:uid="{57A44A2F-E1B6-4CE7-AEF7-8880DF1E05C3}"/>
    <cellStyle name="20% - Accent5 2 3 6 3" xfId="19286" xr:uid="{08199F73-D997-4480-A265-7720A82A29CA}"/>
    <cellStyle name="20% - Accent5 2 3 6 4" xfId="10838" xr:uid="{7289501D-5150-4347-94AC-255B163247E2}"/>
    <cellStyle name="20% - Accent5 2 3 7" xfId="4540" xr:uid="{00000000-0005-0000-0000-0000BE020000}"/>
    <cellStyle name="20% - Accent5 2 3 7 2" xfId="21438" xr:uid="{D9F700A5-684B-4644-8013-4D6806C282C2}"/>
    <cellStyle name="20% - Accent5 2 3 7 3" xfId="12990" xr:uid="{6AB79084-E734-4BEF-8C66-1EAB875E1754}"/>
    <cellStyle name="20% - Accent5 2 3 8" xfId="17220" xr:uid="{4FB709BB-360F-4CFB-856B-21E12E1B7F0A}"/>
    <cellStyle name="20% - Accent5 2 3 9" xfId="8772" xr:uid="{E5486D2F-9D0A-48E9-82BE-DE50AA202097}"/>
    <cellStyle name="20% - Accent5 2 4" xfId="603" xr:uid="{00000000-0005-0000-0000-0000BF020000}"/>
    <cellStyle name="20% - Accent5 2 4 2" xfId="2874" xr:uid="{00000000-0005-0000-0000-0000C0020000}"/>
    <cellStyle name="20% - Accent5 2 4 2 2" xfId="7096" xr:uid="{00000000-0005-0000-0000-0000C1020000}"/>
    <cellStyle name="20% - Accent5 2 4 2 2 2" xfId="23994" xr:uid="{14EF0166-ABF4-4649-BB69-7AE3EEBE29B7}"/>
    <cellStyle name="20% - Accent5 2 4 2 2 3" xfId="15546" xr:uid="{A5DAF108-0324-45BF-966E-2D0E34B919D4}"/>
    <cellStyle name="20% - Accent5 2 4 2 3" xfId="19776" xr:uid="{EC2F3314-42C0-4520-A2FD-AA21CC267CEA}"/>
    <cellStyle name="20% - Accent5 2 4 2 4" xfId="11328" xr:uid="{4DCFE8B0-8DA5-47E6-800C-9D72D1213515}"/>
    <cellStyle name="20% - Accent5 2 4 3" xfId="4951" xr:uid="{00000000-0005-0000-0000-0000C2020000}"/>
    <cellStyle name="20% - Accent5 2 4 3 2" xfId="21849" xr:uid="{82124D1C-065A-4535-8F69-AA1387BA5C73}"/>
    <cellStyle name="20% - Accent5 2 4 3 3" xfId="13401" xr:uid="{DDAFBBFD-3079-4961-834F-F14C162B6657}"/>
    <cellStyle name="20% - Accent5 2 4 4" xfId="17631" xr:uid="{616A329E-EC44-4F68-81C3-4A449B14696F}"/>
    <cellStyle name="20% - Accent5 2 4 5" xfId="9183" xr:uid="{8F4B6ED9-E8AF-4B98-83D8-CE0EA3A44B8B}"/>
    <cellStyle name="20% - Accent5 2 5" xfId="1056" xr:uid="{00000000-0005-0000-0000-0000C3020000}"/>
    <cellStyle name="20% - Accent5 2 5 2" xfId="3287" xr:uid="{00000000-0005-0000-0000-0000C4020000}"/>
    <cellStyle name="20% - Accent5 2 5 2 2" xfId="7509" xr:uid="{00000000-0005-0000-0000-0000C5020000}"/>
    <cellStyle name="20% - Accent5 2 5 2 2 2" xfId="24407" xr:uid="{3EE4B134-5427-44C4-B1D2-DCF7E08B9FA1}"/>
    <cellStyle name="20% - Accent5 2 5 2 2 3" xfId="15959" xr:uid="{7881105B-764A-4CC2-AB9E-05A35EEE4F5C}"/>
    <cellStyle name="20% - Accent5 2 5 2 3" xfId="20189" xr:uid="{C5B30FFB-C7C0-4008-A953-75FAFD05717E}"/>
    <cellStyle name="20% - Accent5 2 5 2 4" xfId="11741" xr:uid="{4A6D907B-780E-403E-9125-2340F2B7CA54}"/>
    <cellStyle name="20% - Accent5 2 5 3" xfId="5364" xr:uid="{00000000-0005-0000-0000-0000C6020000}"/>
    <cellStyle name="20% - Accent5 2 5 3 2" xfId="22262" xr:uid="{1FD13227-B582-4378-80CA-C7E3394E1DC8}"/>
    <cellStyle name="20% - Accent5 2 5 3 3" xfId="13814" xr:uid="{03AE9F0A-9B00-40BC-9309-DE43888C6E48}"/>
    <cellStyle name="20% - Accent5 2 5 4" xfId="18044" xr:uid="{D4EFBE8D-AE25-43EC-A50A-390F47617B3E}"/>
    <cellStyle name="20% - Accent5 2 5 5" xfId="9596" xr:uid="{2F1986C3-676A-4985-9CED-21506DBC2A75}"/>
    <cellStyle name="20% - Accent5 2 6" xfId="1470" xr:uid="{00000000-0005-0000-0000-0000C7020000}"/>
    <cellStyle name="20% - Accent5 2 6 2" xfId="3700" xr:uid="{00000000-0005-0000-0000-0000C8020000}"/>
    <cellStyle name="20% - Accent5 2 6 2 2" xfId="7922" xr:uid="{00000000-0005-0000-0000-0000C9020000}"/>
    <cellStyle name="20% - Accent5 2 6 2 2 2" xfId="24820" xr:uid="{0EEE3E8C-AF7A-4625-9B65-58E7BE279FE3}"/>
    <cellStyle name="20% - Accent5 2 6 2 2 3" xfId="16372" xr:uid="{86787D6B-5D90-4E1A-A296-B864C43BB6CC}"/>
    <cellStyle name="20% - Accent5 2 6 2 3" xfId="20602" xr:uid="{875829AB-8198-4A51-955B-9C233D5EC5C0}"/>
    <cellStyle name="20% - Accent5 2 6 2 4" xfId="12154" xr:uid="{84FB59C3-2F1C-4740-9F8D-DCA7158E95AA}"/>
    <cellStyle name="20% - Accent5 2 6 3" xfId="5777" xr:uid="{00000000-0005-0000-0000-0000CA020000}"/>
    <cellStyle name="20% - Accent5 2 6 3 2" xfId="22675" xr:uid="{675C355A-1D75-4A6F-8CA7-F612BDA7D147}"/>
    <cellStyle name="20% - Accent5 2 6 3 3" xfId="14227" xr:uid="{15621DA5-2DB7-4F0C-AF07-C904AEF4C0E9}"/>
    <cellStyle name="20% - Accent5 2 6 4" xfId="18457" xr:uid="{6E4FDF8F-21C7-4076-8A75-A795E9589F75}"/>
    <cellStyle name="20% - Accent5 2 6 5" xfId="10009" xr:uid="{7505D63E-EB25-45F8-9A34-A1B1B624E197}"/>
    <cellStyle name="20% - Accent5 2 7" xfId="1884" xr:uid="{00000000-0005-0000-0000-0000CB020000}"/>
    <cellStyle name="20% - Accent5 2 7 2" xfId="4113" xr:uid="{00000000-0005-0000-0000-0000CC020000}"/>
    <cellStyle name="20% - Accent5 2 7 2 2" xfId="8335" xr:uid="{00000000-0005-0000-0000-0000CD020000}"/>
    <cellStyle name="20% - Accent5 2 7 2 2 2" xfId="25233" xr:uid="{D179E34E-C9D9-4B18-9FCA-4FFD81E7AE73}"/>
    <cellStyle name="20% - Accent5 2 7 2 2 3" xfId="16785" xr:uid="{19D29F30-64B4-46DF-B4B6-63EE3BB5010F}"/>
    <cellStyle name="20% - Accent5 2 7 2 3" xfId="21015" xr:uid="{408CBA24-2E5C-4B44-B5C4-FA1EEF509F1C}"/>
    <cellStyle name="20% - Accent5 2 7 2 4" xfId="12567" xr:uid="{897FBD05-E21B-494E-978E-F4B3E829EA6E}"/>
    <cellStyle name="20% - Accent5 2 7 3" xfId="6190" xr:uid="{00000000-0005-0000-0000-0000CE020000}"/>
    <cellStyle name="20% - Accent5 2 7 3 2" xfId="23088" xr:uid="{4F357530-8B80-4B7C-A9FA-B3D3C93865E8}"/>
    <cellStyle name="20% - Accent5 2 7 3 3" xfId="14640" xr:uid="{731D88B8-6101-412B-A578-A3B891ECF8F3}"/>
    <cellStyle name="20% - Accent5 2 7 4" xfId="18870" xr:uid="{E4841C96-2496-4F8F-A12F-27BF72527C17}"/>
    <cellStyle name="20% - Accent5 2 7 5" xfId="10422" xr:uid="{7DE507AD-B554-4BC8-82AE-F1A2E02B03A4}"/>
    <cellStyle name="20% - Accent5 2 8" xfId="2297" xr:uid="{00000000-0005-0000-0000-0000CF020000}"/>
    <cellStyle name="20% - Accent5 2 8 2" xfId="6603" xr:uid="{00000000-0005-0000-0000-0000D0020000}"/>
    <cellStyle name="20% - Accent5 2 8 2 2" xfId="23501" xr:uid="{899095EA-1FC1-4722-9170-788FA33DE9D3}"/>
    <cellStyle name="20% - Accent5 2 8 2 3" xfId="15053" xr:uid="{D9353FC4-E814-437B-96C0-709A9AB3B68B}"/>
    <cellStyle name="20% - Accent5 2 8 3" xfId="19283" xr:uid="{386915E6-177D-4807-A308-82587D961B12}"/>
    <cellStyle name="20% - Accent5 2 8 4" xfId="10835" xr:uid="{06FAF10F-348C-4F42-A062-3800EFDE2C60}"/>
    <cellStyle name="20% - Accent5 2 9" xfId="4537" xr:uid="{00000000-0005-0000-0000-0000D1020000}"/>
    <cellStyle name="20% - Accent5 2 9 2" xfId="21435" xr:uid="{45D53810-5F08-40A0-A1DF-685B10F2D93B}"/>
    <cellStyle name="20% - Accent5 2 9 3" xfId="12987" xr:uid="{3647D12A-B514-4627-A3C5-A7B8738A05E6}"/>
    <cellStyle name="20% - Accent5 3" xfId="38" xr:uid="{00000000-0005-0000-0000-0000D2020000}"/>
    <cellStyle name="20% - Accent5 3 10" xfId="8773" xr:uid="{70BE22F0-E6D8-4258-976B-75D1BC216D37}"/>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23999" xr:uid="{C7831DAB-7CEF-4497-BBA7-F8C0CB59A136}"/>
    <cellStyle name="20% - Accent5 3 2 2 2 2 3" xfId="15551" xr:uid="{A5F78E41-0669-450B-8EF8-C81F42ED0D46}"/>
    <cellStyle name="20% - Accent5 3 2 2 2 3" xfId="19781" xr:uid="{5CC6906D-E769-4034-A7B5-46DE8875F719}"/>
    <cellStyle name="20% - Accent5 3 2 2 2 4" xfId="11333" xr:uid="{087813C8-3C5E-41C5-9560-A9F1E6AF49BD}"/>
    <cellStyle name="20% - Accent5 3 2 2 3" xfId="4956" xr:uid="{00000000-0005-0000-0000-0000D7020000}"/>
    <cellStyle name="20% - Accent5 3 2 2 3 2" xfId="21854" xr:uid="{1308B957-7C61-4946-84AB-7832C9C19E82}"/>
    <cellStyle name="20% - Accent5 3 2 2 3 3" xfId="13406" xr:uid="{733961C5-FE61-43B2-BBF5-9DFF724334B2}"/>
    <cellStyle name="20% - Accent5 3 2 2 4" xfId="17636" xr:uid="{BED6ADC1-3A62-4F95-A613-E2403F0F867F}"/>
    <cellStyle name="20% - Accent5 3 2 2 5" xfId="9188" xr:uid="{1686549B-9DBA-4988-87D1-98B27531D1E4}"/>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24412" xr:uid="{60DD21B4-52F6-4C1C-998C-7A433C7531C2}"/>
    <cellStyle name="20% - Accent5 3 2 3 2 2 3" xfId="15964" xr:uid="{C5AE4BF8-EC6D-4ED0-813E-05236002BF22}"/>
    <cellStyle name="20% - Accent5 3 2 3 2 3" xfId="20194" xr:uid="{28AFCF68-B35F-4F21-A36E-7ADA5AF03ADC}"/>
    <cellStyle name="20% - Accent5 3 2 3 2 4" xfId="11746" xr:uid="{635CD21E-40BE-4338-AD04-617A42E7255B}"/>
    <cellStyle name="20% - Accent5 3 2 3 3" xfId="5369" xr:uid="{00000000-0005-0000-0000-0000DB020000}"/>
    <cellStyle name="20% - Accent5 3 2 3 3 2" xfId="22267" xr:uid="{B91FB84F-B48A-4844-BC76-155B9C125416}"/>
    <cellStyle name="20% - Accent5 3 2 3 3 3" xfId="13819" xr:uid="{5E691311-DF6A-481C-9CEA-AEFCB4D40B54}"/>
    <cellStyle name="20% - Accent5 3 2 3 4" xfId="18049" xr:uid="{CF3EE393-CC01-4188-AC6F-153E68DC1707}"/>
    <cellStyle name="20% - Accent5 3 2 3 5" xfId="9601" xr:uid="{C5EF885E-E95A-4D4D-A8F3-1366E0D95044}"/>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24825" xr:uid="{A8B0C8A1-2E61-4B2F-9671-CED08779B1FB}"/>
    <cellStyle name="20% - Accent5 3 2 4 2 2 3" xfId="16377" xr:uid="{8F0EA7B4-4F69-40FB-82F6-A7FDAE2D70C8}"/>
    <cellStyle name="20% - Accent5 3 2 4 2 3" xfId="20607" xr:uid="{9F6B474C-2C70-44B7-ACEE-CFB4BFB886E8}"/>
    <cellStyle name="20% - Accent5 3 2 4 2 4" xfId="12159" xr:uid="{127129F4-15C7-41CB-87BC-B51B46F3D525}"/>
    <cellStyle name="20% - Accent5 3 2 4 3" xfId="5782" xr:uid="{00000000-0005-0000-0000-0000DF020000}"/>
    <cellStyle name="20% - Accent5 3 2 4 3 2" xfId="22680" xr:uid="{0A9DC91D-B559-4260-814A-8D115429227D}"/>
    <cellStyle name="20% - Accent5 3 2 4 3 3" xfId="14232" xr:uid="{39B73997-8638-46E4-9438-57A2325723EB}"/>
    <cellStyle name="20% - Accent5 3 2 4 4" xfId="18462" xr:uid="{990C9BEA-BD7D-4689-AA74-0B9209DA40BF}"/>
    <cellStyle name="20% - Accent5 3 2 4 5" xfId="10014" xr:uid="{BAC337A6-E59C-4FE3-9C6D-C99749A8DF4C}"/>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25238" xr:uid="{FA39657E-5DAC-47D8-AC63-F502CF777F2D}"/>
    <cellStyle name="20% - Accent5 3 2 5 2 2 3" xfId="16790" xr:uid="{1035905A-6946-4D4C-B1A3-9F5C9AB56515}"/>
    <cellStyle name="20% - Accent5 3 2 5 2 3" xfId="21020" xr:uid="{7DF4E298-A509-4D91-A314-123FDC4226F8}"/>
    <cellStyle name="20% - Accent5 3 2 5 2 4" xfId="12572" xr:uid="{9F1E789E-BE59-4F76-A8A9-9EDE0BDDA571}"/>
    <cellStyle name="20% - Accent5 3 2 5 3" xfId="6195" xr:uid="{00000000-0005-0000-0000-0000E3020000}"/>
    <cellStyle name="20% - Accent5 3 2 5 3 2" xfId="23093" xr:uid="{FFADAC0F-0B81-4E35-9A87-33588728A3EE}"/>
    <cellStyle name="20% - Accent5 3 2 5 3 3" xfId="14645" xr:uid="{C4DBED03-E3EF-4306-8341-80450600AEA9}"/>
    <cellStyle name="20% - Accent5 3 2 5 4" xfId="18875" xr:uid="{533D3054-8E61-464B-86B9-F41957BBB074}"/>
    <cellStyle name="20% - Accent5 3 2 5 5" xfId="10427" xr:uid="{5C04A314-9B2C-4D45-888C-CACE8F0B9DC1}"/>
    <cellStyle name="20% - Accent5 3 2 6" xfId="2302" xr:uid="{00000000-0005-0000-0000-0000E4020000}"/>
    <cellStyle name="20% - Accent5 3 2 6 2" xfId="6608" xr:uid="{00000000-0005-0000-0000-0000E5020000}"/>
    <cellStyle name="20% - Accent5 3 2 6 2 2" xfId="23506" xr:uid="{FA2823FC-2527-4CD4-A927-A1AFC195DFA2}"/>
    <cellStyle name="20% - Accent5 3 2 6 2 3" xfId="15058" xr:uid="{FDB00C79-F83E-4C06-9900-A617655A5A96}"/>
    <cellStyle name="20% - Accent5 3 2 6 3" xfId="19288" xr:uid="{C345A51C-AAD4-4AB0-B309-569074C60FB7}"/>
    <cellStyle name="20% - Accent5 3 2 6 4" xfId="10840" xr:uid="{2C1C1C5B-DD70-41DE-BF06-42AD6794FA3A}"/>
    <cellStyle name="20% - Accent5 3 2 7" xfId="4542" xr:uid="{00000000-0005-0000-0000-0000E6020000}"/>
    <cellStyle name="20% - Accent5 3 2 7 2" xfId="21440" xr:uid="{C679690D-EF31-4111-A22F-D8C3A3F06F6B}"/>
    <cellStyle name="20% - Accent5 3 2 7 3" xfId="12992" xr:uid="{CFC9CB89-3999-4CE2-9454-5608D2484EBD}"/>
    <cellStyle name="20% - Accent5 3 2 8" xfId="17222" xr:uid="{0E3162A9-FA97-4B0A-A88B-E6B398B7566C}"/>
    <cellStyle name="20% - Accent5 3 2 9" xfId="8774" xr:uid="{004A233F-E893-4F24-B8D6-4AB3820AEC91}"/>
    <cellStyle name="20% - Accent5 3 3" xfId="607" xr:uid="{00000000-0005-0000-0000-0000E7020000}"/>
    <cellStyle name="20% - Accent5 3 3 2" xfId="2878" xr:uid="{00000000-0005-0000-0000-0000E8020000}"/>
    <cellStyle name="20% - Accent5 3 3 2 2" xfId="7100" xr:uid="{00000000-0005-0000-0000-0000E9020000}"/>
    <cellStyle name="20% - Accent5 3 3 2 2 2" xfId="23998" xr:uid="{C3903325-676A-46AD-9381-4A6AE8096910}"/>
    <cellStyle name="20% - Accent5 3 3 2 2 3" xfId="15550" xr:uid="{18FF9891-8624-40B9-8A41-9EB22D596C02}"/>
    <cellStyle name="20% - Accent5 3 3 2 3" xfId="19780" xr:uid="{294A5C38-5A36-4B9A-8C68-2FA1517F39A8}"/>
    <cellStyle name="20% - Accent5 3 3 2 4" xfId="11332" xr:uid="{45F9531C-97CB-4394-8EF0-B276DF6D1692}"/>
    <cellStyle name="20% - Accent5 3 3 3" xfId="4955" xr:uid="{00000000-0005-0000-0000-0000EA020000}"/>
    <cellStyle name="20% - Accent5 3 3 3 2" xfId="21853" xr:uid="{6490A3A5-7F6C-494B-85A9-0D39D7639F72}"/>
    <cellStyle name="20% - Accent5 3 3 3 3" xfId="13405" xr:uid="{8AD78591-9B86-48F0-BD2B-CC7B05C02D92}"/>
    <cellStyle name="20% - Accent5 3 3 4" xfId="17635" xr:uid="{3DB1ADAB-948B-485B-804D-990900FFA7FA}"/>
    <cellStyle name="20% - Accent5 3 3 5" xfId="9187" xr:uid="{431FEA39-4F38-49F7-8E25-191E8AD4B199}"/>
    <cellStyle name="20% - Accent5 3 4" xfId="1060" xr:uid="{00000000-0005-0000-0000-0000EB020000}"/>
    <cellStyle name="20% - Accent5 3 4 2" xfId="3291" xr:uid="{00000000-0005-0000-0000-0000EC020000}"/>
    <cellStyle name="20% - Accent5 3 4 2 2" xfId="7513" xr:uid="{00000000-0005-0000-0000-0000ED020000}"/>
    <cellStyle name="20% - Accent5 3 4 2 2 2" xfId="24411" xr:uid="{95BC1790-6E83-49DC-AC21-8554C01A4009}"/>
    <cellStyle name="20% - Accent5 3 4 2 2 3" xfId="15963" xr:uid="{DF0A2BE0-A9E5-497C-9EEF-6C904FAF9A81}"/>
    <cellStyle name="20% - Accent5 3 4 2 3" xfId="20193" xr:uid="{8E7D432E-A9B3-4563-AEC8-8A963743C170}"/>
    <cellStyle name="20% - Accent5 3 4 2 4" xfId="11745" xr:uid="{165B5549-AC87-42DA-BAE7-E69C2539D292}"/>
    <cellStyle name="20% - Accent5 3 4 3" xfId="5368" xr:uid="{00000000-0005-0000-0000-0000EE020000}"/>
    <cellStyle name="20% - Accent5 3 4 3 2" xfId="22266" xr:uid="{CF121989-AEB8-420B-AFD6-E8EAA9F5DBB2}"/>
    <cellStyle name="20% - Accent5 3 4 3 3" xfId="13818" xr:uid="{6D0871B2-406E-40EF-85CC-3BFF59027211}"/>
    <cellStyle name="20% - Accent5 3 4 4" xfId="18048" xr:uid="{F5A6CBCE-01AD-4619-A183-7FE14A9CD5D6}"/>
    <cellStyle name="20% - Accent5 3 4 5" xfId="9600" xr:uid="{1ED87048-47F3-42BF-867E-712CB1E2E228}"/>
    <cellStyle name="20% - Accent5 3 5" xfId="1474" xr:uid="{00000000-0005-0000-0000-0000EF020000}"/>
    <cellStyle name="20% - Accent5 3 5 2" xfId="3704" xr:uid="{00000000-0005-0000-0000-0000F0020000}"/>
    <cellStyle name="20% - Accent5 3 5 2 2" xfId="7926" xr:uid="{00000000-0005-0000-0000-0000F1020000}"/>
    <cellStyle name="20% - Accent5 3 5 2 2 2" xfId="24824" xr:uid="{BD723D2C-7561-44D0-AA84-9771B7B6C300}"/>
    <cellStyle name="20% - Accent5 3 5 2 2 3" xfId="16376" xr:uid="{909FEC53-68D9-47F7-9353-2246343B0DD1}"/>
    <cellStyle name="20% - Accent5 3 5 2 3" xfId="20606" xr:uid="{125A396A-082F-4B1E-963B-057D17D3FF93}"/>
    <cellStyle name="20% - Accent5 3 5 2 4" xfId="12158" xr:uid="{092303EF-3161-4167-A58D-A2D6C216C5B1}"/>
    <cellStyle name="20% - Accent5 3 5 3" xfId="5781" xr:uid="{00000000-0005-0000-0000-0000F2020000}"/>
    <cellStyle name="20% - Accent5 3 5 3 2" xfId="22679" xr:uid="{BC3D9456-55FD-4EFB-8B72-BE4E705DAB4B}"/>
    <cellStyle name="20% - Accent5 3 5 3 3" xfId="14231" xr:uid="{BF68CA97-91F8-4E47-BF50-094231B49B8A}"/>
    <cellStyle name="20% - Accent5 3 5 4" xfId="18461" xr:uid="{3EDD58F2-B1E8-40D6-9181-F4C62E046192}"/>
    <cellStyle name="20% - Accent5 3 5 5" xfId="10013" xr:uid="{868D984A-0C0F-4F77-BD43-A251FA3EA447}"/>
    <cellStyle name="20% - Accent5 3 6" xfId="1888" xr:uid="{00000000-0005-0000-0000-0000F3020000}"/>
    <cellStyle name="20% - Accent5 3 6 2" xfId="4117" xr:uid="{00000000-0005-0000-0000-0000F4020000}"/>
    <cellStyle name="20% - Accent5 3 6 2 2" xfId="8339" xr:uid="{00000000-0005-0000-0000-0000F5020000}"/>
    <cellStyle name="20% - Accent5 3 6 2 2 2" xfId="25237" xr:uid="{949E911C-6371-4531-BEA3-11FB11A541E2}"/>
    <cellStyle name="20% - Accent5 3 6 2 2 3" xfId="16789" xr:uid="{4B5B0FD8-4565-46B4-B5D0-6A4B75AEBE75}"/>
    <cellStyle name="20% - Accent5 3 6 2 3" xfId="21019" xr:uid="{9199F4DD-EA12-46FB-B5BE-B2D96BF8491C}"/>
    <cellStyle name="20% - Accent5 3 6 2 4" xfId="12571" xr:uid="{F62FD3B4-D557-492A-B37F-598CEC7FE6A3}"/>
    <cellStyle name="20% - Accent5 3 6 3" xfId="6194" xr:uid="{00000000-0005-0000-0000-0000F6020000}"/>
    <cellStyle name="20% - Accent5 3 6 3 2" xfId="23092" xr:uid="{63CDC5C8-973A-4D7F-A537-9E634C52B96F}"/>
    <cellStyle name="20% - Accent5 3 6 3 3" xfId="14644" xr:uid="{A2A25E9E-9131-4FD8-A089-E17730C3625E}"/>
    <cellStyle name="20% - Accent5 3 6 4" xfId="18874" xr:uid="{748BA013-A7C0-4890-B09E-0CAE983760FF}"/>
    <cellStyle name="20% - Accent5 3 6 5" xfId="10426" xr:uid="{DF763E16-F7D7-4C40-994C-E55CEC41B71F}"/>
    <cellStyle name="20% - Accent5 3 7" xfId="2301" xr:uid="{00000000-0005-0000-0000-0000F7020000}"/>
    <cellStyle name="20% - Accent5 3 7 2" xfId="6607" xr:uid="{00000000-0005-0000-0000-0000F8020000}"/>
    <cellStyle name="20% - Accent5 3 7 2 2" xfId="23505" xr:uid="{96F346B6-6834-4541-BC39-4662099278E5}"/>
    <cellStyle name="20% - Accent5 3 7 2 3" xfId="15057" xr:uid="{5CB54BEB-5E4E-4B9E-A7EC-EF0E924456B6}"/>
    <cellStyle name="20% - Accent5 3 7 3" xfId="19287" xr:uid="{B9DC1AAA-6CCD-4E8D-A392-7E255CDE5DB9}"/>
    <cellStyle name="20% - Accent5 3 7 4" xfId="10839" xr:uid="{948735A1-3B43-4108-B8C5-A88B8B76071E}"/>
    <cellStyle name="20% - Accent5 3 8" xfId="4541" xr:uid="{00000000-0005-0000-0000-0000F9020000}"/>
    <cellStyle name="20% - Accent5 3 8 2" xfId="21439" xr:uid="{6AD2DA58-BF0D-4AA0-83BB-87B17B297D0F}"/>
    <cellStyle name="20% - Accent5 3 8 3" xfId="12991" xr:uid="{33C38DB8-725D-4D50-BE9A-238BE6AF23EA}"/>
    <cellStyle name="20% - Accent5 3 9" xfId="17221" xr:uid="{1CDDD82E-DC2F-4A5E-867A-F75DA0ECE4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2 2 2" xfId="24000" xr:uid="{B402F597-B217-445A-9E2C-B1C3B8028812}"/>
    <cellStyle name="20% - Accent5 4 2 2 2 3" xfId="15552" xr:uid="{E5C1CDDA-FB63-4EC4-A2E5-F7E2BFCD2746}"/>
    <cellStyle name="20% - Accent5 4 2 2 3" xfId="19782" xr:uid="{F9C2E2B9-980B-40F4-BBD8-1FE5D5BC0F75}"/>
    <cellStyle name="20% - Accent5 4 2 2 4" xfId="11334" xr:uid="{1C4CF14A-F462-476B-A9DB-B430D19AC866}"/>
    <cellStyle name="20% - Accent5 4 2 3" xfId="4957" xr:uid="{00000000-0005-0000-0000-0000FE020000}"/>
    <cellStyle name="20% - Accent5 4 2 3 2" xfId="21855" xr:uid="{2DF04192-9C68-426D-929B-3B9D37251AE3}"/>
    <cellStyle name="20% - Accent5 4 2 3 3" xfId="13407" xr:uid="{CFA83142-71AA-4EC4-92C8-C7DD3AD652AD}"/>
    <cellStyle name="20% - Accent5 4 2 4" xfId="17637" xr:uid="{FC1AB42D-3A37-48B9-8E8B-4E2B49978E5E}"/>
    <cellStyle name="20% - Accent5 4 2 5" xfId="9189" xr:uid="{8F2DBBFC-528D-4128-B1CC-96744604F278}"/>
    <cellStyle name="20% - Accent5 4 3" xfId="1062" xr:uid="{00000000-0005-0000-0000-0000FF020000}"/>
    <cellStyle name="20% - Accent5 4 3 2" xfId="3293" xr:uid="{00000000-0005-0000-0000-000000030000}"/>
    <cellStyle name="20% - Accent5 4 3 2 2" xfId="7515" xr:uid="{00000000-0005-0000-0000-000001030000}"/>
    <cellStyle name="20% - Accent5 4 3 2 2 2" xfId="24413" xr:uid="{B4B57843-6C9A-40B2-8802-C02C7904BDAF}"/>
    <cellStyle name="20% - Accent5 4 3 2 2 3" xfId="15965" xr:uid="{72414A07-ED27-4D14-AF96-308EB88F0575}"/>
    <cellStyle name="20% - Accent5 4 3 2 3" xfId="20195" xr:uid="{395742EB-0772-4C7D-A917-23245A384ADA}"/>
    <cellStyle name="20% - Accent5 4 3 2 4" xfId="11747" xr:uid="{5414B2BB-C71B-431C-A36D-E5D199BE0A00}"/>
    <cellStyle name="20% - Accent5 4 3 3" xfId="5370" xr:uid="{00000000-0005-0000-0000-000002030000}"/>
    <cellStyle name="20% - Accent5 4 3 3 2" xfId="22268" xr:uid="{AF097FB0-F508-485C-AD20-6C26AAD49F7B}"/>
    <cellStyle name="20% - Accent5 4 3 3 3" xfId="13820" xr:uid="{A356E9D4-1FEC-409C-BDFB-8194BC4AA54E}"/>
    <cellStyle name="20% - Accent5 4 3 4" xfId="18050" xr:uid="{C4D3026C-0F21-4980-83F8-5CED435C1DFC}"/>
    <cellStyle name="20% - Accent5 4 3 5" xfId="9602" xr:uid="{21EF554E-1F5B-4DDF-98FB-598887CE961E}"/>
    <cellStyle name="20% - Accent5 4 4" xfId="1476" xr:uid="{00000000-0005-0000-0000-000003030000}"/>
    <cellStyle name="20% - Accent5 4 4 2" xfId="3706" xr:uid="{00000000-0005-0000-0000-000004030000}"/>
    <cellStyle name="20% - Accent5 4 4 2 2" xfId="7928" xr:uid="{00000000-0005-0000-0000-000005030000}"/>
    <cellStyle name="20% - Accent5 4 4 2 2 2" xfId="24826" xr:uid="{BA9477EE-8159-420A-A6F6-097C6CA33404}"/>
    <cellStyle name="20% - Accent5 4 4 2 2 3" xfId="16378" xr:uid="{2AFAD9C9-2BEE-45E1-B7B7-1C9200850441}"/>
    <cellStyle name="20% - Accent5 4 4 2 3" xfId="20608" xr:uid="{DFA9FBD2-85F2-4979-BB9F-679853724266}"/>
    <cellStyle name="20% - Accent5 4 4 2 4" xfId="12160" xr:uid="{0B9EDCBB-9F59-404C-8D03-D2CB375EEE1D}"/>
    <cellStyle name="20% - Accent5 4 4 3" xfId="5783" xr:uid="{00000000-0005-0000-0000-000006030000}"/>
    <cellStyle name="20% - Accent5 4 4 3 2" xfId="22681" xr:uid="{7956F093-0C1A-4F90-8B90-2987AE0F410E}"/>
    <cellStyle name="20% - Accent5 4 4 3 3" xfId="14233" xr:uid="{2E6FB714-1FA6-4A81-ABED-5FA34913E8A7}"/>
    <cellStyle name="20% - Accent5 4 4 4" xfId="18463" xr:uid="{DA4F77B7-26A8-4B2E-A26A-6F2D5073AFDF}"/>
    <cellStyle name="20% - Accent5 4 4 5" xfId="10015" xr:uid="{A444E756-EF39-445B-9FC9-4AFAECE0B8D3}"/>
    <cellStyle name="20% - Accent5 4 5" xfId="1890" xr:uid="{00000000-0005-0000-0000-000007030000}"/>
    <cellStyle name="20% - Accent5 4 5 2" xfId="4119" xr:uid="{00000000-0005-0000-0000-000008030000}"/>
    <cellStyle name="20% - Accent5 4 5 2 2" xfId="8341" xr:uid="{00000000-0005-0000-0000-000009030000}"/>
    <cellStyle name="20% - Accent5 4 5 2 2 2" xfId="25239" xr:uid="{A567E449-0EF5-4C7F-8F07-426F9A486F5B}"/>
    <cellStyle name="20% - Accent5 4 5 2 2 3" xfId="16791" xr:uid="{84BD10FC-73B6-42D1-BE0D-4422205D14BB}"/>
    <cellStyle name="20% - Accent5 4 5 2 3" xfId="21021" xr:uid="{E0EE6D05-D043-48C1-855A-4540CD6678AF}"/>
    <cellStyle name="20% - Accent5 4 5 2 4" xfId="12573" xr:uid="{7BC45A2F-E9FB-4BE6-966E-7CD566BF4805}"/>
    <cellStyle name="20% - Accent5 4 5 3" xfId="6196" xr:uid="{00000000-0005-0000-0000-00000A030000}"/>
    <cellStyle name="20% - Accent5 4 5 3 2" xfId="23094" xr:uid="{C31F6F7F-C50C-4892-866A-E71B83A88867}"/>
    <cellStyle name="20% - Accent5 4 5 3 3" xfId="14646" xr:uid="{E1A5EBCC-E1BD-4B27-B6B7-E25D2CC5981A}"/>
    <cellStyle name="20% - Accent5 4 5 4" xfId="18876" xr:uid="{A82137A4-23E9-40B2-B0AF-877A9CC27148}"/>
    <cellStyle name="20% - Accent5 4 5 5" xfId="10428" xr:uid="{E99CA12F-CFF7-4E0D-9A0C-CF902AB71180}"/>
    <cellStyle name="20% - Accent5 4 6" xfId="2303" xr:uid="{00000000-0005-0000-0000-00000B030000}"/>
    <cellStyle name="20% - Accent5 4 6 2" xfId="6609" xr:uid="{00000000-0005-0000-0000-00000C030000}"/>
    <cellStyle name="20% - Accent5 4 6 2 2" xfId="23507" xr:uid="{1D1BBDFB-6110-46CE-8319-823217F6FA82}"/>
    <cellStyle name="20% - Accent5 4 6 2 3" xfId="15059" xr:uid="{4673B00E-0214-4CCA-BF2F-40106B0A6113}"/>
    <cellStyle name="20% - Accent5 4 6 3" xfId="19289" xr:uid="{172FDCF2-6C37-4C75-86DE-EC7A9EDAC0B8}"/>
    <cellStyle name="20% - Accent5 4 6 4" xfId="10841" xr:uid="{21D94085-FF63-4625-9BEF-30D6BF3B0C16}"/>
    <cellStyle name="20% - Accent5 4 7" xfId="4543" xr:uid="{00000000-0005-0000-0000-00000D030000}"/>
    <cellStyle name="20% - Accent5 4 7 2" xfId="21441" xr:uid="{32351C1F-E73F-4272-AE5F-2145AE6781B4}"/>
    <cellStyle name="20% - Accent5 4 7 3" xfId="12993" xr:uid="{28B6A4FE-6C05-4CF7-852C-46F2F6021717}"/>
    <cellStyle name="20% - Accent5 4 8" xfId="17223" xr:uid="{65ED113D-CE9F-4541-978A-4B9BA9999749}"/>
    <cellStyle name="20% - Accent5 4 9" xfId="8775" xr:uid="{DC835E16-5FFE-4D39-8FF4-D25E374D4DA7}"/>
    <cellStyle name="20% - Accent5 5" xfId="602" xr:uid="{00000000-0005-0000-0000-00000E030000}"/>
    <cellStyle name="20% - Accent5 5 2" xfId="2873" xr:uid="{00000000-0005-0000-0000-00000F030000}"/>
    <cellStyle name="20% - Accent5 5 2 2" xfId="7095" xr:uid="{00000000-0005-0000-0000-000010030000}"/>
    <cellStyle name="20% - Accent5 5 2 2 2" xfId="23993" xr:uid="{60D3CE68-4927-446C-A6D9-865425A86658}"/>
    <cellStyle name="20% - Accent5 5 2 2 3" xfId="15545" xr:uid="{6F959EE6-1CD9-46A6-BE21-929D4CA0FB0C}"/>
    <cellStyle name="20% - Accent5 5 2 3" xfId="19775" xr:uid="{EB8FE815-2294-496F-9717-A4B5BD5E398D}"/>
    <cellStyle name="20% - Accent5 5 2 4" xfId="11327" xr:uid="{B923B714-CBD7-49B4-A89B-E893DDD1EF75}"/>
    <cellStyle name="20% - Accent5 5 3" xfId="4950" xr:uid="{00000000-0005-0000-0000-000011030000}"/>
    <cellStyle name="20% - Accent5 5 3 2" xfId="21848" xr:uid="{597EBE4C-4098-46D9-90E4-C973479591AE}"/>
    <cellStyle name="20% - Accent5 5 3 3" xfId="13400" xr:uid="{C897AE26-8BBD-43C1-84B5-BA8F6FD0DA8E}"/>
    <cellStyle name="20% - Accent5 5 4" xfId="17630" xr:uid="{72307E89-437C-4DD5-8E31-B2B2E1A39E57}"/>
    <cellStyle name="20% - Accent5 5 5" xfId="9182" xr:uid="{47ED2BE1-C4FA-4615-9555-2F9D6E03D3E9}"/>
    <cellStyle name="20% - Accent5 6" xfId="1055" xr:uid="{00000000-0005-0000-0000-000012030000}"/>
    <cellStyle name="20% - Accent5 6 2" xfId="3286" xr:uid="{00000000-0005-0000-0000-000013030000}"/>
    <cellStyle name="20% - Accent5 6 2 2" xfId="7508" xr:uid="{00000000-0005-0000-0000-000014030000}"/>
    <cellStyle name="20% - Accent5 6 2 2 2" xfId="24406" xr:uid="{2F313BB7-4DB3-47F4-9560-06F49810B36D}"/>
    <cellStyle name="20% - Accent5 6 2 2 3" xfId="15958" xr:uid="{5A131C00-7EDF-42F9-814E-871C9BAF0B28}"/>
    <cellStyle name="20% - Accent5 6 2 3" xfId="20188" xr:uid="{36E755F9-087D-46B0-B1A8-FEA4A709A1C0}"/>
    <cellStyle name="20% - Accent5 6 2 4" xfId="11740" xr:uid="{0D2B3804-0CCA-4DAE-AA33-D2E6671C341C}"/>
    <cellStyle name="20% - Accent5 6 3" xfId="5363" xr:uid="{00000000-0005-0000-0000-000015030000}"/>
    <cellStyle name="20% - Accent5 6 3 2" xfId="22261" xr:uid="{259C86EE-186C-4FEC-83ED-2D7B6077E95A}"/>
    <cellStyle name="20% - Accent5 6 3 3" xfId="13813" xr:uid="{7048749F-8050-4A19-A51B-2E443B0C53E3}"/>
    <cellStyle name="20% - Accent5 6 4" xfId="18043" xr:uid="{6DE8E2A5-4913-462C-9347-67860B04BE1E}"/>
    <cellStyle name="20% - Accent5 6 5" xfId="9595" xr:uid="{E089AD83-F7C1-44D5-ADF8-506C78D358F9}"/>
    <cellStyle name="20% - Accent5 7" xfId="1469" xr:uid="{00000000-0005-0000-0000-000016030000}"/>
    <cellStyle name="20% - Accent5 7 2" xfId="3699" xr:uid="{00000000-0005-0000-0000-000017030000}"/>
    <cellStyle name="20% - Accent5 7 2 2" xfId="7921" xr:uid="{00000000-0005-0000-0000-000018030000}"/>
    <cellStyle name="20% - Accent5 7 2 2 2" xfId="24819" xr:uid="{FBABECDA-4A3F-45E8-A209-01D6D9692180}"/>
    <cellStyle name="20% - Accent5 7 2 2 3" xfId="16371" xr:uid="{0BBBA047-9ADB-42DE-94EA-86ADC5D874A2}"/>
    <cellStyle name="20% - Accent5 7 2 3" xfId="20601" xr:uid="{CD7CB878-A877-47AF-B139-9C3961865E02}"/>
    <cellStyle name="20% - Accent5 7 2 4" xfId="12153" xr:uid="{F4A121A1-269A-47E3-B42A-96307A7656D2}"/>
    <cellStyle name="20% - Accent5 7 3" xfId="5776" xr:uid="{00000000-0005-0000-0000-000019030000}"/>
    <cellStyle name="20% - Accent5 7 3 2" xfId="22674" xr:uid="{D446956F-58C5-4580-8996-4E5108A57980}"/>
    <cellStyle name="20% - Accent5 7 3 3" xfId="14226" xr:uid="{A551FA32-F804-4CC1-9657-3551D55D2A14}"/>
    <cellStyle name="20% - Accent5 7 4" xfId="18456" xr:uid="{9D7DF174-D247-425B-B7EB-D6BBBAE032B3}"/>
    <cellStyle name="20% - Accent5 7 5" xfId="10008" xr:uid="{3A498364-A8C4-4CCC-AE15-12C0B38B6550}"/>
    <cellStyle name="20% - Accent5 8" xfId="1883" xr:uid="{00000000-0005-0000-0000-00001A030000}"/>
    <cellStyle name="20% - Accent5 8 2" xfId="4112" xr:uid="{00000000-0005-0000-0000-00001B030000}"/>
    <cellStyle name="20% - Accent5 8 2 2" xfId="8334" xr:uid="{00000000-0005-0000-0000-00001C030000}"/>
    <cellStyle name="20% - Accent5 8 2 2 2" xfId="25232" xr:uid="{627FB001-3E98-4D61-9DDC-11BFFFA7D072}"/>
    <cellStyle name="20% - Accent5 8 2 2 3" xfId="16784" xr:uid="{E74949D1-D367-4F1C-A102-DC25E8CE2D0E}"/>
    <cellStyle name="20% - Accent5 8 2 3" xfId="21014" xr:uid="{85BA9472-1498-4CB5-AE8D-9CD134DA3D09}"/>
    <cellStyle name="20% - Accent5 8 2 4" xfId="12566" xr:uid="{5C3AF24A-42E0-4403-9960-1D1B2419825E}"/>
    <cellStyle name="20% - Accent5 8 3" xfId="6189" xr:uid="{00000000-0005-0000-0000-00001D030000}"/>
    <cellStyle name="20% - Accent5 8 3 2" xfId="23087" xr:uid="{429586BC-07FC-4770-AB30-46B01F3F3320}"/>
    <cellStyle name="20% - Accent5 8 3 3" xfId="14639" xr:uid="{3D642992-EB80-4906-8200-199886601FE2}"/>
    <cellStyle name="20% - Accent5 8 4" xfId="18869" xr:uid="{B3301C79-1803-4CE1-A862-560411C3A6C8}"/>
    <cellStyle name="20% - Accent5 8 5" xfId="10421" xr:uid="{D6B43A63-C1A3-4FAC-8689-33BF9DCC4F86}"/>
    <cellStyle name="20% - Accent5 9" xfId="2296" xr:uid="{00000000-0005-0000-0000-00001E030000}"/>
    <cellStyle name="20% - Accent5 9 2" xfId="6602" xr:uid="{00000000-0005-0000-0000-00001F030000}"/>
    <cellStyle name="20% - Accent5 9 2 2" xfId="23500" xr:uid="{92F26874-5909-4B2C-BC51-43453269ED42}"/>
    <cellStyle name="20% - Accent5 9 2 3" xfId="15052" xr:uid="{0C773B5F-441F-4A47-BA0E-49CD029EF918}"/>
    <cellStyle name="20% - Accent5 9 3" xfId="19282" xr:uid="{131CC0AB-F36A-49C2-9F35-1EF684529B48}"/>
    <cellStyle name="20% - Accent5 9 4" xfId="10834" xr:uid="{D0DE0652-E94F-4611-87AB-0B03022EA3F5}"/>
    <cellStyle name="20% - Accent6" xfId="41" builtinId="50" customBuiltin="1"/>
    <cellStyle name="20% - Accent6 10" xfId="4544" xr:uid="{00000000-0005-0000-0000-000021030000}"/>
    <cellStyle name="20% - Accent6 10 2" xfId="21442" xr:uid="{1FD225FE-D744-4526-81F5-AC5D6793500B}"/>
    <cellStyle name="20% - Accent6 10 3" xfId="12994" xr:uid="{11453498-35FE-41FA-AD8B-396D3F1876AB}"/>
    <cellStyle name="20% - Accent6 11" xfId="17224" xr:uid="{9BF5A230-807F-4471-B8B7-3EE280E37471}"/>
    <cellStyle name="20% - Accent6 12" xfId="8776" xr:uid="{67B41B1F-C064-4AB2-932E-07AA127D2DAD}"/>
    <cellStyle name="20% - Accent6 2" xfId="42" xr:uid="{00000000-0005-0000-0000-000022030000}"/>
    <cellStyle name="20% - Accent6 2 10" xfId="17225" xr:uid="{285FFDDC-EB6A-461A-9762-13BE0B886BAC}"/>
    <cellStyle name="20% - Accent6 2 11" xfId="8777" xr:uid="{551FBBAA-3233-441E-818B-3D2B926B6C81}"/>
    <cellStyle name="20% - Accent6 2 2" xfId="43" xr:uid="{00000000-0005-0000-0000-000023030000}"/>
    <cellStyle name="20% - Accent6 2 2 10" xfId="8778" xr:uid="{358E7510-40A2-4DE7-B96C-95927CB363BD}"/>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24004" xr:uid="{2195FE23-0E74-4218-A350-5EC29A17E0A4}"/>
    <cellStyle name="20% - Accent6 2 2 2 2 2 2 3" xfId="15556" xr:uid="{5240FB3C-B103-4104-A322-EF70429EAF9F}"/>
    <cellStyle name="20% - Accent6 2 2 2 2 2 3" xfId="19786" xr:uid="{081D25A8-D005-4C3C-B5C2-08CD9034723A}"/>
    <cellStyle name="20% - Accent6 2 2 2 2 2 4" xfId="11338" xr:uid="{A665DADF-F924-4ECE-ACE1-25DDE8AEB92D}"/>
    <cellStyle name="20% - Accent6 2 2 2 2 3" xfId="4961" xr:uid="{00000000-0005-0000-0000-000028030000}"/>
    <cellStyle name="20% - Accent6 2 2 2 2 3 2" xfId="21859" xr:uid="{5D92BDA2-1B2B-4AA2-9B8E-5274E5AB8324}"/>
    <cellStyle name="20% - Accent6 2 2 2 2 3 3" xfId="13411" xr:uid="{724CAB75-B1C6-4EFF-8C09-5C61E621A93A}"/>
    <cellStyle name="20% - Accent6 2 2 2 2 4" xfId="17641" xr:uid="{3F4DA4AC-F498-4E88-8A97-D348E6C8C334}"/>
    <cellStyle name="20% - Accent6 2 2 2 2 5" xfId="9193" xr:uid="{AA043E6B-FABB-496C-9058-68EF6A22F0FF}"/>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24417" xr:uid="{4429A797-5760-4D3E-BFD7-B3F5988952C3}"/>
    <cellStyle name="20% - Accent6 2 2 2 3 2 2 3" xfId="15969" xr:uid="{17D37369-2B48-441A-8FEC-2BFC61DF42DB}"/>
    <cellStyle name="20% - Accent6 2 2 2 3 2 3" xfId="20199" xr:uid="{24A57B93-263B-4320-818D-99DF764B11A1}"/>
    <cellStyle name="20% - Accent6 2 2 2 3 2 4" xfId="11751" xr:uid="{122D89B5-417E-4BA1-BF08-59489AD13B56}"/>
    <cellStyle name="20% - Accent6 2 2 2 3 3" xfId="5374" xr:uid="{00000000-0005-0000-0000-00002C030000}"/>
    <cellStyle name="20% - Accent6 2 2 2 3 3 2" xfId="22272" xr:uid="{A2572355-E18F-40C9-A9DF-1F01D50014E4}"/>
    <cellStyle name="20% - Accent6 2 2 2 3 3 3" xfId="13824" xr:uid="{510B6182-F2C5-473D-94E0-3EBF8E5E0B9A}"/>
    <cellStyle name="20% - Accent6 2 2 2 3 4" xfId="18054" xr:uid="{C692185B-F1FA-4783-8483-B9DB50690612}"/>
    <cellStyle name="20% - Accent6 2 2 2 3 5" xfId="9606" xr:uid="{2F519AE5-302B-41F7-9252-ADE9BA7E48DC}"/>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24830" xr:uid="{C885218F-ECB6-4BB5-AA38-50EAE33DD817}"/>
    <cellStyle name="20% - Accent6 2 2 2 4 2 2 3" xfId="16382" xr:uid="{ED221C87-8F63-43FF-9E2A-2E70CF661C19}"/>
    <cellStyle name="20% - Accent6 2 2 2 4 2 3" xfId="20612" xr:uid="{6F01B8EE-98BC-45AC-98B5-621AF998B0E5}"/>
    <cellStyle name="20% - Accent6 2 2 2 4 2 4" xfId="12164" xr:uid="{DEA2EC5F-1997-42F9-B4F1-91B242FE9A11}"/>
    <cellStyle name="20% - Accent6 2 2 2 4 3" xfId="5787" xr:uid="{00000000-0005-0000-0000-000030030000}"/>
    <cellStyle name="20% - Accent6 2 2 2 4 3 2" xfId="22685" xr:uid="{5456CBDD-FAFF-4757-9816-8EB4AA9994A1}"/>
    <cellStyle name="20% - Accent6 2 2 2 4 3 3" xfId="14237" xr:uid="{60B29664-4CEB-41D5-B82D-9209FD4C0439}"/>
    <cellStyle name="20% - Accent6 2 2 2 4 4" xfId="18467" xr:uid="{99D31F5A-9B30-41C4-B3CA-143B5F2BF26D}"/>
    <cellStyle name="20% - Accent6 2 2 2 4 5" xfId="10019" xr:uid="{4522D0ED-301A-4213-BAAC-4DC7B9FCF7B9}"/>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25243" xr:uid="{B4ED97F7-5A5F-4864-842E-50E58C573B90}"/>
    <cellStyle name="20% - Accent6 2 2 2 5 2 2 3" xfId="16795" xr:uid="{B01D78EE-7833-4412-8E06-8BFA5AC9FB51}"/>
    <cellStyle name="20% - Accent6 2 2 2 5 2 3" xfId="21025" xr:uid="{CBD8C8D6-6662-4D2D-AA1C-B73CC1A99C8B}"/>
    <cellStyle name="20% - Accent6 2 2 2 5 2 4" xfId="12577" xr:uid="{C3D0A94E-C923-401C-97F8-5A7D70A09018}"/>
    <cellStyle name="20% - Accent6 2 2 2 5 3" xfId="6200" xr:uid="{00000000-0005-0000-0000-000034030000}"/>
    <cellStyle name="20% - Accent6 2 2 2 5 3 2" xfId="23098" xr:uid="{341AA719-349F-4B8D-B139-B2C87AC874FF}"/>
    <cellStyle name="20% - Accent6 2 2 2 5 3 3" xfId="14650" xr:uid="{C1E7E840-2ED9-433E-808A-D6E807C06F73}"/>
    <cellStyle name="20% - Accent6 2 2 2 5 4" xfId="18880" xr:uid="{7E59FBCE-16B8-4C7A-934D-984065E8DB71}"/>
    <cellStyle name="20% - Accent6 2 2 2 5 5" xfId="10432" xr:uid="{0BFFCAF9-D7D4-4E39-975B-9DE80C50C270}"/>
    <cellStyle name="20% - Accent6 2 2 2 6" xfId="2307" xr:uid="{00000000-0005-0000-0000-000035030000}"/>
    <cellStyle name="20% - Accent6 2 2 2 6 2" xfId="6613" xr:uid="{00000000-0005-0000-0000-000036030000}"/>
    <cellStyle name="20% - Accent6 2 2 2 6 2 2" xfId="23511" xr:uid="{D7BC9930-EF3D-4EE7-AADD-1BBDCACA6879}"/>
    <cellStyle name="20% - Accent6 2 2 2 6 2 3" xfId="15063" xr:uid="{D9AB69BC-D690-42C5-97B3-03EF71EDE734}"/>
    <cellStyle name="20% - Accent6 2 2 2 6 3" xfId="19293" xr:uid="{86B378F0-21BE-4C97-905F-84050834490E}"/>
    <cellStyle name="20% - Accent6 2 2 2 6 4" xfId="10845" xr:uid="{DEAD4063-6DFA-4F4E-BBDC-94C739B1FBAA}"/>
    <cellStyle name="20% - Accent6 2 2 2 7" xfId="4547" xr:uid="{00000000-0005-0000-0000-000037030000}"/>
    <cellStyle name="20% - Accent6 2 2 2 7 2" xfId="21445" xr:uid="{33369CEC-34E7-4FBD-8922-0F8AB6A35DF4}"/>
    <cellStyle name="20% - Accent6 2 2 2 7 3" xfId="12997" xr:uid="{AAA816AC-393B-4571-8E85-FB3398FD0321}"/>
    <cellStyle name="20% - Accent6 2 2 2 8" xfId="17227" xr:uid="{351AAA39-0321-47E8-9120-2751F535BE53}"/>
    <cellStyle name="20% - Accent6 2 2 2 9" xfId="8779" xr:uid="{208F14FA-9EE6-4042-9C50-14746C60B769}"/>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24003" xr:uid="{65D40D3E-49ED-4856-BBDA-F28671F15C3A}"/>
    <cellStyle name="20% - Accent6 2 2 3 2 2 3" xfId="15555" xr:uid="{094237D5-1ECF-4F66-8021-8E8165DA304C}"/>
    <cellStyle name="20% - Accent6 2 2 3 2 3" xfId="19785" xr:uid="{B70A8E01-608D-4DCE-A0D8-E6790C1245DC}"/>
    <cellStyle name="20% - Accent6 2 2 3 2 4" xfId="11337" xr:uid="{0FACA181-55B9-45BD-B34D-6447EAB05230}"/>
    <cellStyle name="20% - Accent6 2 2 3 3" xfId="4960" xr:uid="{00000000-0005-0000-0000-00003B030000}"/>
    <cellStyle name="20% - Accent6 2 2 3 3 2" xfId="21858" xr:uid="{05BDF34A-E1CA-445E-B5BE-8F5737139B82}"/>
    <cellStyle name="20% - Accent6 2 2 3 3 3" xfId="13410" xr:uid="{5FF9D5BC-6E18-4CB8-85F0-1F765C0A241C}"/>
    <cellStyle name="20% - Accent6 2 2 3 4" xfId="17640" xr:uid="{68798389-1105-4965-B0B4-AF20E4BBBE0D}"/>
    <cellStyle name="20% - Accent6 2 2 3 5" xfId="9192" xr:uid="{C03A00C8-E86F-48D4-8F0B-0941BEF7C2F8}"/>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24416" xr:uid="{8234FD06-811F-40C1-A8E4-F88E3D22D443}"/>
    <cellStyle name="20% - Accent6 2 2 4 2 2 3" xfId="15968" xr:uid="{F4866CAB-E652-4293-A1F7-1B680453D7AB}"/>
    <cellStyle name="20% - Accent6 2 2 4 2 3" xfId="20198" xr:uid="{C988A38A-035C-4A47-B663-33188B2E847B}"/>
    <cellStyle name="20% - Accent6 2 2 4 2 4" xfId="11750" xr:uid="{FED72573-2E53-4C8A-BC3A-826A39DB2604}"/>
    <cellStyle name="20% - Accent6 2 2 4 3" xfId="5373" xr:uid="{00000000-0005-0000-0000-00003F030000}"/>
    <cellStyle name="20% - Accent6 2 2 4 3 2" xfId="22271" xr:uid="{AB5967AA-3F72-4AC0-AFD0-C25E1F4CBA23}"/>
    <cellStyle name="20% - Accent6 2 2 4 3 3" xfId="13823" xr:uid="{E4AEAF9F-A9E1-419B-BEA8-1CDFA71E4EC5}"/>
    <cellStyle name="20% - Accent6 2 2 4 4" xfId="18053" xr:uid="{41D4AF2E-DE53-450F-9B9D-316C07D954B8}"/>
    <cellStyle name="20% - Accent6 2 2 4 5" xfId="9605" xr:uid="{D3419EEB-AEA7-4E71-934D-6B9405773007}"/>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24829" xr:uid="{79A8C7E5-7F3E-4C71-916F-46346D7DFB1C}"/>
    <cellStyle name="20% - Accent6 2 2 5 2 2 3" xfId="16381" xr:uid="{300491D8-17B6-4D63-8DCE-8C1DA2637DDC}"/>
    <cellStyle name="20% - Accent6 2 2 5 2 3" xfId="20611" xr:uid="{1D8F8107-C3A2-4DD0-BD13-84B25CFCABE8}"/>
    <cellStyle name="20% - Accent6 2 2 5 2 4" xfId="12163" xr:uid="{5790CE3D-AD36-455F-B971-2934C602C5C5}"/>
    <cellStyle name="20% - Accent6 2 2 5 3" xfId="5786" xr:uid="{00000000-0005-0000-0000-000043030000}"/>
    <cellStyle name="20% - Accent6 2 2 5 3 2" xfId="22684" xr:uid="{C07AEA9D-B3A4-4513-9AEC-5B0C2F1D64D0}"/>
    <cellStyle name="20% - Accent6 2 2 5 3 3" xfId="14236" xr:uid="{93FACBB4-4C78-4205-9B4D-5BF35450CEEB}"/>
    <cellStyle name="20% - Accent6 2 2 5 4" xfId="18466" xr:uid="{7C027A2A-65AC-44E3-8571-CFA7E24A91A6}"/>
    <cellStyle name="20% - Accent6 2 2 5 5" xfId="10018" xr:uid="{BFFAF261-5CE7-4722-920C-F5E1962FDF0C}"/>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25242" xr:uid="{154DCCFC-566C-4DF0-94ED-4E4AA2E5A9B7}"/>
    <cellStyle name="20% - Accent6 2 2 6 2 2 3" xfId="16794" xr:uid="{627A2A59-5A58-4949-A7AF-CB33C0F15F04}"/>
    <cellStyle name="20% - Accent6 2 2 6 2 3" xfId="21024" xr:uid="{DBE3E341-B760-4870-8F75-1A81BB782F65}"/>
    <cellStyle name="20% - Accent6 2 2 6 2 4" xfId="12576" xr:uid="{7449EB7D-26FD-460A-AE85-E770ECE93103}"/>
    <cellStyle name="20% - Accent6 2 2 6 3" xfId="6199" xr:uid="{00000000-0005-0000-0000-000047030000}"/>
    <cellStyle name="20% - Accent6 2 2 6 3 2" xfId="23097" xr:uid="{BB0C4DBD-BABD-428E-9FBF-AE6BEFB8A928}"/>
    <cellStyle name="20% - Accent6 2 2 6 3 3" xfId="14649" xr:uid="{7F2FD2EF-839B-42BB-ABFE-B27068B745CC}"/>
    <cellStyle name="20% - Accent6 2 2 6 4" xfId="18879" xr:uid="{5604B8F9-B096-4146-91FB-045ACBB0C372}"/>
    <cellStyle name="20% - Accent6 2 2 6 5" xfId="10431" xr:uid="{4296D3A4-09EF-467C-8706-B99DD64E9232}"/>
    <cellStyle name="20% - Accent6 2 2 7" xfId="2306" xr:uid="{00000000-0005-0000-0000-000048030000}"/>
    <cellStyle name="20% - Accent6 2 2 7 2" xfId="6612" xr:uid="{00000000-0005-0000-0000-000049030000}"/>
    <cellStyle name="20% - Accent6 2 2 7 2 2" xfId="23510" xr:uid="{50314DB4-D3B3-41E3-8006-811CB6C576DA}"/>
    <cellStyle name="20% - Accent6 2 2 7 2 3" xfId="15062" xr:uid="{82ACBFC5-97B3-44D9-9166-F7A56675EFE0}"/>
    <cellStyle name="20% - Accent6 2 2 7 3" xfId="19292" xr:uid="{7E47A689-80A4-43D5-AC2C-7DD062B74B64}"/>
    <cellStyle name="20% - Accent6 2 2 7 4" xfId="10844" xr:uid="{815450DB-62E5-4C08-88FE-EA64AA486247}"/>
    <cellStyle name="20% - Accent6 2 2 8" xfId="4546" xr:uid="{00000000-0005-0000-0000-00004A030000}"/>
    <cellStyle name="20% - Accent6 2 2 8 2" xfId="21444" xr:uid="{09F35D49-BD80-4CEE-A601-CD19B0CF0EC6}"/>
    <cellStyle name="20% - Accent6 2 2 8 3" xfId="12996" xr:uid="{B10A11ED-773F-4DA5-B1F5-B8137B18C0E8}"/>
    <cellStyle name="20% - Accent6 2 2 9" xfId="17226" xr:uid="{04D39EDA-077F-4D39-A95B-0872D823616A}"/>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24005" xr:uid="{3F768F22-F5EB-4156-ACD7-793A203FB983}"/>
    <cellStyle name="20% - Accent6 2 3 2 2 2 3" xfId="15557" xr:uid="{EE434687-47D3-441F-8A18-32B1B7E652E7}"/>
    <cellStyle name="20% - Accent6 2 3 2 2 3" xfId="19787" xr:uid="{6256D083-BC68-4781-919E-DDBB397182ED}"/>
    <cellStyle name="20% - Accent6 2 3 2 2 4" xfId="11339" xr:uid="{49628462-232F-42B3-A249-7DDB2933623F}"/>
    <cellStyle name="20% - Accent6 2 3 2 3" xfId="4962" xr:uid="{00000000-0005-0000-0000-00004F030000}"/>
    <cellStyle name="20% - Accent6 2 3 2 3 2" xfId="21860" xr:uid="{9B07037A-4653-4CE6-8C46-F392E4AEB308}"/>
    <cellStyle name="20% - Accent6 2 3 2 3 3" xfId="13412" xr:uid="{CD8AB0B4-FFF8-4029-B682-11DDF939E9C7}"/>
    <cellStyle name="20% - Accent6 2 3 2 4" xfId="17642" xr:uid="{C2AA6AF9-3DD0-4B62-B06A-A37690656AA7}"/>
    <cellStyle name="20% - Accent6 2 3 2 5" xfId="9194" xr:uid="{DD7E5275-FB60-4EB9-A324-189210FA597B}"/>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24418" xr:uid="{FCA2C426-AF0E-4974-A207-4FAEDB7E4F26}"/>
    <cellStyle name="20% - Accent6 2 3 3 2 2 3" xfId="15970" xr:uid="{EF49495C-B707-4973-B0F9-5F114B08AD10}"/>
    <cellStyle name="20% - Accent6 2 3 3 2 3" xfId="20200" xr:uid="{44594DFD-545F-434B-BFBD-88B674D8D566}"/>
    <cellStyle name="20% - Accent6 2 3 3 2 4" xfId="11752" xr:uid="{B828765D-D3D3-4715-9F76-765DE46CAA4E}"/>
    <cellStyle name="20% - Accent6 2 3 3 3" xfId="5375" xr:uid="{00000000-0005-0000-0000-000053030000}"/>
    <cellStyle name="20% - Accent6 2 3 3 3 2" xfId="22273" xr:uid="{2E65712C-BE73-4564-8F69-B32F6980A45E}"/>
    <cellStyle name="20% - Accent6 2 3 3 3 3" xfId="13825" xr:uid="{65C1DE1A-3B7A-42F6-91F2-13D14EDC0023}"/>
    <cellStyle name="20% - Accent6 2 3 3 4" xfId="18055" xr:uid="{AF3A560C-0619-418D-94AD-57D95BDC2644}"/>
    <cellStyle name="20% - Accent6 2 3 3 5" xfId="9607" xr:uid="{B960504C-0F48-4B4E-A83A-AEA87F734FB5}"/>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24831" xr:uid="{EE85D5D2-2F38-476B-9770-5307C2157E46}"/>
    <cellStyle name="20% - Accent6 2 3 4 2 2 3" xfId="16383" xr:uid="{DA14BF89-051B-4200-8DBE-A3D571C2E5E0}"/>
    <cellStyle name="20% - Accent6 2 3 4 2 3" xfId="20613" xr:uid="{DC1DF23A-6F26-4612-9ECC-596D90811229}"/>
    <cellStyle name="20% - Accent6 2 3 4 2 4" xfId="12165" xr:uid="{F4C2ADCF-9460-49DC-8547-AB3F3AA31600}"/>
    <cellStyle name="20% - Accent6 2 3 4 3" xfId="5788" xr:uid="{00000000-0005-0000-0000-000057030000}"/>
    <cellStyle name="20% - Accent6 2 3 4 3 2" xfId="22686" xr:uid="{979879CF-B8B7-4741-BF1F-1BB485319AE9}"/>
    <cellStyle name="20% - Accent6 2 3 4 3 3" xfId="14238" xr:uid="{8C24BB6B-E79A-48FB-826A-12E614E9EF72}"/>
    <cellStyle name="20% - Accent6 2 3 4 4" xfId="18468" xr:uid="{1379906C-AC7D-4885-8862-B3F046DE90E7}"/>
    <cellStyle name="20% - Accent6 2 3 4 5" xfId="10020" xr:uid="{582F007F-B84F-4C5E-867C-0A107602DC48}"/>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25244" xr:uid="{2F111A98-8029-4546-A780-91B0CC7D31C9}"/>
    <cellStyle name="20% - Accent6 2 3 5 2 2 3" xfId="16796" xr:uid="{DF1F6D3C-94B9-497D-98E7-5A23B398CFEC}"/>
    <cellStyle name="20% - Accent6 2 3 5 2 3" xfId="21026" xr:uid="{BF1C2561-634D-454A-9756-43E5D32160BC}"/>
    <cellStyle name="20% - Accent6 2 3 5 2 4" xfId="12578" xr:uid="{26531915-7BC6-4337-805E-B1AC166A5790}"/>
    <cellStyle name="20% - Accent6 2 3 5 3" xfId="6201" xr:uid="{00000000-0005-0000-0000-00005B030000}"/>
    <cellStyle name="20% - Accent6 2 3 5 3 2" xfId="23099" xr:uid="{19264BA8-C9A1-4452-B973-39211C27BF5F}"/>
    <cellStyle name="20% - Accent6 2 3 5 3 3" xfId="14651" xr:uid="{1F9F2197-FB95-4A8F-B0CD-F3FF1035D7BE}"/>
    <cellStyle name="20% - Accent6 2 3 5 4" xfId="18881" xr:uid="{80BAEB0F-B3F9-4DA0-A53C-4DBC982EF644}"/>
    <cellStyle name="20% - Accent6 2 3 5 5" xfId="10433" xr:uid="{0F63A73D-E924-4A67-BCEE-828EAD4837BA}"/>
    <cellStyle name="20% - Accent6 2 3 6" xfId="2308" xr:uid="{00000000-0005-0000-0000-00005C030000}"/>
    <cellStyle name="20% - Accent6 2 3 6 2" xfId="6614" xr:uid="{00000000-0005-0000-0000-00005D030000}"/>
    <cellStyle name="20% - Accent6 2 3 6 2 2" xfId="23512" xr:uid="{E9E4AF18-63CB-4B4A-8B25-D62424BF36BB}"/>
    <cellStyle name="20% - Accent6 2 3 6 2 3" xfId="15064" xr:uid="{1798B144-D38D-4C0E-A2F3-75AE247B0374}"/>
    <cellStyle name="20% - Accent6 2 3 6 3" xfId="19294" xr:uid="{8ECF90CB-D69F-4A9C-9FF8-83632AAE1976}"/>
    <cellStyle name="20% - Accent6 2 3 6 4" xfId="10846" xr:uid="{6267827C-0CEA-4D9C-99A0-C9294041D31D}"/>
    <cellStyle name="20% - Accent6 2 3 7" xfId="4548" xr:uid="{00000000-0005-0000-0000-00005E030000}"/>
    <cellStyle name="20% - Accent6 2 3 7 2" xfId="21446" xr:uid="{5A335923-A995-4EA8-B23E-9ACF93C57D5C}"/>
    <cellStyle name="20% - Accent6 2 3 7 3" xfId="12998" xr:uid="{3516A030-5748-4A92-82A7-7A702F6FA431}"/>
    <cellStyle name="20% - Accent6 2 3 8" xfId="17228" xr:uid="{B1911D0A-52C8-437F-B149-DC9EB68C8698}"/>
    <cellStyle name="20% - Accent6 2 3 9" xfId="8780" xr:uid="{2557F84D-73DE-4DF1-B8FB-B37F191F6582}"/>
    <cellStyle name="20% - Accent6 2 4" xfId="611" xr:uid="{00000000-0005-0000-0000-00005F030000}"/>
    <cellStyle name="20% - Accent6 2 4 2" xfId="2882" xr:uid="{00000000-0005-0000-0000-000060030000}"/>
    <cellStyle name="20% - Accent6 2 4 2 2" xfId="7104" xr:uid="{00000000-0005-0000-0000-000061030000}"/>
    <cellStyle name="20% - Accent6 2 4 2 2 2" xfId="24002" xr:uid="{077E46A0-E3D0-4138-AACC-A60FEC5A0949}"/>
    <cellStyle name="20% - Accent6 2 4 2 2 3" xfId="15554" xr:uid="{8F0408A4-E4D8-4F8A-B864-0FF8FFE78375}"/>
    <cellStyle name="20% - Accent6 2 4 2 3" xfId="19784" xr:uid="{2290BC29-4CB4-4C72-8E66-63C75250FB8B}"/>
    <cellStyle name="20% - Accent6 2 4 2 4" xfId="11336" xr:uid="{C96F9A16-3629-4816-B757-D67E978815DE}"/>
    <cellStyle name="20% - Accent6 2 4 3" xfId="4959" xr:uid="{00000000-0005-0000-0000-000062030000}"/>
    <cellStyle name="20% - Accent6 2 4 3 2" xfId="21857" xr:uid="{11927DB1-8B13-47A5-890E-28C66268B541}"/>
    <cellStyle name="20% - Accent6 2 4 3 3" xfId="13409" xr:uid="{81FA0E7A-2597-430C-B7AD-14AAE76E1AB2}"/>
    <cellStyle name="20% - Accent6 2 4 4" xfId="17639" xr:uid="{625DF87A-ADD1-468B-A194-8046F21622CF}"/>
    <cellStyle name="20% - Accent6 2 4 5" xfId="9191" xr:uid="{FB4E7BC1-36DE-4F91-9931-D53D0EF00F27}"/>
    <cellStyle name="20% - Accent6 2 5" xfId="1064" xr:uid="{00000000-0005-0000-0000-000063030000}"/>
    <cellStyle name="20% - Accent6 2 5 2" xfId="3295" xr:uid="{00000000-0005-0000-0000-000064030000}"/>
    <cellStyle name="20% - Accent6 2 5 2 2" xfId="7517" xr:uid="{00000000-0005-0000-0000-000065030000}"/>
    <cellStyle name="20% - Accent6 2 5 2 2 2" xfId="24415" xr:uid="{009671C4-60D6-4E0E-A07F-984EB687981A}"/>
    <cellStyle name="20% - Accent6 2 5 2 2 3" xfId="15967" xr:uid="{C39A46EB-5DF7-4B69-AAC8-E18E93A10FDC}"/>
    <cellStyle name="20% - Accent6 2 5 2 3" xfId="20197" xr:uid="{52B8EF0F-A005-43DB-A9CF-1179E4B6EFA5}"/>
    <cellStyle name="20% - Accent6 2 5 2 4" xfId="11749" xr:uid="{86EE12D4-D831-4761-9199-2B44A6BF09AD}"/>
    <cellStyle name="20% - Accent6 2 5 3" xfId="5372" xr:uid="{00000000-0005-0000-0000-000066030000}"/>
    <cellStyle name="20% - Accent6 2 5 3 2" xfId="22270" xr:uid="{F0C083EE-D327-4BAC-A140-B14D050FEA09}"/>
    <cellStyle name="20% - Accent6 2 5 3 3" xfId="13822" xr:uid="{249FA1F0-D508-4727-863C-7137B89FC203}"/>
    <cellStyle name="20% - Accent6 2 5 4" xfId="18052" xr:uid="{9E55F055-9A3B-4279-AEBB-E9DC21085C37}"/>
    <cellStyle name="20% - Accent6 2 5 5" xfId="9604" xr:uid="{C3ADD70D-E875-43EE-905B-AA5F19F09270}"/>
    <cellStyle name="20% - Accent6 2 6" xfId="1478" xr:uid="{00000000-0005-0000-0000-000067030000}"/>
    <cellStyle name="20% - Accent6 2 6 2" xfId="3708" xr:uid="{00000000-0005-0000-0000-000068030000}"/>
    <cellStyle name="20% - Accent6 2 6 2 2" xfId="7930" xr:uid="{00000000-0005-0000-0000-000069030000}"/>
    <cellStyle name="20% - Accent6 2 6 2 2 2" xfId="24828" xr:uid="{DE0B24D5-7D99-45E2-9279-55E99C6CF48D}"/>
    <cellStyle name="20% - Accent6 2 6 2 2 3" xfId="16380" xr:uid="{17398E8E-7B84-43BE-8FE4-BD347D9059DA}"/>
    <cellStyle name="20% - Accent6 2 6 2 3" xfId="20610" xr:uid="{ACA7D986-BAB1-4A0C-9500-AC1FA583C500}"/>
    <cellStyle name="20% - Accent6 2 6 2 4" xfId="12162" xr:uid="{BBE12739-813F-4B8E-9FED-CAEB590CAEFD}"/>
    <cellStyle name="20% - Accent6 2 6 3" xfId="5785" xr:uid="{00000000-0005-0000-0000-00006A030000}"/>
    <cellStyle name="20% - Accent6 2 6 3 2" xfId="22683" xr:uid="{0DACEF42-C114-43C6-8A54-F82E41D37426}"/>
    <cellStyle name="20% - Accent6 2 6 3 3" xfId="14235" xr:uid="{F8345AEF-4758-40F6-9FCA-1E13413360D7}"/>
    <cellStyle name="20% - Accent6 2 6 4" xfId="18465" xr:uid="{15383826-AE01-47F6-BDBA-4273C3B2C9EB}"/>
    <cellStyle name="20% - Accent6 2 6 5" xfId="10017" xr:uid="{22E16E5E-50A4-4E33-B06E-F7C30EDC7FF1}"/>
    <cellStyle name="20% - Accent6 2 7" xfId="1892" xr:uid="{00000000-0005-0000-0000-00006B030000}"/>
    <cellStyle name="20% - Accent6 2 7 2" xfId="4121" xr:uid="{00000000-0005-0000-0000-00006C030000}"/>
    <cellStyle name="20% - Accent6 2 7 2 2" xfId="8343" xr:uid="{00000000-0005-0000-0000-00006D030000}"/>
    <cellStyle name="20% - Accent6 2 7 2 2 2" xfId="25241" xr:uid="{ED56048A-ACC7-4D6C-B0AD-681CC4357141}"/>
    <cellStyle name="20% - Accent6 2 7 2 2 3" xfId="16793" xr:uid="{7C1AA076-CA13-4A0B-A105-C211ECCB702D}"/>
    <cellStyle name="20% - Accent6 2 7 2 3" xfId="21023" xr:uid="{FA78F385-F4FE-418C-BEEF-3FCFF8DA26CD}"/>
    <cellStyle name="20% - Accent6 2 7 2 4" xfId="12575" xr:uid="{7F7D2144-4CE9-45DD-879A-950EAE4F2B36}"/>
    <cellStyle name="20% - Accent6 2 7 3" xfId="6198" xr:uid="{00000000-0005-0000-0000-00006E030000}"/>
    <cellStyle name="20% - Accent6 2 7 3 2" xfId="23096" xr:uid="{D6D588FE-AB9F-4B24-9456-79B75E2BE311}"/>
    <cellStyle name="20% - Accent6 2 7 3 3" xfId="14648" xr:uid="{9D4DB99D-C6C3-45BB-BD22-AC9A49F08A04}"/>
    <cellStyle name="20% - Accent6 2 7 4" xfId="18878" xr:uid="{62ECA0FD-D910-4BC3-8930-317389C537C2}"/>
    <cellStyle name="20% - Accent6 2 7 5" xfId="10430" xr:uid="{C71124F3-CFF1-4CF5-8B9D-3B5FA6645E42}"/>
    <cellStyle name="20% - Accent6 2 8" xfId="2305" xr:uid="{00000000-0005-0000-0000-00006F030000}"/>
    <cellStyle name="20% - Accent6 2 8 2" xfId="6611" xr:uid="{00000000-0005-0000-0000-000070030000}"/>
    <cellStyle name="20% - Accent6 2 8 2 2" xfId="23509" xr:uid="{436F2BA6-4DC8-4EA4-8259-8FB3809D7D64}"/>
    <cellStyle name="20% - Accent6 2 8 2 3" xfId="15061" xr:uid="{AE792CBB-E36F-4DCD-8BFA-630DFA2519D8}"/>
    <cellStyle name="20% - Accent6 2 8 3" xfId="19291" xr:uid="{9D4A92B7-DCF4-41AD-A67A-93AF80644674}"/>
    <cellStyle name="20% - Accent6 2 8 4" xfId="10843" xr:uid="{312D35A4-F701-4256-A53B-94911647A704}"/>
    <cellStyle name="20% - Accent6 2 9" xfId="4545" xr:uid="{00000000-0005-0000-0000-000071030000}"/>
    <cellStyle name="20% - Accent6 2 9 2" xfId="21443" xr:uid="{1BD5255A-7EE5-41F3-9A72-D5755CB6EEAD}"/>
    <cellStyle name="20% - Accent6 2 9 3" xfId="12995" xr:uid="{6ECB3A6D-24DC-408F-ABEA-4ABD011FA691}"/>
    <cellStyle name="20% - Accent6 3" xfId="46" xr:uid="{00000000-0005-0000-0000-000072030000}"/>
    <cellStyle name="20% - Accent6 3 10" xfId="8781" xr:uid="{1CD5E807-31C6-438E-A0C6-32444B7A8B01}"/>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24007" xr:uid="{9F6F64E7-DCB3-4C18-90EA-B3B1381DC246}"/>
    <cellStyle name="20% - Accent6 3 2 2 2 2 3" xfId="15559" xr:uid="{1E7AA814-E50F-4C81-8442-76FEB3F83BD8}"/>
    <cellStyle name="20% - Accent6 3 2 2 2 3" xfId="19789" xr:uid="{788D11CC-0D36-4059-B4FC-D3586DE6FCE5}"/>
    <cellStyle name="20% - Accent6 3 2 2 2 4" xfId="11341" xr:uid="{1DEE12EF-4E05-4ACB-8ACA-FEB1E629C116}"/>
    <cellStyle name="20% - Accent6 3 2 2 3" xfId="4964" xr:uid="{00000000-0005-0000-0000-000077030000}"/>
    <cellStyle name="20% - Accent6 3 2 2 3 2" xfId="21862" xr:uid="{5934FBE9-D15B-41E8-B68B-23F5A55A3D9C}"/>
    <cellStyle name="20% - Accent6 3 2 2 3 3" xfId="13414" xr:uid="{FAC8A819-009D-4273-914A-E345BD374136}"/>
    <cellStyle name="20% - Accent6 3 2 2 4" xfId="17644" xr:uid="{86B0E0FD-DD0C-49B4-9BAA-64FDF58EB35E}"/>
    <cellStyle name="20% - Accent6 3 2 2 5" xfId="9196" xr:uid="{4E07CA06-6C2B-4378-B33E-F44567FBF258}"/>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24420" xr:uid="{693EFA69-CCD0-40F9-8D5A-6B1AE30E55F9}"/>
    <cellStyle name="20% - Accent6 3 2 3 2 2 3" xfId="15972" xr:uid="{1C9AD4E9-6586-40DE-A3DC-5368D3F8188C}"/>
    <cellStyle name="20% - Accent6 3 2 3 2 3" xfId="20202" xr:uid="{C1F1B9B5-F377-4E38-AA11-160BA8541774}"/>
    <cellStyle name="20% - Accent6 3 2 3 2 4" xfId="11754" xr:uid="{74C17478-94FD-41DD-95F2-41E11032FA54}"/>
    <cellStyle name="20% - Accent6 3 2 3 3" xfId="5377" xr:uid="{00000000-0005-0000-0000-00007B030000}"/>
    <cellStyle name="20% - Accent6 3 2 3 3 2" xfId="22275" xr:uid="{722B5785-92CD-4504-B357-FD0D93774628}"/>
    <cellStyle name="20% - Accent6 3 2 3 3 3" xfId="13827" xr:uid="{BDAEEA92-5AE8-41FC-8376-863EBD475DE7}"/>
    <cellStyle name="20% - Accent6 3 2 3 4" xfId="18057" xr:uid="{7EC74103-DE0C-4551-AE1B-E0A0A6690067}"/>
    <cellStyle name="20% - Accent6 3 2 3 5" xfId="9609" xr:uid="{2AE9E7AD-006C-4375-ADFD-4BC883F80604}"/>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24833" xr:uid="{1A4A971F-A317-4ACB-80DF-F35197A465CA}"/>
    <cellStyle name="20% - Accent6 3 2 4 2 2 3" xfId="16385" xr:uid="{D9200C48-C54D-4D80-8DD6-86888CC0E9AE}"/>
    <cellStyle name="20% - Accent6 3 2 4 2 3" xfId="20615" xr:uid="{AD4FA717-5934-4183-85F5-A97E9E99775D}"/>
    <cellStyle name="20% - Accent6 3 2 4 2 4" xfId="12167" xr:uid="{EE8A66A1-12B7-4294-8DF4-99F99A8B49A7}"/>
    <cellStyle name="20% - Accent6 3 2 4 3" xfId="5790" xr:uid="{00000000-0005-0000-0000-00007F030000}"/>
    <cellStyle name="20% - Accent6 3 2 4 3 2" xfId="22688" xr:uid="{4B3D7D80-C7D9-4C2E-92FB-7D72E2F349B1}"/>
    <cellStyle name="20% - Accent6 3 2 4 3 3" xfId="14240" xr:uid="{BC9348E7-BBBF-4D0B-BA1D-91C5D31CB9F4}"/>
    <cellStyle name="20% - Accent6 3 2 4 4" xfId="18470" xr:uid="{189FBD62-E8B1-4983-A78D-E170100B4477}"/>
    <cellStyle name="20% - Accent6 3 2 4 5" xfId="10022" xr:uid="{9B9C37A1-8124-47FD-809C-6A3695C3E485}"/>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25246" xr:uid="{CA89EF74-6C2F-4B4D-835B-3F05153D7266}"/>
    <cellStyle name="20% - Accent6 3 2 5 2 2 3" xfId="16798" xr:uid="{7AECDE2D-AD9B-408A-B96A-07CCB3792CCE}"/>
    <cellStyle name="20% - Accent6 3 2 5 2 3" xfId="21028" xr:uid="{0484DCBD-E8D2-4C54-BDA6-77F8FE0B0AAA}"/>
    <cellStyle name="20% - Accent6 3 2 5 2 4" xfId="12580" xr:uid="{B4A16FA5-8B6B-475A-A271-93980F5F588D}"/>
    <cellStyle name="20% - Accent6 3 2 5 3" xfId="6203" xr:uid="{00000000-0005-0000-0000-000083030000}"/>
    <cellStyle name="20% - Accent6 3 2 5 3 2" xfId="23101" xr:uid="{0BCD485A-E1DB-429D-805E-5EF401B29710}"/>
    <cellStyle name="20% - Accent6 3 2 5 3 3" xfId="14653" xr:uid="{90EC5F09-2332-428A-89BA-75F53A6263B8}"/>
    <cellStyle name="20% - Accent6 3 2 5 4" xfId="18883" xr:uid="{CADA5D9C-7707-4297-83F1-824B537AB2C9}"/>
    <cellStyle name="20% - Accent6 3 2 5 5" xfId="10435" xr:uid="{D0B7A79A-EC9A-4B08-8D4E-3D41A1ADBE4D}"/>
    <cellStyle name="20% - Accent6 3 2 6" xfId="2310" xr:uid="{00000000-0005-0000-0000-000084030000}"/>
    <cellStyle name="20% - Accent6 3 2 6 2" xfId="6616" xr:uid="{00000000-0005-0000-0000-000085030000}"/>
    <cellStyle name="20% - Accent6 3 2 6 2 2" xfId="23514" xr:uid="{DCBF2A13-4CF5-4E1E-91A0-C40A319B073F}"/>
    <cellStyle name="20% - Accent6 3 2 6 2 3" xfId="15066" xr:uid="{9D496F26-94D2-4741-83AF-D66844EAC79C}"/>
    <cellStyle name="20% - Accent6 3 2 6 3" xfId="19296" xr:uid="{1521AC8D-6696-408B-96A6-5999FACD4D22}"/>
    <cellStyle name="20% - Accent6 3 2 6 4" xfId="10848" xr:uid="{0747D038-B5D3-4358-A50F-B9DC57A28972}"/>
    <cellStyle name="20% - Accent6 3 2 7" xfId="4550" xr:uid="{00000000-0005-0000-0000-000086030000}"/>
    <cellStyle name="20% - Accent6 3 2 7 2" xfId="21448" xr:uid="{E22F5196-A22F-4973-BCFF-9A28DC66D139}"/>
    <cellStyle name="20% - Accent6 3 2 7 3" xfId="13000" xr:uid="{D53DF1D1-A94E-4E38-991F-1F3181C09209}"/>
    <cellStyle name="20% - Accent6 3 2 8" xfId="17230" xr:uid="{7FCF2FDE-4881-45EF-B935-9A570CC59810}"/>
    <cellStyle name="20% - Accent6 3 2 9" xfId="8782" xr:uid="{E0A9BCE8-9AD2-4703-B912-9615CF55F7F8}"/>
    <cellStyle name="20% - Accent6 3 3" xfId="615" xr:uid="{00000000-0005-0000-0000-000087030000}"/>
    <cellStyle name="20% - Accent6 3 3 2" xfId="2886" xr:uid="{00000000-0005-0000-0000-000088030000}"/>
    <cellStyle name="20% - Accent6 3 3 2 2" xfId="7108" xr:uid="{00000000-0005-0000-0000-000089030000}"/>
    <cellStyle name="20% - Accent6 3 3 2 2 2" xfId="24006" xr:uid="{18428B93-69E8-4A1B-9CFC-643E9B6168A2}"/>
    <cellStyle name="20% - Accent6 3 3 2 2 3" xfId="15558" xr:uid="{5C3DB30B-7F5E-4FC4-8208-B4EC91AC2C23}"/>
    <cellStyle name="20% - Accent6 3 3 2 3" xfId="19788" xr:uid="{9D9C2C1B-3B49-4DDA-BA86-7E025E43050C}"/>
    <cellStyle name="20% - Accent6 3 3 2 4" xfId="11340" xr:uid="{7F3D773D-A82B-40CE-A7D7-2BDB231A187A}"/>
    <cellStyle name="20% - Accent6 3 3 3" xfId="4963" xr:uid="{00000000-0005-0000-0000-00008A030000}"/>
    <cellStyle name="20% - Accent6 3 3 3 2" xfId="21861" xr:uid="{F66BCC7F-7036-4EF9-959B-C591F10D2B7B}"/>
    <cellStyle name="20% - Accent6 3 3 3 3" xfId="13413" xr:uid="{A3CAD44F-1D35-49E5-B417-335544FD7A9D}"/>
    <cellStyle name="20% - Accent6 3 3 4" xfId="17643" xr:uid="{8ABA0326-7A0D-4756-9E53-455D0CF0E84A}"/>
    <cellStyle name="20% - Accent6 3 3 5" xfId="9195" xr:uid="{0B62AB8C-3C3C-4038-B035-1BBC0EE41F8C}"/>
    <cellStyle name="20% - Accent6 3 4" xfId="1068" xr:uid="{00000000-0005-0000-0000-00008B030000}"/>
    <cellStyle name="20% - Accent6 3 4 2" xfId="3299" xr:uid="{00000000-0005-0000-0000-00008C030000}"/>
    <cellStyle name="20% - Accent6 3 4 2 2" xfId="7521" xr:uid="{00000000-0005-0000-0000-00008D030000}"/>
    <cellStyle name="20% - Accent6 3 4 2 2 2" xfId="24419" xr:uid="{0020D3A8-55B9-4F59-931F-B808E83A7FCD}"/>
    <cellStyle name="20% - Accent6 3 4 2 2 3" xfId="15971" xr:uid="{3D79F186-C1BA-4B92-8D93-524DEDE1D39C}"/>
    <cellStyle name="20% - Accent6 3 4 2 3" xfId="20201" xr:uid="{0F4479EC-5E33-4614-A519-EE938E862482}"/>
    <cellStyle name="20% - Accent6 3 4 2 4" xfId="11753" xr:uid="{54E7AD3D-9404-49FF-982E-0040FA651865}"/>
    <cellStyle name="20% - Accent6 3 4 3" xfId="5376" xr:uid="{00000000-0005-0000-0000-00008E030000}"/>
    <cellStyle name="20% - Accent6 3 4 3 2" xfId="22274" xr:uid="{ECE90911-A74F-4F2A-BB09-E8C913730798}"/>
    <cellStyle name="20% - Accent6 3 4 3 3" xfId="13826" xr:uid="{538DBA1D-4806-4681-9ADB-1C7C86B99D0C}"/>
    <cellStyle name="20% - Accent6 3 4 4" xfId="18056" xr:uid="{A03BEC2C-E00C-40DE-8973-4F82393F6AB9}"/>
    <cellStyle name="20% - Accent6 3 4 5" xfId="9608" xr:uid="{17864478-5BC6-4427-AD69-69875ECAB0BA}"/>
    <cellStyle name="20% - Accent6 3 5" xfId="1482" xr:uid="{00000000-0005-0000-0000-00008F030000}"/>
    <cellStyle name="20% - Accent6 3 5 2" xfId="3712" xr:uid="{00000000-0005-0000-0000-000090030000}"/>
    <cellStyle name="20% - Accent6 3 5 2 2" xfId="7934" xr:uid="{00000000-0005-0000-0000-000091030000}"/>
    <cellStyle name="20% - Accent6 3 5 2 2 2" xfId="24832" xr:uid="{7DE9DB64-5400-4A61-8AB1-6ED405A1DA81}"/>
    <cellStyle name="20% - Accent6 3 5 2 2 3" xfId="16384" xr:uid="{9905252E-BA7E-46B8-AE67-C694C0367BDA}"/>
    <cellStyle name="20% - Accent6 3 5 2 3" xfId="20614" xr:uid="{91DBC771-3E3B-4946-A590-884D96F810A8}"/>
    <cellStyle name="20% - Accent6 3 5 2 4" xfId="12166" xr:uid="{DCEFEAE6-BDA4-46CA-A5C4-A7DF690F6AE8}"/>
    <cellStyle name="20% - Accent6 3 5 3" xfId="5789" xr:uid="{00000000-0005-0000-0000-000092030000}"/>
    <cellStyle name="20% - Accent6 3 5 3 2" xfId="22687" xr:uid="{5C783494-29AC-46C8-9F70-4DFEFAA20706}"/>
    <cellStyle name="20% - Accent6 3 5 3 3" xfId="14239" xr:uid="{E0D479DC-F441-4DA3-8D65-C972A37A672E}"/>
    <cellStyle name="20% - Accent6 3 5 4" xfId="18469" xr:uid="{D2578568-98B6-4641-858D-73C61D88B9B4}"/>
    <cellStyle name="20% - Accent6 3 5 5" xfId="10021" xr:uid="{8E52A9AA-0223-493C-A58F-EA07A16068AC}"/>
    <cellStyle name="20% - Accent6 3 6" xfId="1896" xr:uid="{00000000-0005-0000-0000-000093030000}"/>
    <cellStyle name="20% - Accent6 3 6 2" xfId="4125" xr:uid="{00000000-0005-0000-0000-000094030000}"/>
    <cellStyle name="20% - Accent6 3 6 2 2" xfId="8347" xr:uid="{00000000-0005-0000-0000-000095030000}"/>
    <cellStyle name="20% - Accent6 3 6 2 2 2" xfId="25245" xr:uid="{E805ACE6-66DA-4BDD-8AA7-4FC3FCCB088E}"/>
    <cellStyle name="20% - Accent6 3 6 2 2 3" xfId="16797" xr:uid="{65C7AB2C-DC37-47A7-8072-EC435E127636}"/>
    <cellStyle name="20% - Accent6 3 6 2 3" xfId="21027" xr:uid="{1EF99B83-17E7-406C-94D5-611FA4E680D4}"/>
    <cellStyle name="20% - Accent6 3 6 2 4" xfId="12579" xr:uid="{5CAF5062-68D4-47A4-9025-7D01BC7D823B}"/>
    <cellStyle name="20% - Accent6 3 6 3" xfId="6202" xr:uid="{00000000-0005-0000-0000-000096030000}"/>
    <cellStyle name="20% - Accent6 3 6 3 2" xfId="23100" xr:uid="{EB9E458B-8953-4DC8-92EA-FB5F7CD05E76}"/>
    <cellStyle name="20% - Accent6 3 6 3 3" xfId="14652" xr:uid="{CDA24513-D5C0-4A4C-B941-2468F98F4C7C}"/>
    <cellStyle name="20% - Accent6 3 6 4" xfId="18882" xr:uid="{208FA10F-F0E5-48DD-BD3D-EDE0B2536A1C}"/>
    <cellStyle name="20% - Accent6 3 6 5" xfId="10434" xr:uid="{88FBC3E3-DE5C-4EA4-9463-D64837C2C9D4}"/>
    <cellStyle name="20% - Accent6 3 7" xfId="2309" xr:uid="{00000000-0005-0000-0000-000097030000}"/>
    <cellStyle name="20% - Accent6 3 7 2" xfId="6615" xr:uid="{00000000-0005-0000-0000-000098030000}"/>
    <cellStyle name="20% - Accent6 3 7 2 2" xfId="23513" xr:uid="{CF89E094-D55C-49BD-A973-DDB693957D7E}"/>
    <cellStyle name="20% - Accent6 3 7 2 3" xfId="15065" xr:uid="{DDA2B8D3-5F4E-4C0E-9C27-5982FB58CA81}"/>
    <cellStyle name="20% - Accent6 3 7 3" xfId="19295" xr:uid="{6BF827C1-8A9F-409A-A0FF-27D4AA3DC590}"/>
    <cellStyle name="20% - Accent6 3 7 4" xfId="10847" xr:uid="{A53B8DF2-8EC5-42E0-9D0D-F2209139D61E}"/>
    <cellStyle name="20% - Accent6 3 8" xfId="4549" xr:uid="{00000000-0005-0000-0000-000099030000}"/>
    <cellStyle name="20% - Accent6 3 8 2" xfId="21447" xr:uid="{651C8D10-437B-4BE2-AF4A-375A3E56CDC4}"/>
    <cellStyle name="20% - Accent6 3 8 3" xfId="12999" xr:uid="{6D41F8E0-F0D4-4560-A641-CEA7160CB670}"/>
    <cellStyle name="20% - Accent6 3 9" xfId="17229" xr:uid="{9C440D9F-71F9-49A9-92CA-A4B8E0E2C55F}"/>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2 2 2" xfId="24008" xr:uid="{03CCF5CA-4C95-4BA7-80AD-5BA0247586DA}"/>
    <cellStyle name="20% - Accent6 4 2 2 2 3" xfId="15560" xr:uid="{623CD00B-89D3-4DAA-A75F-4B2F251B2AF4}"/>
    <cellStyle name="20% - Accent6 4 2 2 3" xfId="19790" xr:uid="{353A432F-362A-42B1-BB43-FAE9E803E84C}"/>
    <cellStyle name="20% - Accent6 4 2 2 4" xfId="11342" xr:uid="{B2F545B4-907F-44E6-B5B3-D001FA402754}"/>
    <cellStyle name="20% - Accent6 4 2 3" xfId="4965" xr:uid="{00000000-0005-0000-0000-00009E030000}"/>
    <cellStyle name="20% - Accent6 4 2 3 2" xfId="21863" xr:uid="{182B2105-281D-45D0-BF6C-E776A074F2C4}"/>
    <cellStyle name="20% - Accent6 4 2 3 3" xfId="13415" xr:uid="{1A44B899-2FC9-4944-80AF-1BF0B5036027}"/>
    <cellStyle name="20% - Accent6 4 2 4" xfId="17645" xr:uid="{92E00D24-5E4F-4297-877F-1C32A85E916C}"/>
    <cellStyle name="20% - Accent6 4 2 5" xfId="9197" xr:uid="{CFA2426F-8A08-4E3F-A352-77084694CBB0}"/>
    <cellStyle name="20% - Accent6 4 3" xfId="1070" xr:uid="{00000000-0005-0000-0000-00009F030000}"/>
    <cellStyle name="20% - Accent6 4 3 2" xfId="3301" xr:uid="{00000000-0005-0000-0000-0000A0030000}"/>
    <cellStyle name="20% - Accent6 4 3 2 2" xfId="7523" xr:uid="{00000000-0005-0000-0000-0000A1030000}"/>
    <cellStyle name="20% - Accent6 4 3 2 2 2" xfId="24421" xr:uid="{BFD0AC3D-9FCC-4DBD-8D6E-C8E9AFCEADBB}"/>
    <cellStyle name="20% - Accent6 4 3 2 2 3" xfId="15973" xr:uid="{EAEED232-31AA-4A49-AA3F-62C8EA43A7B9}"/>
    <cellStyle name="20% - Accent6 4 3 2 3" xfId="20203" xr:uid="{9B19A734-0890-4BAA-A976-551D037EE929}"/>
    <cellStyle name="20% - Accent6 4 3 2 4" xfId="11755" xr:uid="{2E76940A-8BCF-4A14-80BF-1A5D0147D6B2}"/>
    <cellStyle name="20% - Accent6 4 3 3" xfId="5378" xr:uid="{00000000-0005-0000-0000-0000A2030000}"/>
    <cellStyle name="20% - Accent6 4 3 3 2" xfId="22276" xr:uid="{15E1543B-134A-4D7D-B499-E4997A073A7B}"/>
    <cellStyle name="20% - Accent6 4 3 3 3" xfId="13828" xr:uid="{FEECBA75-F1D8-401F-A28F-BBAC99B69C6B}"/>
    <cellStyle name="20% - Accent6 4 3 4" xfId="18058" xr:uid="{4D113969-24A7-445C-A0F0-E950FC163EBB}"/>
    <cellStyle name="20% - Accent6 4 3 5" xfId="9610" xr:uid="{320C54B4-1EC3-45C2-A833-E3A93C2B45D6}"/>
    <cellStyle name="20% - Accent6 4 4" xfId="1484" xr:uid="{00000000-0005-0000-0000-0000A3030000}"/>
    <cellStyle name="20% - Accent6 4 4 2" xfId="3714" xr:uid="{00000000-0005-0000-0000-0000A4030000}"/>
    <cellStyle name="20% - Accent6 4 4 2 2" xfId="7936" xr:uid="{00000000-0005-0000-0000-0000A5030000}"/>
    <cellStyle name="20% - Accent6 4 4 2 2 2" xfId="24834" xr:uid="{984F436F-BFB6-4E86-BD39-8101CBE3C0A9}"/>
    <cellStyle name="20% - Accent6 4 4 2 2 3" xfId="16386" xr:uid="{4808B5F6-E1D9-4EAA-8E44-00A5BBEFF866}"/>
    <cellStyle name="20% - Accent6 4 4 2 3" xfId="20616" xr:uid="{C0B026BF-E09C-4EFE-BE65-F76835A299DE}"/>
    <cellStyle name="20% - Accent6 4 4 2 4" xfId="12168" xr:uid="{F98ECECC-5CE6-4EBB-879E-CC5B26903705}"/>
    <cellStyle name="20% - Accent6 4 4 3" xfId="5791" xr:uid="{00000000-0005-0000-0000-0000A6030000}"/>
    <cellStyle name="20% - Accent6 4 4 3 2" xfId="22689" xr:uid="{1F5690E1-4F6B-4C4D-B248-DA14627A1309}"/>
    <cellStyle name="20% - Accent6 4 4 3 3" xfId="14241" xr:uid="{ED8144CE-8C00-4825-B7A4-8917E31F33EB}"/>
    <cellStyle name="20% - Accent6 4 4 4" xfId="18471" xr:uid="{2F576BD9-3C00-4E0A-9CD2-6E7B0996F1CC}"/>
    <cellStyle name="20% - Accent6 4 4 5" xfId="10023" xr:uid="{B311784B-5151-4118-AC77-83C158F8F70B}"/>
    <cellStyle name="20% - Accent6 4 5" xfId="1898" xr:uid="{00000000-0005-0000-0000-0000A7030000}"/>
    <cellStyle name="20% - Accent6 4 5 2" xfId="4127" xr:uid="{00000000-0005-0000-0000-0000A8030000}"/>
    <cellStyle name="20% - Accent6 4 5 2 2" xfId="8349" xr:uid="{00000000-0005-0000-0000-0000A9030000}"/>
    <cellStyle name="20% - Accent6 4 5 2 2 2" xfId="25247" xr:uid="{454D268B-FEB2-42C3-B6C9-89B9F887DFCB}"/>
    <cellStyle name="20% - Accent6 4 5 2 2 3" xfId="16799" xr:uid="{8069514F-FD93-419C-A215-428A93C32FF8}"/>
    <cellStyle name="20% - Accent6 4 5 2 3" xfId="21029" xr:uid="{6D206C65-4DAE-47C5-AB1C-38DD4FEE7977}"/>
    <cellStyle name="20% - Accent6 4 5 2 4" xfId="12581" xr:uid="{9D0B5025-B8B8-4433-B852-A15BC6C3503F}"/>
    <cellStyle name="20% - Accent6 4 5 3" xfId="6204" xr:uid="{00000000-0005-0000-0000-0000AA030000}"/>
    <cellStyle name="20% - Accent6 4 5 3 2" xfId="23102" xr:uid="{7C3D61B5-6A86-41B8-812B-136A3884705C}"/>
    <cellStyle name="20% - Accent6 4 5 3 3" xfId="14654" xr:uid="{54391A47-9422-4D9F-B021-641FCB4A77C2}"/>
    <cellStyle name="20% - Accent6 4 5 4" xfId="18884" xr:uid="{F0361846-828B-40E1-8C18-1CE36A69A05F}"/>
    <cellStyle name="20% - Accent6 4 5 5" xfId="10436" xr:uid="{166E8D2F-BC40-47F6-9568-42DCF152C872}"/>
    <cellStyle name="20% - Accent6 4 6" xfId="2311" xr:uid="{00000000-0005-0000-0000-0000AB030000}"/>
    <cellStyle name="20% - Accent6 4 6 2" xfId="6617" xr:uid="{00000000-0005-0000-0000-0000AC030000}"/>
    <cellStyle name="20% - Accent6 4 6 2 2" xfId="23515" xr:uid="{8DC71321-4A86-449A-8B8F-774A07146FC9}"/>
    <cellStyle name="20% - Accent6 4 6 2 3" xfId="15067" xr:uid="{A1C74039-24D5-4524-9496-FB07BDA37A2E}"/>
    <cellStyle name="20% - Accent6 4 6 3" xfId="19297" xr:uid="{712ECCB2-D17B-4771-BDB5-B33058D3973E}"/>
    <cellStyle name="20% - Accent6 4 6 4" xfId="10849" xr:uid="{FDAA1917-5F3C-4B99-940C-F0EE6E206C9D}"/>
    <cellStyle name="20% - Accent6 4 7" xfId="4551" xr:uid="{00000000-0005-0000-0000-0000AD030000}"/>
    <cellStyle name="20% - Accent6 4 7 2" xfId="21449" xr:uid="{9CC765C4-D1DF-49EF-AF3C-BBBA10AF85B3}"/>
    <cellStyle name="20% - Accent6 4 7 3" xfId="13001" xr:uid="{9150661B-BF64-443A-A3A7-6DD72DCF6461}"/>
    <cellStyle name="20% - Accent6 4 8" xfId="17231" xr:uid="{86F59F19-C87C-4412-B0FD-531BB99FC278}"/>
    <cellStyle name="20% - Accent6 4 9" xfId="8783" xr:uid="{7C942E93-4773-49E8-B814-5FF0DA00DF80}"/>
    <cellStyle name="20% - Accent6 5" xfId="610" xr:uid="{00000000-0005-0000-0000-0000AE030000}"/>
    <cellStyle name="20% - Accent6 5 2" xfId="2881" xr:uid="{00000000-0005-0000-0000-0000AF030000}"/>
    <cellStyle name="20% - Accent6 5 2 2" xfId="7103" xr:uid="{00000000-0005-0000-0000-0000B0030000}"/>
    <cellStyle name="20% - Accent6 5 2 2 2" xfId="24001" xr:uid="{170997B2-C63F-4D9C-B34D-0FADDDE5D2F0}"/>
    <cellStyle name="20% - Accent6 5 2 2 3" xfId="15553" xr:uid="{37A2FE55-E583-41BB-8E60-2DCF5B3D7A5C}"/>
    <cellStyle name="20% - Accent6 5 2 3" xfId="19783" xr:uid="{14194425-88DE-49C2-A262-1DE39CE27411}"/>
    <cellStyle name="20% - Accent6 5 2 4" xfId="11335" xr:uid="{317FA097-743E-46C7-92FE-F853F03E92CE}"/>
    <cellStyle name="20% - Accent6 5 3" xfId="4958" xr:uid="{00000000-0005-0000-0000-0000B1030000}"/>
    <cellStyle name="20% - Accent6 5 3 2" xfId="21856" xr:uid="{689C6079-4022-4E46-B036-174F83588D47}"/>
    <cellStyle name="20% - Accent6 5 3 3" xfId="13408" xr:uid="{CAF836C6-123F-4A6D-AB00-36E44D764768}"/>
    <cellStyle name="20% - Accent6 5 4" xfId="17638" xr:uid="{46D80565-D6FC-4203-8171-32DDF2A25B4E}"/>
    <cellStyle name="20% - Accent6 5 5" xfId="9190" xr:uid="{BB498C61-E142-40F4-BB0F-FA241EF18344}"/>
    <cellStyle name="20% - Accent6 6" xfId="1063" xr:uid="{00000000-0005-0000-0000-0000B2030000}"/>
    <cellStyle name="20% - Accent6 6 2" xfId="3294" xr:uid="{00000000-0005-0000-0000-0000B3030000}"/>
    <cellStyle name="20% - Accent6 6 2 2" xfId="7516" xr:uid="{00000000-0005-0000-0000-0000B4030000}"/>
    <cellStyle name="20% - Accent6 6 2 2 2" xfId="24414" xr:uid="{D88133FC-5189-4F62-9E04-8B302096F889}"/>
    <cellStyle name="20% - Accent6 6 2 2 3" xfId="15966" xr:uid="{23149934-4BB2-436D-BEA4-E506AB7C9537}"/>
    <cellStyle name="20% - Accent6 6 2 3" xfId="20196" xr:uid="{B6FF11C6-9FAE-4845-BD67-5857DDAA981A}"/>
    <cellStyle name="20% - Accent6 6 2 4" xfId="11748" xr:uid="{4B05AA6C-E93F-4803-BF90-3E9F21E7FEE7}"/>
    <cellStyle name="20% - Accent6 6 3" xfId="5371" xr:uid="{00000000-0005-0000-0000-0000B5030000}"/>
    <cellStyle name="20% - Accent6 6 3 2" xfId="22269" xr:uid="{76BD4568-7926-4A94-A0C1-24F4DE0127CC}"/>
    <cellStyle name="20% - Accent6 6 3 3" xfId="13821" xr:uid="{BBED6A5B-C211-4286-9D91-9619BA1AF7EB}"/>
    <cellStyle name="20% - Accent6 6 4" xfId="18051" xr:uid="{58AD736C-299D-4BF5-8515-F8B39D44EBDA}"/>
    <cellStyle name="20% - Accent6 6 5" xfId="9603" xr:uid="{6A9709CA-B833-4F78-8C81-A80F470CCEA1}"/>
    <cellStyle name="20% - Accent6 7" xfId="1477" xr:uid="{00000000-0005-0000-0000-0000B6030000}"/>
    <cellStyle name="20% - Accent6 7 2" xfId="3707" xr:uid="{00000000-0005-0000-0000-0000B7030000}"/>
    <cellStyle name="20% - Accent6 7 2 2" xfId="7929" xr:uid="{00000000-0005-0000-0000-0000B8030000}"/>
    <cellStyle name="20% - Accent6 7 2 2 2" xfId="24827" xr:uid="{502D226C-1532-4DFB-9259-CADB4C59E71B}"/>
    <cellStyle name="20% - Accent6 7 2 2 3" xfId="16379" xr:uid="{12BB2CA4-BE89-42A3-9BFE-172C4B179C4D}"/>
    <cellStyle name="20% - Accent6 7 2 3" xfId="20609" xr:uid="{72B6AEC1-A2C0-4D7D-9C65-35A5E293BFE3}"/>
    <cellStyle name="20% - Accent6 7 2 4" xfId="12161" xr:uid="{3EFBA906-7F25-45BC-8639-D95657E9D397}"/>
    <cellStyle name="20% - Accent6 7 3" xfId="5784" xr:uid="{00000000-0005-0000-0000-0000B9030000}"/>
    <cellStyle name="20% - Accent6 7 3 2" xfId="22682" xr:uid="{12919547-5F11-404B-9F46-A9A22BC0E1B9}"/>
    <cellStyle name="20% - Accent6 7 3 3" xfId="14234" xr:uid="{827855D1-817F-4D40-8D91-1023243ABC5A}"/>
    <cellStyle name="20% - Accent6 7 4" xfId="18464" xr:uid="{FBCBD48F-34B7-4929-AC19-2AA1B7510791}"/>
    <cellStyle name="20% - Accent6 7 5" xfId="10016" xr:uid="{A2FA0282-B650-4033-9057-3FB219DCEB1F}"/>
    <cellStyle name="20% - Accent6 8" xfId="1891" xr:uid="{00000000-0005-0000-0000-0000BA030000}"/>
    <cellStyle name="20% - Accent6 8 2" xfId="4120" xr:uid="{00000000-0005-0000-0000-0000BB030000}"/>
    <cellStyle name="20% - Accent6 8 2 2" xfId="8342" xr:uid="{00000000-0005-0000-0000-0000BC030000}"/>
    <cellStyle name="20% - Accent6 8 2 2 2" xfId="25240" xr:uid="{961FE9DF-30B9-40B3-987B-767A2DBF3B1C}"/>
    <cellStyle name="20% - Accent6 8 2 2 3" xfId="16792" xr:uid="{222BE96E-5455-4344-AFDB-8C49E569EC36}"/>
    <cellStyle name="20% - Accent6 8 2 3" xfId="21022" xr:uid="{EA9712D7-F70D-4B73-8636-1357587ED400}"/>
    <cellStyle name="20% - Accent6 8 2 4" xfId="12574" xr:uid="{0CE7887F-4C55-49E4-B0C6-62155AC3C937}"/>
    <cellStyle name="20% - Accent6 8 3" xfId="6197" xr:uid="{00000000-0005-0000-0000-0000BD030000}"/>
    <cellStyle name="20% - Accent6 8 3 2" xfId="23095" xr:uid="{A5DBE80C-C3ED-4F0F-8DD3-A967C61D8647}"/>
    <cellStyle name="20% - Accent6 8 3 3" xfId="14647" xr:uid="{D35FA865-2296-44C9-A307-5E7FF49EA59B}"/>
    <cellStyle name="20% - Accent6 8 4" xfId="18877" xr:uid="{2C8918C5-140E-4E80-AEBB-0B6ADFE0AB12}"/>
    <cellStyle name="20% - Accent6 8 5" xfId="10429" xr:uid="{36567DB2-21BB-46BB-9422-0F7B3E0D65F9}"/>
    <cellStyle name="20% - Accent6 9" xfId="2304" xr:uid="{00000000-0005-0000-0000-0000BE030000}"/>
    <cellStyle name="20% - Accent6 9 2" xfId="6610" xr:uid="{00000000-0005-0000-0000-0000BF030000}"/>
    <cellStyle name="20% - Accent6 9 2 2" xfId="23508" xr:uid="{94DEA582-F7AA-4C49-B09A-353B54AAF46B}"/>
    <cellStyle name="20% - Accent6 9 2 3" xfId="15060" xr:uid="{E4ED0C5A-E427-46AC-8883-683CC5412A5D}"/>
    <cellStyle name="20% - Accent6 9 3" xfId="19290" xr:uid="{A135B5BC-8A66-4D03-B93C-D7E8C4A786BD}"/>
    <cellStyle name="20% - Accent6 9 4" xfId="10842" xr:uid="{436443C2-78C5-4D68-A5BD-203FE8F89B11}"/>
    <cellStyle name="40% - Accent1" xfId="49" builtinId="31" customBuiltin="1"/>
    <cellStyle name="40% - Accent1 10" xfId="4552" xr:uid="{00000000-0005-0000-0000-0000C1030000}"/>
    <cellStyle name="40% - Accent1 10 2" xfId="21450" xr:uid="{BF9EA051-AA56-4B37-A83F-2B90BB2E5EF5}"/>
    <cellStyle name="40% - Accent1 10 3" xfId="13002" xr:uid="{7509A22C-CEAD-48EC-83B6-14B92B9FEB91}"/>
    <cellStyle name="40% - Accent1 11" xfId="17232" xr:uid="{4D0681A0-02CE-471A-AB3C-3721F8EADEE6}"/>
    <cellStyle name="40% - Accent1 12" xfId="8784" xr:uid="{165F6591-A137-4D51-B80D-AC4CE69B5744}"/>
    <cellStyle name="40% - Accent1 2" xfId="50" xr:uid="{00000000-0005-0000-0000-0000C2030000}"/>
    <cellStyle name="40% - Accent1 2 10" xfId="17233" xr:uid="{AB51B007-027B-4F84-BD40-4F9DFE83DE22}"/>
    <cellStyle name="40% - Accent1 2 11" xfId="8785" xr:uid="{FEBB9577-450F-459B-A0D5-047306E693F4}"/>
    <cellStyle name="40% - Accent1 2 2" xfId="51" xr:uid="{00000000-0005-0000-0000-0000C3030000}"/>
    <cellStyle name="40% - Accent1 2 2 10" xfId="8786" xr:uid="{E500277A-D6A8-4603-97C8-447B56C5ED03}"/>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24012" xr:uid="{A83AF560-A950-4DD4-819C-77DD80C37DDD}"/>
    <cellStyle name="40% - Accent1 2 2 2 2 2 2 3" xfId="15564" xr:uid="{3933F0A3-693A-46DC-B881-7D59607859A9}"/>
    <cellStyle name="40% - Accent1 2 2 2 2 2 3" xfId="19794" xr:uid="{2C1F09E7-AC39-49BD-B645-A291340BF580}"/>
    <cellStyle name="40% - Accent1 2 2 2 2 2 4" xfId="11346" xr:uid="{6FDBA637-A843-4037-8F84-C5B4CF73642D}"/>
    <cellStyle name="40% - Accent1 2 2 2 2 3" xfId="4969" xr:uid="{00000000-0005-0000-0000-0000C8030000}"/>
    <cellStyle name="40% - Accent1 2 2 2 2 3 2" xfId="21867" xr:uid="{300548B7-168A-4136-9BCF-B4EE53D8954B}"/>
    <cellStyle name="40% - Accent1 2 2 2 2 3 3" xfId="13419" xr:uid="{7BD5E8E0-0B4E-4E1B-B541-A03125486C10}"/>
    <cellStyle name="40% - Accent1 2 2 2 2 4" xfId="17649" xr:uid="{8109B0E0-27AB-40B3-A797-66D41B76EB03}"/>
    <cellStyle name="40% - Accent1 2 2 2 2 5" xfId="9201" xr:uid="{29343C6D-E06B-4E06-B67B-C8519D34E457}"/>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24425" xr:uid="{ADAE5563-9C6A-41EC-AC84-1179E3BD1CA2}"/>
    <cellStyle name="40% - Accent1 2 2 2 3 2 2 3" xfId="15977" xr:uid="{B36EC289-41ED-4668-AB04-74C15F31EBF3}"/>
    <cellStyle name="40% - Accent1 2 2 2 3 2 3" xfId="20207" xr:uid="{60FCACE8-D577-4831-9581-77406E6A9B6D}"/>
    <cellStyle name="40% - Accent1 2 2 2 3 2 4" xfId="11759" xr:uid="{DCB73AC5-5A7C-4913-94FA-B103AB038AD6}"/>
    <cellStyle name="40% - Accent1 2 2 2 3 3" xfId="5382" xr:uid="{00000000-0005-0000-0000-0000CC030000}"/>
    <cellStyle name="40% - Accent1 2 2 2 3 3 2" xfId="22280" xr:uid="{D66DE096-AE97-40F7-A425-C0BA6E9B373E}"/>
    <cellStyle name="40% - Accent1 2 2 2 3 3 3" xfId="13832" xr:uid="{D27871C8-2D20-4A0C-BE9E-5D2195A6CDB1}"/>
    <cellStyle name="40% - Accent1 2 2 2 3 4" xfId="18062" xr:uid="{94C6714B-5ACD-4DD8-90C3-576AC92C42F1}"/>
    <cellStyle name="40% - Accent1 2 2 2 3 5" xfId="9614" xr:uid="{DDDAFA3D-B76E-43EA-954B-902E8B087B32}"/>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24838" xr:uid="{07D90F1C-B4F2-4A40-AB22-DA9262633744}"/>
    <cellStyle name="40% - Accent1 2 2 2 4 2 2 3" xfId="16390" xr:uid="{83DE793B-A1BE-4FD8-A870-B7FBD12543FB}"/>
    <cellStyle name="40% - Accent1 2 2 2 4 2 3" xfId="20620" xr:uid="{E0771B74-E3C5-40DE-B060-1DDFD671B1E4}"/>
    <cellStyle name="40% - Accent1 2 2 2 4 2 4" xfId="12172" xr:uid="{DA4F52BD-638C-4851-AEB5-2EB667B8A6E7}"/>
    <cellStyle name="40% - Accent1 2 2 2 4 3" xfId="5795" xr:uid="{00000000-0005-0000-0000-0000D0030000}"/>
    <cellStyle name="40% - Accent1 2 2 2 4 3 2" xfId="22693" xr:uid="{406FDB0A-50F3-4D5F-8CEC-067969E196FE}"/>
    <cellStyle name="40% - Accent1 2 2 2 4 3 3" xfId="14245" xr:uid="{5D9B3B52-E280-4AC0-9DC7-4D85806F2505}"/>
    <cellStyle name="40% - Accent1 2 2 2 4 4" xfId="18475" xr:uid="{CDA579C5-DB18-4F58-8FB7-D87EC81AC3F4}"/>
    <cellStyle name="40% - Accent1 2 2 2 4 5" xfId="10027" xr:uid="{61ECEB06-ACB1-44F7-BDD4-D28EF1A0E699}"/>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25251" xr:uid="{FAA30193-8308-4116-A906-3149EAF26951}"/>
    <cellStyle name="40% - Accent1 2 2 2 5 2 2 3" xfId="16803" xr:uid="{1C4D69CE-913C-4287-BFE7-CF589E6D80CE}"/>
    <cellStyle name="40% - Accent1 2 2 2 5 2 3" xfId="21033" xr:uid="{8BB1E4D5-4945-464C-B1B4-9420D5050280}"/>
    <cellStyle name="40% - Accent1 2 2 2 5 2 4" xfId="12585" xr:uid="{6604AA86-5F2D-4841-9323-F03847A744C9}"/>
    <cellStyle name="40% - Accent1 2 2 2 5 3" xfId="6208" xr:uid="{00000000-0005-0000-0000-0000D4030000}"/>
    <cellStyle name="40% - Accent1 2 2 2 5 3 2" xfId="23106" xr:uid="{780EF4B5-50FC-4B50-8084-3A6A13B05FF7}"/>
    <cellStyle name="40% - Accent1 2 2 2 5 3 3" xfId="14658" xr:uid="{37983A28-5CF2-41F0-AAF0-A0827CED851A}"/>
    <cellStyle name="40% - Accent1 2 2 2 5 4" xfId="18888" xr:uid="{B43D93B5-7C45-4FE9-8B1F-68C59A2143A8}"/>
    <cellStyle name="40% - Accent1 2 2 2 5 5" xfId="10440" xr:uid="{790183C1-6E87-4941-B84E-4FADBC33FC1A}"/>
    <cellStyle name="40% - Accent1 2 2 2 6" xfId="2315" xr:uid="{00000000-0005-0000-0000-0000D5030000}"/>
    <cellStyle name="40% - Accent1 2 2 2 6 2" xfId="6621" xr:uid="{00000000-0005-0000-0000-0000D6030000}"/>
    <cellStyle name="40% - Accent1 2 2 2 6 2 2" xfId="23519" xr:uid="{BE5B625A-E8ED-4418-B255-0D4AD3C44818}"/>
    <cellStyle name="40% - Accent1 2 2 2 6 2 3" xfId="15071" xr:uid="{7CDA5C4F-08D5-4B8C-8486-1CE2BF5738FA}"/>
    <cellStyle name="40% - Accent1 2 2 2 6 3" xfId="19301" xr:uid="{5DF02D9D-0CA7-4C05-A822-7DA346838946}"/>
    <cellStyle name="40% - Accent1 2 2 2 6 4" xfId="10853" xr:uid="{3E0DE614-9176-4CE9-A1E2-B9F33CE3DE39}"/>
    <cellStyle name="40% - Accent1 2 2 2 7" xfId="4555" xr:uid="{00000000-0005-0000-0000-0000D7030000}"/>
    <cellStyle name="40% - Accent1 2 2 2 7 2" xfId="21453" xr:uid="{C27A1BAD-A348-4855-9DB8-985C4BEA9349}"/>
    <cellStyle name="40% - Accent1 2 2 2 7 3" xfId="13005" xr:uid="{821EE0EE-79F8-4DC5-B2E8-8D0DD67EBCD3}"/>
    <cellStyle name="40% - Accent1 2 2 2 8" xfId="17235" xr:uid="{A32466C8-DBDE-41A4-8672-A7793FAA2F7A}"/>
    <cellStyle name="40% - Accent1 2 2 2 9" xfId="8787" xr:uid="{7F95E470-7BEC-459A-9146-E58B3007B16E}"/>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24011" xr:uid="{4B3D2C40-DF86-49E7-8FB2-D73CDE25C754}"/>
    <cellStyle name="40% - Accent1 2 2 3 2 2 3" xfId="15563" xr:uid="{FC701F3E-E019-448C-AB8C-7B2F0202FC70}"/>
    <cellStyle name="40% - Accent1 2 2 3 2 3" xfId="19793" xr:uid="{B3E74097-F704-4B51-9BF0-7B7321F0CDE9}"/>
    <cellStyle name="40% - Accent1 2 2 3 2 4" xfId="11345" xr:uid="{0F21A4F0-DF96-4ED7-8DCF-25397D72F89E}"/>
    <cellStyle name="40% - Accent1 2 2 3 3" xfId="4968" xr:uid="{00000000-0005-0000-0000-0000DB030000}"/>
    <cellStyle name="40% - Accent1 2 2 3 3 2" xfId="21866" xr:uid="{9BFE2BB1-0BCC-4C87-AA54-9266A82B270F}"/>
    <cellStyle name="40% - Accent1 2 2 3 3 3" xfId="13418" xr:uid="{D6D9435E-AC01-4E1A-985C-940695E74CFC}"/>
    <cellStyle name="40% - Accent1 2 2 3 4" xfId="17648" xr:uid="{207307C3-125B-4156-B7DF-13A2B217DB90}"/>
    <cellStyle name="40% - Accent1 2 2 3 5" xfId="9200" xr:uid="{187D5656-EDD3-4ADF-B8F3-17A9B9EDB17C}"/>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24424" xr:uid="{79B5FCDF-1D48-4774-9150-FFD89B0F0FA6}"/>
    <cellStyle name="40% - Accent1 2 2 4 2 2 3" xfId="15976" xr:uid="{C9651168-C8A1-4B26-B7DB-43517D635299}"/>
    <cellStyle name="40% - Accent1 2 2 4 2 3" xfId="20206" xr:uid="{013CF459-E73F-403F-B5EF-50C423FB5B68}"/>
    <cellStyle name="40% - Accent1 2 2 4 2 4" xfId="11758" xr:uid="{8EF9A4D5-8161-4111-87C5-99549F15D262}"/>
    <cellStyle name="40% - Accent1 2 2 4 3" xfId="5381" xr:uid="{00000000-0005-0000-0000-0000DF030000}"/>
    <cellStyle name="40% - Accent1 2 2 4 3 2" xfId="22279" xr:uid="{B4041F8A-C05B-4FFA-B90F-B56298007D36}"/>
    <cellStyle name="40% - Accent1 2 2 4 3 3" xfId="13831" xr:uid="{7820F66B-8962-497F-A2DE-6E73A4E1CDD8}"/>
    <cellStyle name="40% - Accent1 2 2 4 4" xfId="18061" xr:uid="{6B0488C9-41F5-4F36-8475-06B0270A1804}"/>
    <cellStyle name="40% - Accent1 2 2 4 5" xfId="9613" xr:uid="{02E63475-03FB-4AAF-8560-94CEA33EB57A}"/>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24837" xr:uid="{EE354C2A-8C4E-4B1E-A0D2-D29F60C74398}"/>
    <cellStyle name="40% - Accent1 2 2 5 2 2 3" xfId="16389" xr:uid="{43A60B00-B772-4E79-A119-F8A40A283760}"/>
    <cellStyle name="40% - Accent1 2 2 5 2 3" xfId="20619" xr:uid="{4B46CAB4-9237-40D2-B0AE-F62F88780FED}"/>
    <cellStyle name="40% - Accent1 2 2 5 2 4" xfId="12171" xr:uid="{E5896179-89FC-4064-96F3-7E5F20A4A013}"/>
    <cellStyle name="40% - Accent1 2 2 5 3" xfId="5794" xr:uid="{00000000-0005-0000-0000-0000E3030000}"/>
    <cellStyle name="40% - Accent1 2 2 5 3 2" xfId="22692" xr:uid="{611B0EE6-F498-4D40-98E8-F62C810423B0}"/>
    <cellStyle name="40% - Accent1 2 2 5 3 3" xfId="14244" xr:uid="{514647BA-816F-4E50-9A0E-65E1D56C9293}"/>
    <cellStyle name="40% - Accent1 2 2 5 4" xfId="18474" xr:uid="{C8E1285B-9A34-4AA5-B4CF-CFD4FC09F429}"/>
    <cellStyle name="40% - Accent1 2 2 5 5" xfId="10026" xr:uid="{0F522981-5CDA-4BA7-BFAF-31B034857D78}"/>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25250" xr:uid="{09A4D962-3830-4F08-BC3D-D593A52A6647}"/>
    <cellStyle name="40% - Accent1 2 2 6 2 2 3" xfId="16802" xr:uid="{7EEC7899-C70D-4852-85E3-48722E759D51}"/>
    <cellStyle name="40% - Accent1 2 2 6 2 3" xfId="21032" xr:uid="{2E14C2D6-0009-4B8D-BE00-983ACE073F66}"/>
    <cellStyle name="40% - Accent1 2 2 6 2 4" xfId="12584" xr:uid="{A340FB38-8BB4-49B5-8981-E2DA38F1902A}"/>
    <cellStyle name="40% - Accent1 2 2 6 3" xfId="6207" xr:uid="{00000000-0005-0000-0000-0000E7030000}"/>
    <cellStyle name="40% - Accent1 2 2 6 3 2" xfId="23105" xr:uid="{8CB34DD7-13B6-4D09-A003-5A7879E67041}"/>
    <cellStyle name="40% - Accent1 2 2 6 3 3" xfId="14657" xr:uid="{39046886-85D8-492C-A2AD-30027F119E52}"/>
    <cellStyle name="40% - Accent1 2 2 6 4" xfId="18887" xr:uid="{9EBA2E37-C1C7-4C6C-B25A-DB6D5D88BCC9}"/>
    <cellStyle name="40% - Accent1 2 2 6 5" xfId="10439" xr:uid="{00095DB6-B91F-4F01-AD59-5CA439DBBE1C}"/>
    <cellStyle name="40% - Accent1 2 2 7" xfId="2314" xr:uid="{00000000-0005-0000-0000-0000E8030000}"/>
    <cellStyle name="40% - Accent1 2 2 7 2" xfId="6620" xr:uid="{00000000-0005-0000-0000-0000E9030000}"/>
    <cellStyle name="40% - Accent1 2 2 7 2 2" xfId="23518" xr:uid="{ACC7B8A0-7BE5-4DCD-B5C7-AFF002F917CA}"/>
    <cellStyle name="40% - Accent1 2 2 7 2 3" xfId="15070" xr:uid="{CD756A80-053B-493F-95B3-D2CCBE12686D}"/>
    <cellStyle name="40% - Accent1 2 2 7 3" xfId="19300" xr:uid="{D1A95117-6349-43CD-80B7-65F93F65947B}"/>
    <cellStyle name="40% - Accent1 2 2 7 4" xfId="10852" xr:uid="{3250713B-ADEC-480C-9143-AD5349115AA1}"/>
    <cellStyle name="40% - Accent1 2 2 8" xfId="4554" xr:uid="{00000000-0005-0000-0000-0000EA030000}"/>
    <cellStyle name="40% - Accent1 2 2 8 2" xfId="21452" xr:uid="{24D4BFB5-37D4-48A7-A704-14EC3616BE98}"/>
    <cellStyle name="40% - Accent1 2 2 8 3" xfId="13004" xr:uid="{CEC1F16E-CC8C-4CF1-9CC3-75E3C18AEDDF}"/>
    <cellStyle name="40% - Accent1 2 2 9" xfId="17234" xr:uid="{405A25DF-C5C0-437F-BFF2-D529E94F23F9}"/>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24013" xr:uid="{985B7E17-3E38-446C-8A1D-63D00117C341}"/>
    <cellStyle name="40% - Accent1 2 3 2 2 2 3" xfId="15565" xr:uid="{E5DF6CAF-8366-4CF1-894C-C3D057428FED}"/>
    <cellStyle name="40% - Accent1 2 3 2 2 3" xfId="19795" xr:uid="{2081DC86-B230-4853-8941-3497A5D8B17B}"/>
    <cellStyle name="40% - Accent1 2 3 2 2 4" xfId="11347" xr:uid="{910A4C86-1847-4BEC-BBCC-6F06EBEF1252}"/>
    <cellStyle name="40% - Accent1 2 3 2 3" xfId="4970" xr:uid="{00000000-0005-0000-0000-0000EF030000}"/>
    <cellStyle name="40% - Accent1 2 3 2 3 2" xfId="21868" xr:uid="{814A2BA4-6107-474F-A9EF-D194A23A682D}"/>
    <cellStyle name="40% - Accent1 2 3 2 3 3" xfId="13420" xr:uid="{C784E37F-415A-4466-BD92-56B0F24EAED2}"/>
    <cellStyle name="40% - Accent1 2 3 2 4" xfId="17650" xr:uid="{8C46FB99-BA92-41D8-9CEC-C0B28B6FD508}"/>
    <cellStyle name="40% - Accent1 2 3 2 5" xfId="9202" xr:uid="{948B3225-565B-4005-802C-D7D351DF29E0}"/>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24426" xr:uid="{5E464132-916B-4A05-86A5-E865ADDEB038}"/>
    <cellStyle name="40% - Accent1 2 3 3 2 2 3" xfId="15978" xr:uid="{B98C40E7-FEA4-43AF-9C91-DD2E47F2FE7E}"/>
    <cellStyle name="40% - Accent1 2 3 3 2 3" xfId="20208" xr:uid="{77CA6D3D-3F02-4D8F-B48A-67B5C46702F3}"/>
    <cellStyle name="40% - Accent1 2 3 3 2 4" xfId="11760" xr:uid="{6E3939BF-EA71-4E72-8F65-D9B2742F459B}"/>
    <cellStyle name="40% - Accent1 2 3 3 3" xfId="5383" xr:uid="{00000000-0005-0000-0000-0000F3030000}"/>
    <cellStyle name="40% - Accent1 2 3 3 3 2" xfId="22281" xr:uid="{351B2F95-AF3B-4E87-97A3-FCEB5A614977}"/>
    <cellStyle name="40% - Accent1 2 3 3 3 3" xfId="13833" xr:uid="{3AEC2789-C7B6-46AB-8CC8-4B9AB8AAEC12}"/>
    <cellStyle name="40% - Accent1 2 3 3 4" xfId="18063" xr:uid="{7DE73360-18C9-4E87-8EAC-7B40366F4B98}"/>
    <cellStyle name="40% - Accent1 2 3 3 5" xfId="9615" xr:uid="{BC726ECE-7232-4C41-91FD-CB00DF42CEEA}"/>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24839" xr:uid="{9E75ADDD-B481-4188-989D-9F7BAD8202C8}"/>
    <cellStyle name="40% - Accent1 2 3 4 2 2 3" xfId="16391" xr:uid="{8470DE6D-41F0-4545-BF28-623304EF5D84}"/>
    <cellStyle name="40% - Accent1 2 3 4 2 3" xfId="20621" xr:uid="{90CB4369-BBEF-455B-8DFA-48D0F6CA1684}"/>
    <cellStyle name="40% - Accent1 2 3 4 2 4" xfId="12173" xr:uid="{9F516B05-6C7A-47B7-B45E-2E5C25D7C69B}"/>
    <cellStyle name="40% - Accent1 2 3 4 3" xfId="5796" xr:uid="{00000000-0005-0000-0000-0000F7030000}"/>
    <cellStyle name="40% - Accent1 2 3 4 3 2" xfId="22694" xr:uid="{77AAA0D9-4281-4F14-B6A7-C09DFE1DB2C5}"/>
    <cellStyle name="40% - Accent1 2 3 4 3 3" xfId="14246" xr:uid="{7B6EDA57-E475-426C-91D5-5799751B0C68}"/>
    <cellStyle name="40% - Accent1 2 3 4 4" xfId="18476" xr:uid="{E7F2CF17-E454-455D-9F0D-AF1B0991B222}"/>
    <cellStyle name="40% - Accent1 2 3 4 5" xfId="10028" xr:uid="{7BDE2915-9C28-4F45-A024-DA002D976064}"/>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25252" xr:uid="{FEC50499-0001-49B5-94CF-BDAFD26320EE}"/>
    <cellStyle name="40% - Accent1 2 3 5 2 2 3" xfId="16804" xr:uid="{4466C36A-E141-4B6B-A86B-CE4346D4486F}"/>
    <cellStyle name="40% - Accent1 2 3 5 2 3" xfId="21034" xr:uid="{E333DE02-C7D0-4CE4-9A3A-63E716D0ECB4}"/>
    <cellStyle name="40% - Accent1 2 3 5 2 4" xfId="12586" xr:uid="{C33F41EF-5910-4911-A9DF-457A6AA29BBA}"/>
    <cellStyle name="40% - Accent1 2 3 5 3" xfId="6209" xr:uid="{00000000-0005-0000-0000-0000FB030000}"/>
    <cellStyle name="40% - Accent1 2 3 5 3 2" xfId="23107" xr:uid="{0705E6DA-B639-4235-83F6-BA1D5C117B47}"/>
    <cellStyle name="40% - Accent1 2 3 5 3 3" xfId="14659" xr:uid="{81C2953F-863D-49A2-B0EE-0ECF4DEC6FEA}"/>
    <cellStyle name="40% - Accent1 2 3 5 4" xfId="18889" xr:uid="{3526A143-802C-43AF-9E50-6BBD6EB1E077}"/>
    <cellStyle name="40% - Accent1 2 3 5 5" xfId="10441" xr:uid="{42FDC865-FC6F-45ED-9C5F-E4D1198888B2}"/>
    <cellStyle name="40% - Accent1 2 3 6" xfId="2316" xr:uid="{00000000-0005-0000-0000-0000FC030000}"/>
    <cellStyle name="40% - Accent1 2 3 6 2" xfId="6622" xr:uid="{00000000-0005-0000-0000-0000FD030000}"/>
    <cellStyle name="40% - Accent1 2 3 6 2 2" xfId="23520" xr:uid="{8E86C39E-B0E2-4113-8BAE-60CBDF17C29B}"/>
    <cellStyle name="40% - Accent1 2 3 6 2 3" xfId="15072" xr:uid="{2E63CF30-A60C-433A-ADA2-30604BCD4B75}"/>
    <cellStyle name="40% - Accent1 2 3 6 3" xfId="19302" xr:uid="{CF898EC7-85F3-4F69-A7BD-174E3103175A}"/>
    <cellStyle name="40% - Accent1 2 3 6 4" xfId="10854" xr:uid="{8FB90840-D102-48DD-9835-20DC072F1047}"/>
    <cellStyle name="40% - Accent1 2 3 7" xfId="4556" xr:uid="{00000000-0005-0000-0000-0000FE030000}"/>
    <cellStyle name="40% - Accent1 2 3 7 2" xfId="21454" xr:uid="{42E14A90-459B-4DF3-9526-14F744C87BFC}"/>
    <cellStyle name="40% - Accent1 2 3 7 3" xfId="13006" xr:uid="{8E9E3AF8-988C-4B83-8244-32CC3047202A}"/>
    <cellStyle name="40% - Accent1 2 3 8" xfId="17236" xr:uid="{7CEBE15C-7DD2-4465-AF78-2AD2132BA8DE}"/>
    <cellStyle name="40% - Accent1 2 3 9" xfId="8788" xr:uid="{4CE88D8D-B27D-44A3-A530-56BD7A760016}"/>
    <cellStyle name="40% - Accent1 2 4" xfId="619" xr:uid="{00000000-0005-0000-0000-0000FF030000}"/>
    <cellStyle name="40% - Accent1 2 4 2" xfId="2890" xr:uid="{00000000-0005-0000-0000-000000040000}"/>
    <cellStyle name="40% - Accent1 2 4 2 2" xfId="7112" xr:uid="{00000000-0005-0000-0000-000001040000}"/>
    <cellStyle name="40% - Accent1 2 4 2 2 2" xfId="24010" xr:uid="{A8E55919-42CA-4CF2-82C8-562CCC4BAF23}"/>
    <cellStyle name="40% - Accent1 2 4 2 2 3" xfId="15562" xr:uid="{B947F2E2-3233-485A-8102-F0042CF47312}"/>
    <cellStyle name="40% - Accent1 2 4 2 3" xfId="19792" xr:uid="{3E9465F8-F2A4-460B-9C43-BF8764607CA8}"/>
    <cellStyle name="40% - Accent1 2 4 2 4" xfId="11344" xr:uid="{9A3137D6-3845-4302-BF50-B7A92FDE4C01}"/>
    <cellStyle name="40% - Accent1 2 4 3" xfId="4967" xr:uid="{00000000-0005-0000-0000-000002040000}"/>
    <cellStyle name="40% - Accent1 2 4 3 2" xfId="21865" xr:uid="{3D0A0733-D5D4-4295-9452-ABBC4D24BA62}"/>
    <cellStyle name="40% - Accent1 2 4 3 3" xfId="13417" xr:uid="{F227962F-5982-442D-BB08-61DB1AC982EF}"/>
    <cellStyle name="40% - Accent1 2 4 4" xfId="17647" xr:uid="{A4919FCE-7626-4C7E-82AD-7E7D814E6A42}"/>
    <cellStyle name="40% - Accent1 2 4 5" xfId="9199" xr:uid="{EA5D5093-9094-417C-A0FD-DF1161354D6B}"/>
    <cellStyle name="40% - Accent1 2 5" xfId="1072" xr:uid="{00000000-0005-0000-0000-000003040000}"/>
    <cellStyle name="40% - Accent1 2 5 2" xfId="3303" xr:uid="{00000000-0005-0000-0000-000004040000}"/>
    <cellStyle name="40% - Accent1 2 5 2 2" xfId="7525" xr:uid="{00000000-0005-0000-0000-000005040000}"/>
    <cellStyle name="40% - Accent1 2 5 2 2 2" xfId="24423" xr:uid="{E2D836AD-0A56-4CF2-A832-6BC07F8EB562}"/>
    <cellStyle name="40% - Accent1 2 5 2 2 3" xfId="15975" xr:uid="{0E034049-3321-4C09-9EA0-6157F99FBDFA}"/>
    <cellStyle name="40% - Accent1 2 5 2 3" xfId="20205" xr:uid="{D960100B-FE0B-4589-B7C9-FE20558492F9}"/>
    <cellStyle name="40% - Accent1 2 5 2 4" xfId="11757" xr:uid="{AF5319B3-8874-4347-8BD9-D0276D8DBA21}"/>
    <cellStyle name="40% - Accent1 2 5 3" xfId="5380" xr:uid="{00000000-0005-0000-0000-000006040000}"/>
    <cellStyle name="40% - Accent1 2 5 3 2" xfId="22278" xr:uid="{735CBE4E-6AE6-43F4-97BB-B3D76A231132}"/>
    <cellStyle name="40% - Accent1 2 5 3 3" xfId="13830" xr:uid="{E1A64521-95FD-4E50-9533-D92366676097}"/>
    <cellStyle name="40% - Accent1 2 5 4" xfId="18060" xr:uid="{2D8968A6-A6D7-4B0E-9632-4C9DECEB4E1A}"/>
    <cellStyle name="40% - Accent1 2 5 5" xfId="9612" xr:uid="{AC98DBC2-7AE6-403C-B634-3ACD65D5466A}"/>
    <cellStyle name="40% - Accent1 2 6" xfId="1486" xr:uid="{00000000-0005-0000-0000-000007040000}"/>
    <cellStyle name="40% - Accent1 2 6 2" xfId="3716" xr:uid="{00000000-0005-0000-0000-000008040000}"/>
    <cellStyle name="40% - Accent1 2 6 2 2" xfId="7938" xr:uid="{00000000-0005-0000-0000-000009040000}"/>
    <cellStyle name="40% - Accent1 2 6 2 2 2" xfId="24836" xr:uid="{0967F317-3483-4D1B-984F-7F2B18F281C3}"/>
    <cellStyle name="40% - Accent1 2 6 2 2 3" xfId="16388" xr:uid="{66F90C79-5DF0-4549-92DA-EFC9054231BC}"/>
    <cellStyle name="40% - Accent1 2 6 2 3" xfId="20618" xr:uid="{42B28C0F-283E-4C3A-A28D-29908CF9C5C3}"/>
    <cellStyle name="40% - Accent1 2 6 2 4" xfId="12170" xr:uid="{5AD4E419-7F7A-4B26-A7DB-5145CD1F0E52}"/>
    <cellStyle name="40% - Accent1 2 6 3" xfId="5793" xr:uid="{00000000-0005-0000-0000-00000A040000}"/>
    <cellStyle name="40% - Accent1 2 6 3 2" xfId="22691" xr:uid="{E516A341-B1DD-4AAC-B256-198375E1A27B}"/>
    <cellStyle name="40% - Accent1 2 6 3 3" xfId="14243" xr:uid="{14EEB946-C39A-454B-A293-13441F1E9FBE}"/>
    <cellStyle name="40% - Accent1 2 6 4" xfId="18473" xr:uid="{FD7D7020-6C35-4BCB-9C43-E18E8F2C6A9F}"/>
    <cellStyle name="40% - Accent1 2 6 5" xfId="10025" xr:uid="{957B627E-116A-4F02-A564-EE520FE12644}"/>
    <cellStyle name="40% - Accent1 2 7" xfId="1900" xr:uid="{00000000-0005-0000-0000-00000B040000}"/>
    <cellStyle name="40% - Accent1 2 7 2" xfId="4129" xr:uid="{00000000-0005-0000-0000-00000C040000}"/>
    <cellStyle name="40% - Accent1 2 7 2 2" xfId="8351" xr:uid="{00000000-0005-0000-0000-00000D040000}"/>
    <cellStyle name="40% - Accent1 2 7 2 2 2" xfId="25249" xr:uid="{459FCE91-D29D-40CA-8186-E357F4EC7908}"/>
    <cellStyle name="40% - Accent1 2 7 2 2 3" xfId="16801" xr:uid="{A8EA97B3-B44F-4A22-8D63-27B555051E34}"/>
    <cellStyle name="40% - Accent1 2 7 2 3" xfId="21031" xr:uid="{8CDE1063-10AD-420D-B79E-6B84D9B15533}"/>
    <cellStyle name="40% - Accent1 2 7 2 4" xfId="12583" xr:uid="{467A6B06-1270-4581-A911-B1D0A63F1CFE}"/>
    <cellStyle name="40% - Accent1 2 7 3" xfId="6206" xr:uid="{00000000-0005-0000-0000-00000E040000}"/>
    <cellStyle name="40% - Accent1 2 7 3 2" xfId="23104" xr:uid="{26652CF5-6946-4F66-A71E-C5B5871DE383}"/>
    <cellStyle name="40% - Accent1 2 7 3 3" xfId="14656" xr:uid="{BA144941-3024-4DB9-93B2-BF67E0FDD39F}"/>
    <cellStyle name="40% - Accent1 2 7 4" xfId="18886" xr:uid="{8D11091F-498F-47A5-8ED5-5E6CB6371BCE}"/>
    <cellStyle name="40% - Accent1 2 7 5" xfId="10438" xr:uid="{182A95AD-5F9A-46D6-9EC9-2A89A62DCBFE}"/>
    <cellStyle name="40% - Accent1 2 8" xfId="2313" xr:uid="{00000000-0005-0000-0000-00000F040000}"/>
    <cellStyle name="40% - Accent1 2 8 2" xfId="6619" xr:uid="{00000000-0005-0000-0000-000010040000}"/>
    <cellStyle name="40% - Accent1 2 8 2 2" xfId="23517" xr:uid="{E0DC1B9F-2EA1-489F-B918-7A0FC7F59C05}"/>
    <cellStyle name="40% - Accent1 2 8 2 3" xfId="15069" xr:uid="{881A4187-3C32-442D-990D-5561932105A8}"/>
    <cellStyle name="40% - Accent1 2 8 3" xfId="19299" xr:uid="{24467F2B-95CB-410B-8C43-B1ED7B4A1F22}"/>
    <cellStyle name="40% - Accent1 2 8 4" xfId="10851" xr:uid="{D861348E-AEE8-4823-AA96-F4DA35277C91}"/>
    <cellStyle name="40% - Accent1 2 9" xfId="4553" xr:uid="{00000000-0005-0000-0000-000011040000}"/>
    <cellStyle name="40% - Accent1 2 9 2" xfId="21451" xr:uid="{BB74526E-89A0-4359-AFBD-6C9EE5F9E299}"/>
    <cellStyle name="40% - Accent1 2 9 3" xfId="13003" xr:uid="{36E332C9-AB1F-4CB5-99AB-646839E0641C}"/>
    <cellStyle name="40% - Accent1 3" xfId="54" xr:uid="{00000000-0005-0000-0000-000012040000}"/>
    <cellStyle name="40% - Accent1 3 10" xfId="8789" xr:uid="{D1F2DAC8-B4D0-4A2B-8429-DC8E47B511B9}"/>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24015" xr:uid="{6912F460-2E7A-4B69-A79C-4F629767AC63}"/>
    <cellStyle name="40% - Accent1 3 2 2 2 2 3" xfId="15567" xr:uid="{FD1CF676-667B-4956-B376-94C068948483}"/>
    <cellStyle name="40% - Accent1 3 2 2 2 3" xfId="19797" xr:uid="{72826B20-401F-4D77-BD0E-1A1A0AA52843}"/>
    <cellStyle name="40% - Accent1 3 2 2 2 4" xfId="11349" xr:uid="{3CD86665-2595-4DFB-A313-AC78CE9FFB7A}"/>
    <cellStyle name="40% - Accent1 3 2 2 3" xfId="4972" xr:uid="{00000000-0005-0000-0000-000017040000}"/>
    <cellStyle name="40% - Accent1 3 2 2 3 2" xfId="21870" xr:uid="{8B2FE1CC-6342-4A09-B177-27A5C15C1F58}"/>
    <cellStyle name="40% - Accent1 3 2 2 3 3" xfId="13422" xr:uid="{D6F54F3B-7D33-431D-BE39-8D89FAD8F881}"/>
    <cellStyle name="40% - Accent1 3 2 2 4" xfId="17652" xr:uid="{588DD844-649D-4E7D-BFEE-3043034C0AB0}"/>
    <cellStyle name="40% - Accent1 3 2 2 5" xfId="9204" xr:uid="{D0707014-5C21-40F5-9914-522084BE52DB}"/>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24428" xr:uid="{F308C59A-757F-45FA-B01C-EED1D78E2DF3}"/>
    <cellStyle name="40% - Accent1 3 2 3 2 2 3" xfId="15980" xr:uid="{8736E669-169A-434A-98B4-1942C7A08B6F}"/>
    <cellStyle name="40% - Accent1 3 2 3 2 3" xfId="20210" xr:uid="{863B1048-B964-4BE9-B384-1FD42BA9C0E0}"/>
    <cellStyle name="40% - Accent1 3 2 3 2 4" xfId="11762" xr:uid="{D4DE1582-4915-4BF2-A91C-6D6E94B8D57F}"/>
    <cellStyle name="40% - Accent1 3 2 3 3" xfId="5385" xr:uid="{00000000-0005-0000-0000-00001B040000}"/>
    <cellStyle name="40% - Accent1 3 2 3 3 2" xfId="22283" xr:uid="{7331BFD1-9417-4EF1-9AF7-718F617A5099}"/>
    <cellStyle name="40% - Accent1 3 2 3 3 3" xfId="13835" xr:uid="{552448BF-6A2D-44B5-A6DB-2F6A378EA3FC}"/>
    <cellStyle name="40% - Accent1 3 2 3 4" xfId="18065" xr:uid="{43B8ABB6-8681-4912-997C-96B23B311AD6}"/>
    <cellStyle name="40% - Accent1 3 2 3 5" xfId="9617" xr:uid="{DFCC0000-E707-4D43-81B8-BACFDE36A7FC}"/>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24841" xr:uid="{233DC3E4-05C6-4656-93B8-5A8913BC7EED}"/>
    <cellStyle name="40% - Accent1 3 2 4 2 2 3" xfId="16393" xr:uid="{579CAAF8-57E0-4EDC-B2CD-8E3A764316CB}"/>
    <cellStyle name="40% - Accent1 3 2 4 2 3" xfId="20623" xr:uid="{70C1832A-C54C-48EF-A465-AD9F538A3F4E}"/>
    <cellStyle name="40% - Accent1 3 2 4 2 4" xfId="12175" xr:uid="{3C21EAE2-0EAD-4383-BD12-39D130F8B377}"/>
    <cellStyle name="40% - Accent1 3 2 4 3" xfId="5798" xr:uid="{00000000-0005-0000-0000-00001F040000}"/>
    <cellStyle name="40% - Accent1 3 2 4 3 2" xfId="22696" xr:uid="{8B7B0A8E-0C8B-4219-9022-D775ED7331F9}"/>
    <cellStyle name="40% - Accent1 3 2 4 3 3" xfId="14248" xr:uid="{264F03F7-D108-45C6-8ADE-846769CDA0D3}"/>
    <cellStyle name="40% - Accent1 3 2 4 4" xfId="18478" xr:uid="{938BE46B-2871-43DE-BC30-575E0AE3ED1D}"/>
    <cellStyle name="40% - Accent1 3 2 4 5" xfId="10030" xr:uid="{06E4BC54-AAE9-4021-A5E7-D86402328501}"/>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25254" xr:uid="{622BDF86-960E-45CE-85AF-21654DEA9250}"/>
    <cellStyle name="40% - Accent1 3 2 5 2 2 3" xfId="16806" xr:uid="{22F749B1-9935-4EC2-BB74-E5381D6E2306}"/>
    <cellStyle name="40% - Accent1 3 2 5 2 3" xfId="21036" xr:uid="{383E90B8-F686-442D-9963-284A5BB9CBCD}"/>
    <cellStyle name="40% - Accent1 3 2 5 2 4" xfId="12588" xr:uid="{9392B318-821F-4744-B941-F1596F82AD74}"/>
    <cellStyle name="40% - Accent1 3 2 5 3" xfId="6211" xr:uid="{00000000-0005-0000-0000-000023040000}"/>
    <cellStyle name="40% - Accent1 3 2 5 3 2" xfId="23109" xr:uid="{769A98BE-B52B-478C-A09A-CD419459CC9C}"/>
    <cellStyle name="40% - Accent1 3 2 5 3 3" xfId="14661" xr:uid="{C89E4DD1-893A-4686-82C5-2AB45BF04DEE}"/>
    <cellStyle name="40% - Accent1 3 2 5 4" xfId="18891" xr:uid="{1A68F75C-3D03-4B55-96F3-EF127FD440BC}"/>
    <cellStyle name="40% - Accent1 3 2 5 5" xfId="10443" xr:uid="{DCB6FCBA-FF40-4925-A102-930C5BCDB0A3}"/>
    <cellStyle name="40% - Accent1 3 2 6" xfId="2318" xr:uid="{00000000-0005-0000-0000-000024040000}"/>
    <cellStyle name="40% - Accent1 3 2 6 2" xfId="6624" xr:uid="{00000000-0005-0000-0000-000025040000}"/>
    <cellStyle name="40% - Accent1 3 2 6 2 2" xfId="23522" xr:uid="{CA4EF79F-20E0-4F61-8207-B2FFE38F7437}"/>
    <cellStyle name="40% - Accent1 3 2 6 2 3" xfId="15074" xr:uid="{064C2E57-CEE5-4039-AE3A-57074C150126}"/>
    <cellStyle name="40% - Accent1 3 2 6 3" xfId="19304" xr:uid="{BE99EA14-4FA9-4AEC-BDCA-0E9594E04CDE}"/>
    <cellStyle name="40% - Accent1 3 2 6 4" xfId="10856" xr:uid="{FE1D0C50-B08B-43B1-80B6-D808DCCCA72F}"/>
    <cellStyle name="40% - Accent1 3 2 7" xfId="4558" xr:uid="{00000000-0005-0000-0000-000026040000}"/>
    <cellStyle name="40% - Accent1 3 2 7 2" xfId="21456" xr:uid="{649D9C20-1A9B-4238-A000-674AF244D5A8}"/>
    <cellStyle name="40% - Accent1 3 2 7 3" xfId="13008" xr:uid="{847F69A2-25A3-46EA-9F69-DACF05CB4ADD}"/>
    <cellStyle name="40% - Accent1 3 2 8" xfId="17238" xr:uid="{7DD9F402-5AD6-43F8-A561-53A683089B0E}"/>
    <cellStyle name="40% - Accent1 3 2 9" xfId="8790" xr:uid="{253036E0-2F31-4583-A177-5D36E0568489}"/>
    <cellStyle name="40% - Accent1 3 3" xfId="623" xr:uid="{00000000-0005-0000-0000-000027040000}"/>
    <cellStyle name="40% - Accent1 3 3 2" xfId="2894" xr:uid="{00000000-0005-0000-0000-000028040000}"/>
    <cellStyle name="40% - Accent1 3 3 2 2" xfId="7116" xr:uid="{00000000-0005-0000-0000-000029040000}"/>
    <cellStyle name="40% - Accent1 3 3 2 2 2" xfId="24014" xr:uid="{97C775FC-92C8-46AF-B698-AEAF31BCEFDE}"/>
    <cellStyle name="40% - Accent1 3 3 2 2 3" xfId="15566" xr:uid="{7E24230D-D722-4928-9388-2A7194BA2C55}"/>
    <cellStyle name="40% - Accent1 3 3 2 3" xfId="19796" xr:uid="{9FFDD00A-85BC-4E24-8F0E-286D8590118E}"/>
    <cellStyle name="40% - Accent1 3 3 2 4" xfId="11348" xr:uid="{3E0D4F95-2280-428B-B166-E4B9947A710E}"/>
    <cellStyle name="40% - Accent1 3 3 3" xfId="4971" xr:uid="{00000000-0005-0000-0000-00002A040000}"/>
    <cellStyle name="40% - Accent1 3 3 3 2" xfId="21869" xr:uid="{2783BD3E-222F-4850-B2FA-03A98B94861A}"/>
    <cellStyle name="40% - Accent1 3 3 3 3" xfId="13421" xr:uid="{A0023F22-1E9C-40FF-AB1B-946C8A022C81}"/>
    <cellStyle name="40% - Accent1 3 3 4" xfId="17651" xr:uid="{54A40202-21AB-41FE-8AAD-313A28D2DC87}"/>
    <cellStyle name="40% - Accent1 3 3 5" xfId="9203" xr:uid="{C414E5EA-6635-4B76-B813-AAA8FDCDA756}"/>
    <cellStyle name="40% - Accent1 3 4" xfId="1076" xr:uid="{00000000-0005-0000-0000-00002B040000}"/>
    <cellStyle name="40% - Accent1 3 4 2" xfId="3307" xr:uid="{00000000-0005-0000-0000-00002C040000}"/>
    <cellStyle name="40% - Accent1 3 4 2 2" xfId="7529" xr:uid="{00000000-0005-0000-0000-00002D040000}"/>
    <cellStyle name="40% - Accent1 3 4 2 2 2" xfId="24427" xr:uid="{99742127-06FE-43AF-996A-170AAA693E6C}"/>
    <cellStyle name="40% - Accent1 3 4 2 2 3" xfId="15979" xr:uid="{CC5E1D17-D284-4FA9-B420-E04D962668C4}"/>
    <cellStyle name="40% - Accent1 3 4 2 3" xfId="20209" xr:uid="{4492CEBE-EB7C-457B-9850-B81874BF538A}"/>
    <cellStyle name="40% - Accent1 3 4 2 4" xfId="11761" xr:uid="{3C867BA0-D62A-4E25-9291-04150E1C19C4}"/>
    <cellStyle name="40% - Accent1 3 4 3" xfId="5384" xr:uid="{00000000-0005-0000-0000-00002E040000}"/>
    <cellStyle name="40% - Accent1 3 4 3 2" xfId="22282" xr:uid="{277D3C8E-D4AF-4E5E-8F72-05F37A64E0B6}"/>
    <cellStyle name="40% - Accent1 3 4 3 3" xfId="13834" xr:uid="{8CD54D95-CFD7-4CFE-859C-B4F8FD2F7C52}"/>
    <cellStyle name="40% - Accent1 3 4 4" xfId="18064" xr:uid="{3405A36D-F661-408E-B98C-E8AD6C5AE789}"/>
    <cellStyle name="40% - Accent1 3 4 5" xfId="9616" xr:uid="{EB7CDCAE-0D43-43CF-9332-1C11F9D7A03F}"/>
    <cellStyle name="40% - Accent1 3 5" xfId="1490" xr:uid="{00000000-0005-0000-0000-00002F040000}"/>
    <cellStyle name="40% - Accent1 3 5 2" xfId="3720" xr:uid="{00000000-0005-0000-0000-000030040000}"/>
    <cellStyle name="40% - Accent1 3 5 2 2" xfId="7942" xr:uid="{00000000-0005-0000-0000-000031040000}"/>
    <cellStyle name="40% - Accent1 3 5 2 2 2" xfId="24840" xr:uid="{7EB8EBC3-1C2B-4E13-A38B-3899FFF96CF4}"/>
    <cellStyle name="40% - Accent1 3 5 2 2 3" xfId="16392" xr:uid="{E2919522-E857-4F16-B308-49066D05AC58}"/>
    <cellStyle name="40% - Accent1 3 5 2 3" xfId="20622" xr:uid="{AC0BD361-575E-4922-B559-977194635848}"/>
    <cellStyle name="40% - Accent1 3 5 2 4" xfId="12174" xr:uid="{60F30490-1E0C-4A40-A6B2-23E28A1D2E87}"/>
    <cellStyle name="40% - Accent1 3 5 3" xfId="5797" xr:uid="{00000000-0005-0000-0000-000032040000}"/>
    <cellStyle name="40% - Accent1 3 5 3 2" xfId="22695" xr:uid="{0F2A8DCD-4EB6-4C2B-80C5-D9252F48FDB9}"/>
    <cellStyle name="40% - Accent1 3 5 3 3" xfId="14247" xr:uid="{E53821FA-EBE9-4B8D-820D-3626E0A1040D}"/>
    <cellStyle name="40% - Accent1 3 5 4" xfId="18477" xr:uid="{FE9875C7-CE6E-4CCF-B183-E89112078625}"/>
    <cellStyle name="40% - Accent1 3 5 5" xfId="10029" xr:uid="{DBEF46CD-BF15-4292-9155-2473E0743CA4}"/>
    <cellStyle name="40% - Accent1 3 6" xfId="1904" xr:uid="{00000000-0005-0000-0000-000033040000}"/>
    <cellStyle name="40% - Accent1 3 6 2" xfId="4133" xr:uid="{00000000-0005-0000-0000-000034040000}"/>
    <cellStyle name="40% - Accent1 3 6 2 2" xfId="8355" xr:uid="{00000000-0005-0000-0000-000035040000}"/>
    <cellStyle name="40% - Accent1 3 6 2 2 2" xfId="25253" xr:uid="{9381C29F-25C3-426C-9F16-A49C9CD0E298}"/>
    <cellStyle name="40% - Accent1 3 6 2 2 3" xfId="16805" xr:uid="{4C16CFF8-6130-4D9C-8249-D6AECA33D2C5}"/>
    <cellStyle name="40% - Accent1 3 6 2 3" xfId="21035" xr:uid="{2ACCD210-AD19-47B7-BAD2-3C9BFC41F1B6}"/>
    <cellStyle name="40% - Accent1 3 6 2 4" xfId="12587" xr:uid="{F955FD25-D854-4013-A570-6C10C122898C}"/>
    <cellStyle name="40% - Accent1 3 6 3" xfId="6210" xr:uid="{00000000-0005-0000-0000-000036040000}"/>
    <cellStyle name="40% - Accent1 3 6 3 2" xfId="23108" xr:uid="{4379C88A-A57E-4674-B567-478869B3AB2E}"/>
    <cellStyle name="40% - Accent1 3 6 3 3" xfId="14660" xr:uid="{2C49BB7C-3AF0-45D0-85F8-1E3EC3C7C779}"/>
    <cellStyle name="40% - Accent1 3 6 4" xfId="18890" xr:uid="{1E3D21F8-7FBE-4D44-B308-BD6A153D30F5}"/>
    <cellStyle name="40% - Accent1 3 6 5" xfId="10442" xr:uid="{1FE3F440-6C2C-45FF-BA1F-27EA3F85C7B0}"/>
    <cellStyle name="40% - Accent1 3 7" xfId="2317" xr:uid="{00000000-0005-0000-0000-000037040000}"/>
    <cellStyle name="40% - Accent1 3 7 2" xfId="6623" xr:uid="{00000000-0005-0000-0000-000038040000}"/>
    <cellStyle name="40% - Accent1 3 7 2 2" xfId="23521" xr:uid="{FA72CE11-F430-4E4B-925B-B901F7D6BE12}"/>
    <cellStyle name="40% - Accent1 3 7 2 3" xfId="15073" xr:uid="{EF65C0E8-3995-4D20-B207-068B99A48D99}"/>
    <cellStyle name="40% - Accent1 3 7 3" xfId="19303" xr:uid="{2A8EE185-DCFA-457A-913C-FA83C5E80BAD}"/>
    <cellStyle name="40% - Accent1 3 7 4" xfId="10855" xr:uid="{E8F1713F-21AF-40CA-856A-85A73FA2301B}"/>
    <cellStyle name="40% - Accent1 3 8" xfId="4557" xr:uid="{00000000-0005-0000-0000-000039040000}"/>
    <cellStyle name="40% - Accent1 3 8 2" xfId="21455" xr:uid="{7B44D510-7090-4A52-A7FE-D4C99A493FB6}"/>
    <cellStyle name="40% - Accent1 3 8 3" xfId="13007" xr:uid="{53ABDB5C-75C0-4D26-AA6A-DD8A4EE486E0}"/>
    <cellStyle name="40% - Accent1 3 9" xfId="17237" xr:uid="{ACC83B27-DA4F-4D11-AE9F-A91793D95F61}"/>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2 2 2" xfId="24016" xr:uid="{76ADB32F-1DE2-4114-99A8-FB59A8C447E7}"/>
    <cellStyle name="40% - Accent1 4 2 2 2 3" xfId="15568" xr:uid="{045E1FC0-954A-41F4-95CE-B31AA8C05210}"/>
    <cellStyle name="40% - Accent1 4 2 2 3" xfId="19798" xr:uid="{DD57F3A1-4214-4CCA-8290-53BCAEEAB2F8}"/>
    <cellStyle name="40% - Accent1 4 2 2 4" xfId="11350" xr:uid="{8C0930CC-0E1F-4332-BBA5-B0BDE7A954EB}"/>
    <cellStyle name="40% - Accent1 4 2 3" xfId="4973" xr:uid="{00000000-0005-0000-0000-00003E040000}"/>
    <cellStyle name="40% - Accent1 4 2 3 2" xfId="21871" xr:uid="{387692ED-4894-4C49-A3BB-83670A0D98CA}"/>
    <cellStyle name="40% - Accent1 4 2 3 3" xfId="13423" xr:uid="{C82A8206-3CD0-42AA-A468-B86753161BAA}"/>
    <cellStyle name="40% - Accent1 4 2 4" xfId="17653" xr:uid="{34AD4162-028B-4E2C-A6BC-BE6276B52703}"/>
    <cellStyle name="40% - Accent1 4 2 5" xfId="9205" xr:uid="{E25EF4C3-1F7A-49D9-B780-4FCB1F11EA85}"/>
    <cellStyle name="40% - Accent1 4 3" xfId="1078" xr:uid="{00000000-0005-0000-0000-00003F040000}"/>
    <cellStyle name="40% - Accent1 4 3 2" xfId="3309" xr:uid="{00000000-0005-0000-0000-000040040000}"/>
    <cellStyle name="40% - Accent1 4 3 2 2" xfId="7531" xr:uid="{00000000-0005-0000-0000-000041040000}"/>
    <cellStyle name="40% - Accent1 4 3 2 2 2" xfId="24429" xr:uid="{A4A4E370-ADBD-4D79-A02B-837E87E74BD1}"/>
    <cellStyle name="40% - Accent1 4 3 2 2 3" xfId="15981" xr:uid="{33E7DA4B-66F5-4EC4-9783-CA3248270B4C}"/>
    <cellStyle name="40% - Accent1 4 3 2 3" xfId="20211" xr:uid="{6EF711FA-39E9-4711-8471-BEBE14C181C6}"/>
    <cellStyle name="40% - Accent1 4 3 2 4" xfId="11763" xr:uid="{ECF35F80-A9C6-42E6-B7D6-73F5C40B88D1}"/>
    <cellStyle name="40% - Accent1 4 3 3" xfId="5386" xr:uid="{00000000-0005-0000-0000-000042040000}"/>
    <cellStyle name="40% - Accent1 4 3 3 2" xfId="22284" xr:uid="{4E42DBB2-2429-4589-A582-5E12D2CDA9A3}"/>
    <cellStyle name="40% - Accent1 4 3 3 3" xfId="13836" xr:uid="{2175AF6D-0046-4393-B2F5-FAB9D80C5865}"/>
    <cellStyle name="40% - Accent1 4 3 4" xfId="18066" xr:uid="{E46609BA-9963-44E4-84F6-6A4BAA316C6E}"/>
    <cellStyle name="40% - Accent1 4 3 5" xfId="9618" xr:uid="{859F3557-9395-42F6-BADD-2EE3670A285E}"/>
    <cellStyle name="40% - Accent1 4 4" xfId="1492" xr:uid="{00000000-0005-0000-0000-000043040000}"/>
    <cellStyle name="40% - Accent1 4 4 2" xfId="3722" xr:uid="{00000000-0005-0000-0000-000044040000}"/>
    <cellStyle name="40% - Accent1 4 4 2 2" xfId="7944" xr:uid="{00000000-0005-0000-0000-000045040000}"/>
    <cellStyle name="40% - Accent1 4 4 2 2 2" xfId="24842" xr:uid="{03630E17-1FED-416E-8EF7-4D0A58461EFE}"/>
    <cellStyle name="40% - Accent1 4 4 2 2 3" xfId="16394" xr:uid="{82CD5F2E-3C77-43B6-BF07-FF8D671CA44E}"/>
    <cellStyle name="40% - Accent1 4 4 2 3" xfId="20624" xr:uid="{CC818A94-A14D-4A23-8EBE-1471372E7D10}"/>
    <cellStyle name="40% - Accent1 4 4 2 4" xfId="12176" xr:uid="{E83B5966-7A1F-4545-ACFC-E8C7616C9D75}"/>
    <cellStyle name="40% - Accent1 4 4 3" xfId="5799" xr:uid="{00000000-0005-0000-0000-000046040000}"/>
    <cellStyle name="40% - Accent1 4 4 3 2" xfId="22697" xr:uid="{FA141136-7F9E-4D53-A8D9-3F8AF31F8BB5}"/>
    <cellStyle name="40% - Accent1 4 4 3 3" xfId="14249" xr:uid="{474DA22C-B658-4FAF-8615-12C95A36C313}"/>
    <cellStyle name="40% - Accent1 4 4 4" xfId="18479" xr:uid="{68E42A2D-B2F1-466D-AA5A-5323CAC99A74}"/>
    <cellStyle name="40% - Accent1 4 4 5" xfId="10031" xr:uid="{33508B39-CAD4-4745-8EC6-40E50DDFD121}"/>
    <cellStyle name="40% - Accent1 4 5" xfId="1906" xr:uid="{00000000-0005-0000-0000-000047040000}"/>
    <cellStyle name="40% - Accent1 4 5 2" xfId="4135" xr:uid="{00000000-0005-0000-0000-000048040000}"/>
    <cellStyle name="40% - Accent1 4 5 2 2" xfId="8357" xr:uid="{00000000-0005-0000-0000-000049040000}"/>
    <cellStyle name="40% - Accent1 4 5 2 2 2" xfId="25255" xr:uid="{E58BFCAB-AD96-41FC-B4E4-B1E32AB2982A}"/>
    <cellStyle name="40% - Accent1 4 5 2 2 3" xfId="16807" xr:uid="{4904B3FF-4292-4F3C-917F-4C6BE0BB3111}"/>
    <cellStyle name="40% - Accent1 4 5 2 3" xfId="21037" xr:uid="{F3A8BB10-E70A-4DD1-847E-1AE067552710}"/>
    <cellStyle name="40% - Accent1 4 5 2 4" xfId="12589" xr:uid="{1BE34C37-0948-4384-930F-99742708CE5F}"/>
    <cellStyle name="40% - Accent1 4 5 3" xfId="6212" xr:uid="{00000000-0005-0000-0000-00004A040000}"/>
    <cellStyle name="40% - Accent1 4 5 3 2" xfId="23110" xr:uid="{2CA73669-3795-43D1-81B3-B71326CC9286}"/>
    <cellStyle name="40% - Accent1 4 5 3 3" xfId="14662" xr:uid="{B1FD26C9-5BF6-49EF-809B-C2F816A86EFF}"/>
    <cellStyle name="40% - Accent1 4 5 4" xfId="18892" xr:uid="{CEA948D5-44A8-430B-9579-089FE3DA4D59}"/>
    <cellStyle name="40% - Accent1 4 5 5" xfId="10444" xr:uid="{07531BC4-6E19-447E-923B-214F431F03E0}"/>
    <cellStyle name="40% - Accent1 4 6" xfId="2319" xr:uid="{00000000-0005-0000-0000-00004B040000}"/>
    <cellStyle name="40% - Accent1 4 6 2" xfId="6625" xr:uid="{00000000-0005-0000-0000-00004C040000}"/>
    <cellStyle name="40% - Accent1 4 6 2 2" xfId="23523" xr:uid="{40469832-F03C-46C1-8DDE-687385DBDF18}"/>
    <cellStyle name="40% - Accent1 4 6 2 3" xfId="15075" xr:uid="{CEAB1068-4799-4781-97E3-7537E0BD60C9}"/>
    <cellStyle name="40% - Accent1 4 6 3" xfId="19305" xr:uid="{B86E56DC-75E3-41A1-B585-ADDFA7D390CD}"/>
    <cellStyle name="40% - Accent1 4 6 4" xfId="10857" xr:uid="{166D231B-9B81-4200-889E-428E5833C40D}"/>
    <cellStyle name="40% - Accent1 4 7" xfId="4559" xr:uid="{00000000-0005-0000-0000-00004D040000}"/>
    <cellStyle name="40% - Accent1 4 7 2" xfId="21457" xr:uid="{EB604776-04C9-45E3-A594-739270F86F9D}"/>
    <cellStyle name="40% - Accent1 4 7 3" xfId="13009" xr:uid="{662D8BD2-6B16-431C-89DF-A9790F03C56C}"/>
    <cellStyle name="40% - Accent1 4 8" xfId="17239" xr:uid="{6EF005BC-2652-494E-982B-1307AD720D43}"/>
    <cellStyle name="40% - Accent1 4 9" xfId="8791" xr:uid="{C306FAFE-5F56-4B2E-9D13-663AC74D2F05}"/>
    <cellStyle name="40% - Accent1 5" xfId="618" xr:uid="{00000000-0005-0000-0000-00004E040000}"/>
    <cellStyle name="40% - Accent1 5 2" xfId="2889" xr:uid="{00000000-0005-0000-0000-00004F040000}"/>
    <cellStyle name="40% - Accent1 5 2 2" xfId="7111" xr:uid="{00000000-0005-0000-0000-000050040000}"/>
    <cellStyle name="40% - Accent1 5 2 2 2" xfId="24009" xr:uid="{41D7E0A4-5151-4B31-83D5-85D9B3ABFA83}"/>
    <cellStyle name="40% - Accent1 5 2 2 3" xfId="15561" xr:uid="{4DCD11A7-BE43-465A-A17C-BF997CF04E7D}"/>
    <cellStyle name="40% - Accent1 5 2 3" xfId="19791" xr:uid="{EB2E195F-405F-447D-90D3-0804162A99DC}"/>
    <cellStyle name="40% - Accent1 5 2 4" xfId="11343" xr:uid="{10E13C13-F247-46BD-85D6-95A652080306}"/>
    <cellStyle name="40% - Accent1 5 3" xfId="4966" xr:uid="{00000000-0005-0000-0000-000051040000}"/>
    <cellStyle name="40% - Accent1 5 3 2" xfId="21864" xr:uid="{0CB88569-0962-4249-BF5C-FC8D0670910C}"/>
    <cellStyle name="40% - Accent1 5 3 3" xfId="13416" xr:uid="{518F8DF5-B2B1-4557-AAC1-D41C49DB9DD4}"/>
    <cellStyle name="40% - Accent1 5 4" xfId="17646" xr:uid="{9CCC2FB6-CB83-4854-8084-2A7A2AD782F4}"/>
    <cellStyle name="40% - Accent1 5 5" xfId="9198" xr:uid="{B3B4EFDC-E13E-4629-A1B4-43A0384C82B2}"/>
    <cellStyle name="40% - Accent1 6" xfId="1071" xr:uid="{00000000-0005-0000-0000-000052040000}"/>
    <cellStyle name="40% - Accent1 6 2" xfId="3302" xr:uid="{00000000-0005-0000-0000-000053040000}"/>
    <cellStyle name="40% - Accent1 6 2 2" xfId="7524" xr:uid="{00000000-0005-0000-0000-000054040000}"/>
    <cellStyle name="40% - Accent1 6 2 2 2" xfId="24422" xr:uid="{3D734B71-1DA5-46FB-A1F0-98B1CE5C032A}"/>
    <cellStyle name="40% - Accent1 6 2 2 3" xfId="15974" xr:uid="{7AA56080-AB95-48FC-A180-1C36F8633B9B}"/>
    <cellStyle name="40% - Accent1 6 2 3" xfId="20204" xr:uid="{1FA18CFD-DA00-48D0-8FB2-F366316E61EB}"/>
    <cellStyle name="40% - Accent1 6 2 4" xfId="11756" xr:uid="{D48FC4A3-4F38-4057-B38E-705AC3BFD49E}"/>
    <cellStyle name="40% - Accent1 6 3" xfId="5379" xr:uid="{00000000-0005-0000-0000-000055040000}"/>
    <cellStyle name="40% - Accent1 6 3 2" xfId="22277" xr:uid="{5FFCF39E-7CDD-4041-BB19-8F357F84781F}"/>
    <cellStyle name="40% - Accent1 6 3 3" xfId="13829" xr:uid="{98B3A8EE-9990-4DC5-9E4C-019DED74E730}"/>
    <cellStyle name="40% - Accent1 6 4" xfId="18059" xr:uid="{A681C733-C9C7-43F2-86D1-5943FA8FC0FD}"/>
    <cellStyle name="40% - Accent1 6 5" xfId="9611" xr:uid="{7F140C61-0DB6-4176-9C13-5E06D062ED6B}"/>
    <cellStyle name="40% - Accent1 7" xfId="1485" xr:uid="{00000000-0005-0000-0000-000056040000}"/>
    <cellStyle name="40% - Accent1 7 2" xfId="3715" xr:uid="{00000000-0005-0000-0000-000057040000}"/>
    <cellStyle name="40% - Accent1 7 2 2" xfId="7937" xr:uid="{00000000-0005-0000-0000-000058040000}"/>
    <cellStyle name="40% - Accent1 7 2 2 2" xfId="24835" xr:uid="{42BFD24B-6F7A-4E97-BB18-82ED2072779C}"/>
    <cellStyle name="40% - Accent1 7 2 2 3" xfId="16387" xr:uid="{65B8714C-4158-4AB2-93E2-787F6668E01B}"/>
    <cellStyle name="40% - Accent1 7 2 3" xfId="20617" xr:uid="{1EE5117A-F874-45BB-B1E4-D9F6EF07B216}"/>
    <cellStyle name="40% - Accent1 7 2 4" xfId="12169" xr:uid="{CD0B8C8F-C309-40DE-8D97-6C7BD5D8EAC2}"/>
    <cellStyle name="40% - Accent1 7 3" xfId="5792" xr:uid="{00000000-0005-0000-0000-000059040000}"/>
    <cellStyle name="40% - Accent1 7 3 2" xfId="22690" xr:uid="{DF8D9C5D-CA8C-442B-8D2A-C7B43BBA233B}"/>
    <cellStyle name="40% - Accent1 7 3 3" xfId="14242" xr:uid="{66BD4FFE-1416-48B3-960B-6554BE5100E4}"/>
    <cellStyle name="40% - Accent1 7 4" xfId="18472" xr:uid="{2F20FA22-0018-4AFB-8058-E708D74090AE}"/>
    <cellStyle name="40% - Accent1 7 5" xfId="10024" xr:uid="{719D501A-6643-46A1-9694-A07A4508ABD4}"/>
    <cellStyle name="40% - Accent1 8" xfId="1899" xr:uid="{00000000-0005-0000-0000-00005A040000}"/>
    <cellStyle name="40% - Accent1 8 2" xfId="4128" xr:uid="{00000000-0005-0000-0000-00005B040000}"/>
    <cellStyle name="40% - Accent1 8 2 2" xfId="8350" xr:uid="{00000000-0005-0000-0000-00005C040000}"/>
    <cellStyle name="40% - Accent1 8 2 2 2" xfId="25248" xr:uid="{4AC5EDCC-AB76-4F0F-BFE4-08BB11D00A3F}"/>
    <cellStyle name="40% - Accent1 8 2 2 3" xfId="16800" xr:uid="{7F41488B-A75B-4011-884E-3551C06FF910}"/>
    <cellStyle name="40% - Accent1 8 2 3" xfId="21030" xr:uid="{6DD3DD82-3913-443C-A80E-20082B4A71F4}"/>
    <cellStyle name="40% - Accent1 8 2 4" xfId="12582" xr:uid="{0838EB11-6DA3-4093-8C3E-464BA66864C2}"/>
    <cellStyle name="40% - Accent1 8 3" xfId="6205" xr:uid="{00000000-0005-0000-0000-00005D040000}"/>
    <cellStyle name="40% - Accent1 8 3 2" xfId="23103" xr:uid="{3AEAC8A3-AD4C-4BD7-B151-020023116634}"/>
    <cellStyle name="40% - Accent1 8 3 3" xfId="14655" xr:uid="{D7126A70-CFE4-4E51-9394-55BDA8492A1F}"/>
    <cellStyle name="40% - Accent1 8 4" xfId="18885" xr:uid="{18322D5D-0A12-4477-A32D-C6DC803D1519}"/>
    <cellStyle name="40% - Accent1 8 5" xfId="10437" xr:uid="{25880FFC-8215-41A5-B5DD-73FE14F94AF9}"/>
    <cellStyle name="40% - Accent1 9" xfId="2312" xr:uid="{00000000-0005-0000-0000-00005E040000}"/>
    <cellStyle name="40% - Accent1 9 2" xfId="6618" xr:uid="{00000000-0005-0000-0000-00005F040000}"/>
    <cellStyle name="40% - Accent1 9 2 2" xfId="23516" xr:uid="{F2D02A4C-0FC0-4386-8C6F-4F9611F411AF}"/>
    <cellStyle name="40% - Accent1 9 2 3" xfId="15068" xr:uid="{6859A539-9B84-4896-9EE8-F9AD79C7234C}"/>
    <cellStyle name="40% - Accent1 9 3" xfId="19298" xr:uid="{13C86B52-E5BE-4B8D-B5B6-AB9DAA942147}"/>
    <cellStyle name="40% - Accent1 9 4" xfId="10850" xr:uid="{13CF84E3-4BC2-4940-BA02-0C614EDAE30A}"/>
    <cellStyle name="40% - Accent2" xfId="57" builtinId="35" customBuiltin="1"/>
    <cellStyle name="40% - Accent2 10" xfId="4560" xr:uid="{00000000-0005-0000-0000-000061040000}"/>
    <cellStyle name="40% - Accent2 10 2" xfId="21458" xr:uid="{2ECE6BA1-C776-4BB8-AEDF-60524B5107CC}"/>
    <cellStyle name="40% - Accent2 10 3" xfId="13010" xr:uid="{0C45C081-CBD0-47AE-A361-6C95AB3D8729}"/>
    <cellStyle name="40% - Accent2 11" xfId="17240" xr:uid="{53B8425E-DACF-424B-B1BA-264A9AAD50FD}"/>
    <cellStyle name="40% - Accent2 12" xfId="8792" xr:uid="{8FB9CA16-C09B-4E32-BB9A-FC8A2AF060F5}"/>
    <cellStyle name="40% - Accent2 2" xfId="58" xr:uid="{00000000-0005-0000-0000-000062040000}"/>
    <cellStyle name="40% - Accent2 2 10" xfId="17241" xr:uid="{6A0C5506-C100-4247-99C3-CDC053BF05C8}"/>
    <cellStyle name="40% - Accent2 2 11" xfId="8793" xr:uid="{73BD052D-F1AA-4237-8162-A29F78B9AE46}"/>
    <cellStyle name="40% - Accent2 2 2" xfId="59" xr:uid="{00000000-0005-0000-0000-000063040000}"/>
    <cellStyle name="40% - Accent2 2 2 10" xfId="8794" xr:uid="{426BEE9E-D1A2-41D8-B408-4AF2AC2F9C27}"/>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24020" xr:uid="{F6D0B13B-4F2F-4F3C-B80F-F260A9E79496}"/>
    <cellStyle name="40% - Accent2 2 2 2 2 2 2 3" xfId="15572" xr:uid="{D24ACBDC-8BEB-4B25-8994-9522DF84332C}"/>
    <cellStyle name="40% - Accent2 2 2 2 2 2 3" xfId="19802" xr:uid="{53D79973-5119-4CDA-A768-BB274F280B89}"/>
    <cellStyle name="40% - Accent2 2 2 2 2 2 4" xfId="11354" xr:uid="{50EB2B1E-E419-4B13-AFAC-605E4FDA04F1}"/>
    <cellStyle name="40% - Accent2 2 2 2 2 3" xfId="4977" xr:uid="{00000000-0005-0000-0000-000068040000}"/>
    <cellStyle name="40% - Accent2 2 2 2 2 3 2" xfId="21875" xr:uid="{BC67212E-C8F5-417A-B39A-D5A3730429BC}"/>
    <cellStyle name="40% - Accent2 2 2 2 2 3 3" xfId="13427" xr:uid="{9C363A87-9155-4D6E-B761-858434D2D969}"/>
    <cellStyle name="40% - Accent2 2 2 2 2 4" xfId="17657" xr:uid="{42AF2300-F733-45FA-9461-BB2859C384DA}"/>
    <cellStyle name="40% - Accent2 2 2 2 2 5" xfId="9209" xr:uid="{6045A1B3-7822-4AA5-970E-671C8866CC54}"/>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24433" xr:uid="{A143B52B-8404-4625-9AE2-2E46B9B8014C}"/>
    <cellStyle name="40% - Accent2 2 2 2 3 2 2 3" xfId="15985" xr:uid="{37F9EF63-C998-4B14-87CE-E0712A5B90F5}"/>
    <cellStyle name="40% - Accent2 2 2 2 3 2 3" xfId="20215" xr:uid="{A9752B29-D1B4-447E-9D9D-32C4D626CE24}"/>
    <cellStyle name="40% - Accent2 2 2 2 3 2 4" xfId="11767" xr:uid="{A476CCA8-33A5-4397-A0ED-BC4621DB4877}"/>
    <cellStyle name="40% - Accent2 2 2 2 3 3" xfId="5390" xr:uid="{00000000-0005-0000-0000-00006C040000}"/>
    <cellStyle name="40% - Accent2 2 2 2 3 3 2" xfId="22288" xr:uid="{40377542-1F8C-4223-96D3-ABFF2AF676A9}"/>
    <cellStyle name="40% - Accent2 2 2 2 3 3 3" xfId="13840" xr:uid="{8F838F40-D5A4-4467-896E-D4B85FC04B55}"/>
    <cellStyle name="40% - Accent2 2 2 2 3 4" xfId="18070" xr:uid="{554ACBD4-51AF-4314-AD8A-8D0F1742CAC5}"/>
    <cellStyle name="40% - Accent2 2 2 2 3 5" xfId="9622" xr:uid="{78DE0472-C1D8-4EFF-B8A3-EAF2C9DC4F3A}"/>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24846" xr:uid="{BA035F0F-81C9-4F62-B3F0-3F33BA782AC5}"/>
    <cellStyle name="40% - Accent2 2 2 2 4 2 2 3" xfId="16398" xr:uid="{EC6251FB-B086-4A7E-8BE2-BC5B46ED1BEA}"/>
    <cellStyle name="40% - Accent2 2 2 2 4 2 3" xfId="20628" xr:uid="{D510590E-5503-4EDB-9B03-81A7328523E8}"/>
    <cellStyle name="40% - Accent2 2 2 2 4 2 4" xfId="12180" xr:uid="{3753CBDB-7F4C-4D8D-9A28-15150E7F8326}"/>
    <cellStyle name="40% - Accent2 2 2 2 4 3" xfId="5803" xr:uid="{00000000-0005-0000-0000-000070040000}"/>
    <cellStyle name="40% - Accent2 2 2 2 4 3 2" xfId="22701" xr:uid="{58A520B1-E472-49D5-8905-1E5D641A8DC8}"/>
    <cellStyle name="40% - Accent2 2 2 2 4 3 3" xfId="14253" xr:uid="{93D5AB99-0C5B-4084-BFD2-82BA2C195078}"/>
    <cellStyle name="40% - Accent2 2 2 2 4 4" xfId="18483" xr:uid="{182029CF-671D-49BC-A66B-90D11CA18582}"/>
    <cellStyle name="40% - Accent2 2 2 2 4 5" xfId="10035" xr:uid="{AB68B731-DC61-4CC6-AC6C-E484B65F77E2}"/>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25259" xr:uid="{42A0DBC3-A736-4D4E-AB0C-ABC156F40208}"/>
    <cellStyle name="40% - Accent2 2 2 2 5 2 2 3" xfId="16811" xr:uid="{C8D09CFE-BF1C-4D97-AFA5-8630775E5400}"/>
    <cellStyle name="40% - Accent2 2 2 2 5 2 3" xfId="21041" xr:uid="{216EBC1C-BCA9-441E-8D04-BFDD592E2C88}"/>
    <cellStyle name="40% - Accent2 2 2 2 5 2 4" xfId="12593" xr:uid="{9F483100-A066-4AF2-B7F6-D66FE644DFC9}"/>
    <cellStyle name="40% - Accent2 2 2 2 5 3" xfId="6216" xr:uid="{00000000-0005-0000-0000-000074040000}"/>
    <cellStyle name="40% - Accent2 2 2 2 5 3 2" xfId="23114" xr:uid="{1D2F86FB-763D-4347-AD64-20F82A570159}"/>
    <cellStyle name="40% - Accent2 2 2 2 5 3 3" xfId="14666" xr:uid="{03A08183-21FF-498E-B6BE-E4B016AEC9D6}"/>
    <cellStyle name="40% - Accent2 2 2 2 5 4" xfId="18896" xr:uid="{07F30A0E-974D-495E-BF05-A25F6AAE539A}"/>
    <cellStyle name="40% - Accent2 2 2 2 5 5" xfId="10448" xr:uid="{034A97FE-D1BB-4046-8936-8DF5500C86D1}"/>
    <cellStyle name="40% - Accent2 2 2 2 6" xfId="2323" xr:uid="{00000000-0005-0000-0000-000075040000}"/>
    <cellStyle name="40% - Accent2 2 2 2 6 2" xfId="6629" xr:uid="{00000000-0005-0000-0000-000076040000}"/>
    <cellStyle name="40% - Accent2 2 2 2 6 2 2" xfId="23527" xr:uid="{4878EB51-4E25-4198-ADF4-BBE92F08B76B}"/>
    <cellStyle name="40% - Accent2 2 2 2 6 2 3" xfId="15079" xr:uid="{6EF98DC2-1AD9-46CA-AC4D-2426224D78B9}"/>
    <cellStyle name="40% - Accent2 2 2 2 6 3" xfId="19309" xr:uid="{CBE8A992-EC7A-4B1A-A9C8-7C0F0063BBB8}"/>
    <cellStyle name="40% - Accent2 2 2 2 6 4" xfId="10861" xr:uid="{E291546C-CBDC-4D20-84B3-93AA1221BEEC}"/>
    <cellStyle name="40% - Accent2 2 2 2 7" xfId="4563" xr:uid="{00000000-0005-0000-0000-000077040000}"/>
    <cellStyle name="40% - Accent2 2 2 2 7 2" xfId="21461" xr:uid="{6FCA4C68-7C07-4D19-A689-58C0C7661CE9}"/>
    <cellStyle name="40% - Accent2 2 2 2 7 3" xfId="13013" xr:uid="{8CACFF7F-3AEB-4D3E-9409-B2C58D3C4236}"/>
    <cellStyle name="40% - Accent2 2 2 2 8" xfId="17243" xr:uid="{5CE81EC6-0BA0-4AD4-ACEB-1E344451C198}"/>
    <cellStyle name="40% - Accent2 2 2 2 9" xfId="8795" xr:uid="{7679FAAF-ACBB-46E1-98FD-B71FC3C323E7}"/>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24019" xr:uid="{DD4E2119-BA7A-435B-AEF6-529C9CB7CC13}"/>
    <cellStyle name="40% - Accent2 2 2 3 2 2 3" xfId="15571" xr:uid="{6FF9BF69-DA1A-471C-8E7B-779A31D2DB75}"/>
    <cellStyle name="40% - Accent2 2 2 3 2 3" xfId="19801" xr:uid="{CF263EE8-AB14-46FC-9A5C-09513958AC31}"/>
    <cellStyle name="40% - Accent2 2 2 3 2 4" xfId="11353" xr:uid="{70B50413-E5FB-4429-9A6D-4D4339B7A6FE}"/>
    <cellStyle name="40% - Accent2 2 2 3 3" xfId="4976" xr:uid="{00000000-0005-0000-0000-00007B040000}"/>
    <cellStyle name="40% - Accent2 2 2 3 3 2" xfId="21874" xr:uid="{CAB56D90-3914-4F42-96F8-9061BBEE2F2E}"/>
    <cellStyle name="40% - Accent2 2 2 3 3 3" xfId="13426" xr:uid="{DB7C512A-7C7D-45F5-8261-EE4110A69BA0}"/>
    <cellStyle name="40% - Accent2 2 2 3 4" xfId="17656" xr:uid="{9221588A-E400-4A32-84D9-B319D99A9D13}"/>
    <cellStyle name="40% - Accent2 2 2 3 5" xfId="9208" xr:uid="{77D1951E-8070-4BEB-8B3B-0597347DDA50}"/>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24432" xr:uid="{1E5A10DD-8D64-4F4D-A21E-89902990C4DF}"/>
    <cellStyle name="40% - Accent2 2 2 4 2 2 3" xfId="15984" xr:uid="{545F0A1B-73D7-454F-8268-EC2CC0291289}"/>
    <cellStyle name="40% - Accent2 2 2 4 2 3" xfId="20214" xr:uid="{32D09FD1-F377-4135-AC19-253ADCE429F4}"/>
    <cellStyle name="40% - Accent2 2 2 4 2 4" xfId="11766" xr:uid="{072EAD0D-5702-47B3-86E9-C490D48A5E5D}"/>
    <cellStyle name="40% - Accent2 2 2 4 3" xfId="5389" xr:uid="{00000000-0005-0000-0000-00007F040000}"/>
    <cellStyle name="40% - Accent2 2 2 4 3 2" xfId="22287" xr:uid="{34A767C9-44B6-4095-9CFA-028198730A9A}"/>
    <cellStyle name="40% - Accent2 2 2 4 3 3" xfId="13839" xr:uid="{2A5EFEBF-50B1-4DDD-9533-AE22413EDFF7}"/>
    <cellStyle name="40% - Accent2 2 2 4 4" xfId="18069" xr:uid="{1B279499-8A8B-4057-AA10-5AD52F5CDD2E}"/>
    <cellStyle name="40% - Accent2 2 2 4 5" xfId="9621" xr:uid="{1F299210-90D7-4DD1-98AB-211CE5200BB9}"/>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24845" xr:uid="{E41F9080-7D4B-4F08-9748-7BAF3F23B53C}"/>
    <cellStyle name="40% - Accent2 2 2 5 2 2 3" xfId="16397" xr:uid="{90BA66AB-C76E-4C53-9311-574DCAEE26F5}"/>
    <cellStyle name="40% - Accent2 2 2 5 2 3" xfId="20627" xr:uid="{EA61680D-9DC2-42F5-86C8-C2AFA3D249BC}"/>
    <cellStyle name="40% - Accent2 2 2 5 2 4" xfId="12179" xr:uid="{035DA60D-AC36-4875-880B-26B0BAADDC70}"/>
    <cellStyle name="40% - Accent2 2 2 5 3" xfId="5802" xr:uid="{00000000-0005-0000-0000-000083040000}"/>
    <cellStyle name="40% - Accent2 2 2 5 3 2" xfId="22700" xr:uid="{6349ED6D-1406-42CF-8BAE-72454BBD54BF}"/>
    <cellStyle name="40% - Accent2 2 2 5 3 3" xfId="14252" xr:uid="{410105E1-2F3C-4399-83E7-247B021C996D}"/>
    <cellStyle name="40% - Accent2 2 2 5 4" xfId="18482" xr:uid="{71962C55-E732-4AA5-9F18-17C3FB51EA97}"/>
    <cellStyle name="40% - Accent2 2 2 5 5" xfId="10034" xr:uid="{15732071-7451-4599-B257-CFF4384AD564}"/>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25258" xr:uid="{6E47D0AF-CC98-4F68-B287-827052182660}"/>
    <cellStyle name="40% - Accent2 2 2 6 2 2 3" xfId="16810" xr:uid="{9D0FF0ED-A828-4A61-9997-80C9145A7DCC}"/>
    <cellStyle name="40% - Accent2 2 2 6 2 3" xfId="21040" xr:uid="{27715880-662E-4DC3-98AE-790330F4C6FE}"/>
    <cellStyle name="40% - Accent2 2 2 6 2 4" xfId="12592" xr:uid="{5A72B5FD-C0D2-4AB9-8833-A5E513CEBA24}"/>
    <cellStyle name="40% - Accent2 2 2 6 3" xfId="6215" xr:uid="{00000000-0005-0000-0000-000087040000}"/>
    <cellStyle name="40% - Accent2 2 2 6 3 2" xfId="23113" xr:uid="{4392687F-F067-4255-9C71-AF2FE7314A47}"/>
    <cellStyle name="40% - Accent2 2 2 6 3 3" xfId="14665" xr:uid="{AB3061D0-5390-4B76-BD38-41FCD4C1B0A9}"/>
    <cellStyle name="40% - Accent2 2 2 6 4" xfId="18895" xr:uid="{C3A58E15-A95A-437A-AD0D-E8E96FB90CAE}"/>
    <cellStyle name="40% - Accent2 2 2 6 5" xfId="10447" xr:uid="{0C7D3DF1-3069-4D1D-A874-73B37E871DCF}"/>
    <cellStyle name="40% - Accent2 2 2 7" xfId="2322" xr:uid="{00000000-0005-0000-0000-000088040000}"/>
    <cellStyle name="40% - Accent2 2 2 7 2" xfId="6628" xr:uid="{00000000-0005-0000-0000-000089040000}"/>
    <cellStyle name="40% - Accent2 2 2 7 2 2" xfId="23526" xr:uid="{A6971EA9-A4DD-4BFD-8CBD-BE9C5423DC76}"/>
    <cellStyle name="40% - Accent2 2 2 7 2 3" xfId="15078" xr:uid="{BCB64608-65B4-4438-8607-53C2C1FE031C}"/>
    <cellStyle name="40% - Accent2 2 2 7 3" xfId="19308" xr:uid="{DE20C66A-F65C-45AF-8533-6BB7D86F6E7B}"/>
    <cellStyle name="40% - Accent2 2 2 7 4" xfId="10860" xr:uid="{76492DC3-F42D-4A81-A320-5A637DFB18D9}"/>
    <cellStyle name="40% - Accent2 2 2 8" xfId="4562" xr:uid="{00000000-0005-0000-0000-00008A040000}"/>
    <cellStyle name="40% - Accent2 2 2 8 2" xfId="21460" xr:uid="{86850643-D969-4E2C-A8A7-E5B8CA06402F}"/>
    <cellStyle name="40% - Accent2 2 2 8 3" xfId="13012" xr:uid="{AAE5C769-EE88-416F-96DF-7E142CE71498}"/>
    <cellStyle name="40% - Accent2 2 2 9" xfId="17242" xr:uid="{228EABC3-DB26-42AD-B75E-FF7B49D55BEE}"/>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24021" xr:uid="{4D7642B8-8486-43BB-B6B7-E5E5BF2745E2}"/>
    <cellStyle name="40% - Accent2 2 3 2 2 2 3" xfId="15573" xr:uid="{350CADD2-7CEE-41B0-9115-EDE23E9AB8D2}"/>
    <cellStyle name="40% - Accent2 2 3 2 2 3" xfId="19803" xr:uid="{40329E67-58AC-4A02-B678-292927135069}"/>
    <cellStyle name="40% - Accent2 2 3 2 2 4" xfId="11355" xr:uid="{3FCE3475-CB82-46CC-9652-8321AB73FFFE}"/>
    <cellStyle name="40% - Accent2 2 3 2 3" xfId="4978" xr:uid="{00000000-0005-0000-0000-00008F040000}"/>
    <cellStyle name="40% - Accent2 2 3 2 3 2" xfId="21876" xr:uid="{59F1B351-C99A-4DF4-ABA2-43277FCA89EC}"/>
    <cellStyle name="40% - Accent2 2 3 2 3 3" xfId="13428" xr:uid="{E2D9B314-8610-40F2-8F16-5B45194B08F2}"/>
    <cellStyle name="40% - Accent2 2 3 2 4" xfId="17658" xr:uid="{B7394929-3CE4-42BC-A97C-01E37B9A3AA4}"/>
    <cellStyle name="40% - Accent2 2 3 2 5" xfId="9210" xr:uid="{DA9738F3-4541-4258-A030-E4F4A1370F74}"/>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24434" xr:uid="{76B11984-3F0B-4FCC-AF60-4B3D262E295C}"/>
    <cellStyle name="40% - Accent2 2 3 3 2 2 3" xfId="15986" xr:uid="{A5EAA237-D9DC-459D-B5C8-A48AC14B9A39}"/>
    <cellStyle name="40% - Accent2 2 3 3 2 3" xfId="20216" xr:uid="{4070940E-673D-4600-A752-0AA982A8E2E1}"/>
    <cellStyle name="40% - Accent2 2 3 3 2 4" xfId="11768" xr:uid="{7C80D5C4-F9DB-478B-8655-E984A5C28063}"/>
    <cellStyle name="40% - Accent2 2 3 3 3" xfId="5391" xr:uid="{00000000-0005-0000-0000-000093040000}"/>
    <cellStyle name="40% - Accent2 2 3 3 3 2" xfId="22289" xr:uid="{AD90AE25-57BD-4A76-995E-CCB9EA27806A}"/>
    <cellStyle name="40% - Accent2 2 3 3 3 3" xfId="13841" xr:uid="{6472D0FA-3AF2-423B-B8BB-F1D55A703856}"/>
    <cellStyle name="40% - Accent2 2 3 3 4" xfId="18071" xr:uid="{8356F5C7-C299-49A5-9941-87D50C38CD4E}"/>
    <cellStyle name="40% - Accent2 2 3 3 5" xfId="9623" xr:uid="{1904A136-FC5F-450E-98B1-20CCE2AFAD25}"/>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24847" xr:uid="{E9CD59E5-DAC9-4779-9DB6-2BAE29B572B5}"/>
    <cellStyle name="40% - Accent2 2 3 4 2 2 3" xfId="16399" xr:uid="{EFCDD5D7-55D1-422A-8FB6-72098539C6D7}"/>
    <cellStyle name="40% - Accent2 2 3 4 2 3" xfId="20629" xr:uid="{632B113A-4046-402A-840A-F396E3FDA744}"/>
    <cellStyle name="40% - Accent2 2 3 4 2 4" xfId="12181" xr:uid="{035569DC-5BDC-4974-9317-C952502B7ECC}"/>
    <cellStyle name="40% - Accent2 2 3 4 3" xfId="5804" xr:uid="{00000000-0005-0000-0000-000097040000}"/>
    <cellStyle name="40% - Accent2 2 3 4 3 2" xfId="22702" xr:uid="{98F10CA0-B46D-4D01-96E5-048E60CA8B5D}"/>
    <cellStyle name="40% - Accent2 2 3 4 3 3" xfId="14254" xr:uid="{8B333B2D-0A5B-434A-8158-52D417C854C5}"/>
    <cellStyle name="40% - Accent2 2 3 4 4" xfId="18484" xr:uid="{BBBBCA64-7928-4111-8218-B7B95C4612BE}"/>
    <cellStyle name="40% - Accent2 2 3 4 5" xfId="10036" xr:uid="{A0CE77CB-7E3C-4666-B41D-13B53ACEDBDA}"/>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25260" xr:uid="{CE86DD0C-566C-4F77-A6FE-5105998B2A6F}"/>
    <cellStyle name="40% - Accent2 2 3 5 2 2 3" xfId="16812" xr:uid="{2FAFB09F-9BD9-4277-B232-EE2C7CDA333E}"/>
    <cellStyle name="40% - Accent2 2 3 5 2 3" xfId="21042" xr:uid="{5A8A1728-6DE9-4609-BDFB-B1E554EBD4DD}"/>
    <cellStyle name="40% - Accent2 2 3 5 2 4" xfId="12594" xr:uid="{F750BF33-A812-4015-A7DD-16E2B201F3A8}"/>
    <cellStyle name="40% - Accent2 2 3 5 3" xfId="6217" xr:uid="{00000000-0005-0000-0000-00009B040000}"/>
    <cellStyle name="40% - Accent2 2 3 5 3 2" xfId="23115" xr:uid="{83FE7EA5-3403-450A-80E9-1216DB23C177}"/>
    <cellStyle name="40% - Accent2 2 3 5 3 3" xfId="14667" xr:uid="{3792BA33-6507-4F1E-8F37-0BC61E475771}"/>
    <cellStyle name="40% - Accent2 2 3 5 4" xfId="18897" xr:uid="{8BBC68D7-761D-4818-BCC8-32F3F270CAC9}"/>
    <cellStyle name="40% - Accent2 2 3 5 5" xfId="10449" xr:uid="{20913741-1723-4520-ACCE-021CB19B9CF0}"/>
    <cellStyle name="40% - Accent2 2 3 6" xfId="2324" xr:uid="{00000000-0005-0000-0000-00009C040000}"/>
    <cellStyle name="40% - Accent2 2 3 6 2" xfId="6630" xr:uid="{00000000-0005-0000-0000-00009D040000}"/>
    <cellStyle name="40% - Accent2 2 3 6 2 2" xfId="23528" xr:uid="{486C28B3-97FB-412F-A9FF-C83B94C01C32}"/>
    <cellStyle name="40% - Accent2 2 3 6 2 3" xfId="15080" xr:uid="{F47E6451-E14D-4738-B589-3DB01446A27C}"/>
    <cellStyle name="40% - Accent2 2 3 6 3" xfId="19310" xr:uid="{94F7559D-33DF-430C-8E6C-10FCC1BC3DF1}"/>
    <cellStyle name="40% - Accent2 2 3 6 4" xfId="10862" xr:uid="{1C35478E-0E5B-418C-8470-02A5BF70AA67}"/>
    <cellStyle name="40% - Accent2 2 3 7" xfId="4564" xr:uid="{00000000-0005-0000-0000-00009E040000}"/>
    <cellStyle name="40% - Accent2 2 3 7 2" xfId="21462" xr:uid="{04CEE0B9-6E28-44D7-81C3-5203C2F73683}"/>
    <cellStyle name="40% - Accent2 2 3 7 3" xfId="13014" xr:uid="{23993BE9-5AB8-433C-B346-63046476880F}"/>
    <cellStyle name="40% - Accent2 2 3 8" xfId="17244" xr:uid="{A35AFF98-6C09-4705-916D-27955D6CC702}"/>
    <cellStyle name="40% - Accent2 2 3 9" xfId="8796" xr:uid="{5CAF03F9-CD83-436A-9803-75741DC047ED}"/>
    <cellStyle name="40% - Accent2 2 4" xfId="627" xr:uid="{00000000-0005-0000-0000-00009F040000}"/>
    <cellStyle name="40% - Accent2 2 4 2" xfId="2898" xr:uid="{00000000-0005-0000-0000-0000A0040000}"/>
    <cellStyle name="40% - Accent2 2 4 2 2" xfId="7120" xr:uid="{00000000-0005-0000-0000-0000A1040000}"/>
    <cellStyle name="40% - Accent2 2 4 2 2 2" xfId="24018" xr:uid="{1DF8E347-B0BE-4CFD-B638-726C68A27BC8}"/>
    <cellStyle name="40% - Accent2 2 4 2 2 3" xfId="15570" xr:uid="{E67EEA26-B40D-4E6F-9B49-8ECFB8CA0521}"/>
    <cellStyle name="40% - Accent2 2 4 2 3" xfId="19800" xr:uid="{E9A03BA9-BB28-4967-8515-7F892EE0B0B7}"/>
    <cellStyle name="40% - Accent2 2 4 2 4" xfId="11352" xr:uid="{15DE0410-B228-42F3-B47A-CB033470EF07}"/>
    <cellStyle name="40% - Accent2 2 4 3" xfId="4975" xr:uid="{00000000-0005-0000-0000-0000A2040000}"/>
    <cellStyle name="40% - Accent2 2 4 3 2" xfId="21873" xr:uid="{812CBA3C-F24F-49A9-B02A-6A0CF2A8A784}"/>
    <cellStyle name="40% - Accent2 2 4 3 3" xfId="13425" xr:uid="{45439624-8BD6-4E44-94F1-A651061C8AC0}"/>
    <cellStyle name="40% - Accent2 2 4 4" xfId="17655" xr:uid="{6410A252-49E1-4F6C-A2E4-87D0B174CF60}"/>
    <cellStyle name="40% - Accent2 2 4 5" xfId="9207" xr:uid="{BE82FF1C-66F9-4F3C-860A-62CEE9FAAD22}"/>
    <cellStyle name="40% - Accent2 2 5" xfId="1080" xr:uid="{00000000-0005-0000-0000-0000A3040000}"/>
    <cellStyle name="40% - Accent2 2 5 2" xfId="3311" xr:uid="{00000000-0005-0000-0000-0000A4040000}"/>
    <cellStyle name="40% - Accent2 2 5 2 2" xfId="7533" xr:uid="{00000000-0005-0000-0000-0000A5040000}"/>
    <cellStyle name="40% - Accent2 2 5 2 2 2" xfId="24431" xr:uid="{8A795D6C-8CE1-4E66-9F14-59E6FDE89782}"/>
    <cellStyle name="40% - Accent2 2 5 2 2 3" xfId="15983" xr:uid="{F55EE04F-B103-4CA9-9981-B8CB562C4504}"/>
    <cellStyle name="40% - Accent2 2 5 2 3" xfId="20213" xr:uid="{551CA207-1EEB-4E83-B30F-C6215A2D8FFB}"/>
    <cellStyle name="40% - Accent2 2 5 2 4" xfId="11765" xr:uid="{6452DC28-4C47-4999-AA6D-7D4CD8726EFE}"/>
    <cellStyle name="40% - Accent2 2 5 3" xfId="5388" xr:uid="{00000000-0005-0000-0000-0000A6040000}"/>
    <cellStyle name="40% - Accent2 2 5 3 2" xfId="22286" xr:uid="{B29111C8-0A31-4F59-9DA7-840FE7AEE4F1}"/>
    <cellStyle name="40% - Accent2 2 5 3 3" xfId="13838" xr:uid="{C2F7B40B-7C15-4789-9C34-C3F5CF4D0519}"/>
    <cellStyle name="40% - Accent2 2 5 4" xfId="18068" xr:uid="{4C7DAE8F-4DF9-4DA2-8A95-9F652A12A81E}"/>
    <cellStyle name="40% - Accent2 2 5 5" xfId="9620" xr:uid="{F54B6E82-3679-464F-A83A-07E9FC2190A3}"/>
    <cellStyle name="40% - Accent2 2 6" xfId="1494" xr:uid="{00000000-0005-0000-0000-0000A7040000}"/>
    <cellStyle name="40% - Accent2 2 6 2" xfId="3724" xr:uid="{00000000-0005-0000-0000-0000A8040000}"/>
    <cellStyle name="40% - Accent2 2 6 2 2" xfId="7946" xr:uid="{00000000-0005-0000-0000-0000A9040000}"/>
    <cellStyle name="40% - Accent2 2 6 2 2 2" xfId="24844" xr:uid="{22099F65-CCFA-4A93-9D56-7F2EF5EC5260}"/>
    <cellStyle name="40% - Accent2 2 6 2 2 3" xfId="16396" xr:uid="{03309561-E54C-4792-8ACB-920332891FCA}"/>
    <cellStyle name="40% - Accent2 2 6 2 3" xfId="20626" xr:uid="{93D2C074-25FB-440D-B380-22960191911E}"/>
    <cellStyle name="40% - Accent2 2 6 2 4" xfId="12178" xr:uid="{C9A89400-D91B-463E-B512-0DD2BF9A316B}"/>
    <cellStyle name="40% - Accent2 2 6 3" xfId="5801" xr:uid="{00000000-0005-0000-0000-0000AA040000}"/>
    <cellStyle name="40% - Accent2 2 6 3 2" xfId="22699" xr:uid="{78AD63A8-2DE4-4FE3-8963-81015AB22919}"/>
    <cellStyle name="40% - Accent2 2 6 3 3" xfId="14251" xr:uid="{A39CD3B1-FCF0-454D-8DBE-E981BA08DCEB}"/>
    <cellStyle name="40% - Accent2 2 6 4" xfId="18481" xr:uid="{EFA467D2-3242-40B9-BB32-54145AE8B71E}"/>
    <cellStyle name="40% - Accent2 2 6 5" xfId="10033" xr:uid="{2EC45F81-953C-4DA0-961B-DC8DACF636E1}"/>
    <cellStyle name="40% - Accent2 2 7" xfId="1908" xr:uid="{00000000-0005-0000-0000-0000AB040000}"/>
    <cellStyle name="40% - Accent2 2 7 2" xfId="4137" xr:uid="{00000000-0005-0000-0000-0000AC040000}"/>
    <cellStyle name="40% - Accent2 2 7 2 2" xfId="8359" xr:uid="{00000000-0005-0000-0000-0000AD040000}"/>
    <cellStyle name="40% - Accent2 2 7 2 2 2" xfId="25257" xr:uid="{6925FF66-F974-4B71-AA79-4CDBA1991D01}"/>
    <cellStyle name="40% - Accent2 2 7 2 2 3" xfId="16809" xr:uid="{AF5576B9-E453-4D36-AB55-DFD9FAA17FF6}"/>
    <cellStyle name="40% - Accent2 2 7 2 3" xfId="21039" xr:uid="{A20E51ED-40E9-4E60-BB1E-9D6EE151B49F}"/>
    <cellStyle name="40% - Accent2 2 7 2 4" xfId="12591" xr:uid="{4A9CAAA7-8FC0-4C6B-B325-77A164330E8B}"/>
    <cellStyle name="40% - Accent2 2 7 3" xfId="6214" xr:uid="{00000000-0005-0000-0000-0000AE040000}"/>
    <cellStyle name="40% - Accent2 2 7 3 2" xfId="23112" xr:uid="{465BEFBD-D85F-41AA-ABE5-7CDF63398223}"/>
    <cellStyle name="40% - Accent2 2 7 3 3" xfId="14664" xr:uid="{7B903592-22FE-475C-92D5-C1EDE7AD599D}"/>
    <cellStyle name="40% - Accent2 2 7 4" xfId="18894" xr:uid="{C9C9D1E4-D5EC-4F08-AA71-05F05013430B}"/>
    <cellStyle name="40% - Accent2 2 7 5" xfId="10446" xr:uid="{5E010E58-7179-4C34-8190-E1E42900083B}"/>
    <cellStyle name="40% - Accent2 2 8" xfId="2321" xr:uid="{00000000-0005-0000-0000-0000AF040000}"/>
    <cellStyle name="40% - Accent2 2 8 2" xfId="6627" xr:uid="{00000000-0005-0000-0000-0000B0040000}"/>
    <cellStyle name="40% - Accent2 2 8 2 2" xfId="23525" xr:uid="{8CA43B63-85AD-4109-BF84-4B9E83EBA323}"/>
    <cellStyle name="40% - Accent2 2 8 2 3" xfId="15077" xr:uid="{75D86CFE-3FA4-4145-B5FE-6D18047FCF84}"/>
    <cellStyle name="40% - Accent2 2 8 3" xfId="19307" xr:uid="{3905FF56-BCBC-4680-BCCB-34AC420E0129}"/>
    <cellStyle name="40% - Accent2 2 8 4" xfId="10859" xr:uid="{0467C0E4-2029-48E1-BDFA-B278A59FAC7D}"/>
    <cellStyle name="40% - Accent2 2 9" xfId="4561" xr:uid="{00000000-0005-0000-0000-0000B1040000}"/>
    <cellStyle name="40% - Accent2 2 9 2" xfId="21459" xr:uid="{B5E1D9F4-28AA-4CC6-8F1B-50C76F078D16}"/>
    <cellStyle name="40% - Accent2 2 9 3" xfId="13011" xr:uid="{9D4730FC-BAAB-4A9C-9798-B13175643DC3}"/>
    <cellStyle name="40% - Accent2 3" xfId="62" xr:uid="{00000000-0005-0000-0000-0000B2040000}"/>
    <cellStyle name="40% - Accent2 3 10" xfId="8797" xr:uid="{9FD94B91-9D52-4D2F-A384-4B23F0E4DEB9}"/>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24023" xr:uid="{4360DADF-DF1B-4522-89B2-20E41271659A}"/>
    <cellStyle name="40% - Accent2 3 2 2 2 2 3" xfId="15575" xr:uid="{6E8E7190-73AB-4D87-BA99-46C344F9C954}"/>
    <cellStyle name="40% - Accent2 3 2 2 2 3" xfId="19805" xr:uid="{9E6539C9-9FAC-4E54-8DCD-FC8305557AE4}"/>
    <cellStyle name="40% - Accent2 3 2 2 2 4" xfId="11357" xr:uid="{05F7FE3E-0FFF-4149-9422-0B2904A58F9B}"/>
    <cellStyle name="40% - Accent2 3 2 2 3" xfId="4980" xr:uid="{00000000-0005-0000-0000-0000B7040000}"/>
    <cellStyle name="40% - Accent2 3 2 2 3 2" xfId="21878" xr:uid="{294B25FD-C922-4778-BCE9-1B12F0844AE9}"/>
    <cellStyle name="40% - Accent2 3 2 2 3 3" xfId="13430" xr:uid="{6312674A-CA3D-4974-9B2B-B9794A3DC236}"/>
    <cellStyle name="40% - Accent2 3 2 2 4" xfId="17660" xr:uid="{26EE449E-F8DB-4860-9547-C5C9397DABBD}"/>
    <cellStyle name="40% - Accent2 3 2 2 5" xfId="9212" xr:uid="{08132F4E-2962-4536-90DD-1E4A1019D972}"/>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24436" xr:uid="{FE6ED963-8E43-458A-AEF1-0CD64B1EB1B0}"/>
    <cellStyle name="40% - Accent2 3 2 3 2 2 3" xfId="15988" xr:uid="{188F5112-57D0-461A-A47A-045723344AC9}"/>
    <cellStyle name="40% - Accent2 3 2 3 2 3" xfId="20218" xr:uid="{261C3CEC-F19E-4FC0-AD47-4AED4A56E44E}"/>
    <cellStyle name="40% - Accent2 3 2 3 2 4" xfId="11770" xr:uid="{B37AA77F-F1A9-4D29-B989-C03069A7272D}"/>
    <cellStyle name="40% - Accent2 3 2 3 3" xfId="5393" xr:uid="{00000000-0005-0000-0000-0000BB040000}"/>
    <cellStyle name="40% - Accent2 3 2 3 3 2" xfId="22291" xr:uid="{D72D5B38-0AAA-4527-A50B-DA41B9823647}"/>
    <cellStyle name="40% - Accent2 3 2 3 3 3" xfId="13843" xr:uid="{DCFC666A-F68D-465E-BEE3-B53700C633B6}"/>
    <cellStyle name="40% - Accent2 3 2 3 4" xfId="18073" xr:uid="{92A226CA-483E-4D15-A9EE-5B56214FD6B8}"/>
    <cellStyle name="40% - Accent2 3 2 3 5" xfId="9625" xr:uid="{BAE3466E-9340-44B2-A022-16F9C4588E63}"/>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24849" xr:uid="{C263208D-2D7C-42D1-A85B-2A8FA7FA3513}"/>
    <cellStyle name="40% - Accent2 3 2 4 2 2 3" xfId="16401" xr:uid="{D78E3675-36A2-4C9A-ABA3-4BFA503BD763}"/>
    <cellStyle name="40% - Accent2 3 2 4 2 3" xfId="20631" xr:uid="{DBC44E59-82B5-4D53-8028-856080438713}"/>
    <cellStyle name="40% - Accent2 3 2 4 2 4" xfId="12183" xr:uid="{111DD2CE-FC89-4883-8C93-0AC0CF2EA40E}"/>
    <cellStyle name="40% - Accent2 3 2 4 3" xfId="5806" xr:uid="{00000000-0005-0000-0000-0000BF040000}"/>
    <cellStyle name="40% - Accent2 3 2 4 3 2" xfId="22704" xr:uid="{500262E8-A26A-4762-AAD0-E9E1C1D6A82E}"/>
    <cellStyle name="40% - Accent2 3 2 4 3 3" xfId="14256" xr:uid="{51BE90D8-6ACC-4BB5-AD54-A2720829CAE3}"/>
    <cellStyle name="40% - Accent2 3 2 4 4" xfId="18486" xr:uid="{80A4F9ED-1D6D-49CA-A35F-A384129AC71E}"/>
    <cellStyle name="40% - Accent2 3 2 4 5" xfId="10038" xr:uid="{1390FB97-53B0-43B9-95CF-ECEE82DBF429}"/>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25262" xr:uid="{B4DE1D81-84E6-4063-AAA7-16BC9D0A0803}"/>
    <cellStyle name="40% - Accent2 3 2 5 2 2 3" xfId="16814" xr:uid="{14735234-6E00-48FA-9FA5-8C0D7F7DB194}"/>
    <cellStyle name="40% - Accent2 3 2 5 2 3" xfId="21044" xr:uid="{7891CC02-91E4-49AD-8428-E35240C8F08E}"/>
    <cellStyle name="40% - Accent2 3 2 5 2 4" xfId="12596" xr:uid="{1F8A0502-7CCC-4749-B111-46853F32B080}"/>
    <cellStyle name="40% - Accent2 3 2 5 3" xfId="6219" xr:uid="{00000000-0005-0000-0000-0000C3040000}"/>
    <cellStyle name="40% - Accent2 3 2 5 3 2" xfId="23117" xr:uid="{CE71B5D5-5FA6-4F86-9478-01C56053D699}"/>
    <cellStyle name="40% - Accent2 3 2 5 3 3" xfId="14669" xr:uid="{1B8ADBB6-F2C9-48AA-BF2C-6D1032F1A6A9}"/>
    <cellStyle name="40% - Accent2 3 2 5 4" xfId="18899" xr:uid="{EF368487-2CC9-41FB-B13D-9B7664BA4CEC}"/>
    <cellStyle name="40% - Accent2 3 2 5 5" xfId="10451" xr:uid="{F3F50DEE-F64C-41FD-BD3A-09D45549A5F0}"/>
    <cellStyle name="40% - Accent2 3 2 6" xfId="2326" xr:uid="{00000000-0005-0000-0000-0000C4040000}"/>
    <cellStyle name="40% - Accent2 3 2 6 2" xfId="6632" xr:uid="{00000000-0005-0000-0000-0000C5040000}"/>
    <cellStyle name="40% - Accent2 3 2 6 2 2" xfId="23530" xr:uid="{E2A2004E-E321-4FA2-8512-FB3DEC437EC2}"/>
    <cellStyle name="40% - Accent2 3 2 6 2 3" xfId="15082" xr:uid="{8EB07424-D2F0-4454-B656-29E5D639A05B}"/>
    <cellStyle name="40% - Accent2 3 2 6 3" xfId="19312" xr:uid="{599CA03B-F745-422E-BE32-DF2651C5D041}"/>
    <cellStyle name="40% - Accent2 3 2 6 4" xfId="10864" xr:uid="{D10D8ABD-8115-4A80-8C71-0F394472EF09}"/>
    <cellStyle name="40% - Accent2 3 2 7" xfId="4566" xr:uid="{00000000-0005-0000-0000-0000C6040000}"/>
    <cellStyle name="40% - Accent2 3 2 7 2" xfId="21464" xr:uid="{C77BC94D-057A-40CD-B06A-DB7D2F983251}"/>
    <cellStyle name="40% - Accent2 3 2 7 3" xfId="13016" xr:uid="{25198A71-7142-4A75-968F-24541A85C016}"/>
    <cellStyle name="40% - Accent2 3 2 8" xfId="17246" xr:uid="{11CD2A96-5E96-466B-ADC5-A1A5CF87A853}"/>
    <cellStyle name="40% - Accent2 3 2 9" xfId="8798" xr:uid="{313EA613-0FBD-4F3F-BBB4-5EA6ABCD74CF}"/>
    <cellStyle name="40% - Accent2 3 3" xfId="631" xr:uid="{00000000-0005-0000-0000-0000C7040000}"/>
    <cellStyle name="40% - Accent2 3 3 2" xfId="2902" xr:uid="{00000000-0005-0000-0000-0000C8040000}"/>
    <cellStyle name="40% - Accent2 3 3 2 2" xfId="7124" xr:uid="{00000000-0005-0000-0000-0000C9040000}"/>
    <cellStyle name="40% - Accent2 3 3 2 2 2" xfId="24022" xr:uid="{560BC5AB-A678-45A9-9C26-1AA787B7C949}"/>
    <cellStyle name="40% - Accent2 3 3 2 2 3" xfId="15574" xr:uid="{A0F09C2A-0B94-4815-82B6-A2354093E96B}"/>
    <cellStyle name="40% - Accent2 3 3 2 3" xfId="19804" xr:uid="{F152901E-82F6-4883-9CD3-879F5E2E779D}"/>
    <cellStyle name="40% - Accent2 3 3 2 4" xfId="11356" xr:uid="{F49BBC2D-D38D-4CE6-A47A-C9995DE65C73}"/>
    <cellStyle name="40% - Accent2 3 3 3" xfId="4979" xr:uid="{00000000-0005-0000-0000-0000CA040000}"/>
    <cellStyle name="40% - Accent2 3 3 3 2" xfId="21877" xr:uid="{8FE57911-C5B8-4845-953E-C6C4CFD22F5D}"/>
    <cellStyle name="40% - Accent2 3 3 3 3" xfId="13429" xr:uid="{C11CCBF8-DD02-418C-AE70-A6B6788FE2A5}"/>
    <cellStyle name="40% - Accent2 3 3 4" xfId="17659" xr:uid="{E31E851B-B1D7-4731-B7A9-C1282A873660}"/>
    <cellStyle name="40% - Accent2 3 3 5" xfId="9211" xr:uid="{DAD05B79-F517-4A8A-A67A-9735F82D2FF2}"/>
    <cellStyle name="40% - Accent2 3 4" xfId="1084" xr:uid="{00000000-0005-0000-0000-0000CB040000}"/>
    <cellStyle name="40% - Accent2 3 4 2" xfId="3315" xr:uid="{00000000-0005-0000-0000-0000CC040000}"/>
    <cellStyle name="40% - Accent2 3 4 2 2" xfId="7537" xr:uid="{00000000-0005-0000-0000-0000CD040000}"/>
    <cellStyle name="40% - Accent2 3 4 2 2 2" xfId="24435" xr:uid="{FC4F9426-0D7E-4A1C-B4FF-0A5359AEF5D3}"/>
    <cellStyle name="40% - Accent2 3 4 2 2 3" xfId="15987" xr:uid="{154372C0-6B1C-47FD-AB13-DB3B2B7D8D4F}"/>
    <cellStyle name="40% - Accent2 3 4 2 3" xfId="20217" xr:uid="{1A13649E-7FF9-4C99-A2FB-A8EC5FF0464E}"/>
    <cellStyle name="40% - Accent2 3 4 2 4" xfId="11769" xr:uid="{8A75E586-09E6-47C4-8037-2B3D44E3805D}"/>
    <cellStyle name="40% - Accent2 3 4 3" xfId="5392" xr:uid="{00000000-0005-0000-0000-0000CE040000}"/>
    <cellStyle name="40% - Accent2 3 4 3 2" xfId="22290" xr:uid="{FA334709-8FBF-4D90-921A-F2417620CA8B}"/>
    <cellStyle name="40% - Accent2 3 4 3 3" xfId="13842" xr:uid="{23AF104B-58FD-468D-9DDE-E4864BE9153E}"/>
    <cellStyle name="40% - Accent2 3 4 4" xfId="18072" xr:uid="{BAB120DA-68EF-4E50-A316-6A11ACB7B54D}"/>
    <cellStyle name="40% - Accent2 3 4 5" xfId="9624" xr:uid="{AC258241-6440-4E08-8062-F77C47874EBE}"/>
    <cellStyle name="40% - Accent2 3 5" xfId="1498" xr:uid="{00000000-0005-0000-0000-0000CF040000}"/>
    <cellStyle name="40% - Accent2 3 5 2" xfId="3728" xr:uid="{00000000-0005-0000-0000-0000D0040000}"/>
    <cellStyle name="40% - Accent2 3 5 2 2" xfId="7950" xr:uid="{00000000-0005-0000-0000-0000D1040000}"/>
    <cellStyle name="40% - Accent2 3 5 2 2 2" xfId="24848" xr:uid="{0F016723-7AEC-42C1-B906-F05BC65B7BBF}"/>
    <cellStyle name="40% - Accent2 3 5 2 2 3" xfId="16400" xr:uid="{7E7FAEE6-5615-4367-9549-0A73BFD93196}"/>
    <cellStyle name="40% - Accent2 3 5 2 3" xfId="20630" xr:uid="{907CA47A-9F93-40B4-998B-01FFC4DA6957}"/>
    <cellStyle name="40% - Accent2 3 5 2 4" xfId="12182" xr:uid="{C0F0FC4C-1309-457B-869A-87C1C5E73180}"/>
    <cellStyle name="40% - Accent2 3 5 3" xfId="5805" xr:uid="{00000000-0005-0000-0000-0000D2040000}"/>
    <cellStyle name="40% - Accent2 3 5 3 2" xfId="22703" xr:uid="{EFA9CF2C-8A23-43DB-BF3E-67FE56E0C35E}"/>
    <cellStyle name="40% - Accent2 3 5 3 3" xfId="14255" xr:uid="{14C7118B-03FC-48C9-B10D-4700CE537AC2}"/>
    <cellStyle name="40% - Accent2 3 5 4" xfId="18485" xr:uid="{899462A4-39BF-4310-835A-3B7883423CDE}"/>
    <cellStyle name="40% - Accent2 3 5 5" xfId="10037" xr:uid="{7A8D6902-90AD-4898-9878-85A97D577A11}"/>
    <cellStyle name="40% - Accent2 3 6" xfId="1912" xr:uid="{00000000-0005-0000-0000-0000D3040000}"/>
    <cellStyle name="40% - Accent2 3 6 2" xfId="4141" xr:uid="{00000000-0005-0000-0000-0000D4040000}"/>
    <cellStyle name="40% - Accent2 3 6 2 2" xfId="8363" xr:uid="{00000000-0005-0000-0000-0000D5040000}"/>
    <cellStyle name="40% - Accent2 3 6 2 2 2" xfId="25261" xr:uid="{2AC4092F-ED86-4BE8-A780-D3527BB2235A}"/>
    <cellStyle name="40% - Accent2 3 6 2 2 3" xfId="16813" xr:uid="{5EED9900-2379-49A2-ACB9-E0F6B710B143}"/>
    <cellStyle name="40% - Accent2 3 6 2 3" xfId="21043" xr:uid="{8F2B841A-4A57-43DC-9797-341B26B11D1C}"/>
    <cellStyle name="40% - Accent2 3 6 2 4" xfId="12595" xr:uid="{C36C05AE-542B-45BE-9DFB-06C9354A771F}"/>
    <cellStyle name="40% - Accent2 3 6 3" xfId="6218" xr:uid="{00000000-0005-0000-0000-0000D6040000}"/>
    <cellStyle name="40% - Accent2 3 6 3 2" xfId="23116" xr:uid="{A290683F-D9A2-4082-BF0A-FF81DEEF4773}"/>
    <cellStyle name="40% - Accent2 3 6 3 3" xfId="14668" xr:uid="{9B2C042A-81E6-4081-A921-C74E0D411741}"/>
    <cellStyle name="40% - Accent2 3 6 4" xfId="18898" xr:uid="{4ACD8646-61B4-4308-8D2A-7051090CEAFB}"/>
    <cellStyle name="40% - Accent2 3 6 5" xfId="10450" xr:uid="{334EF62C-CC73-4E0A-80A5-B8954BA757CC}"/>
    <cellStyle name="40% - Accent2 3 7" xfId="2325" xr:uid="{00000000-0005-0000-0000-0000D7040000}"/>
    <cellStyle name="40% - Accent2 3 7 2" xfId="6631" xr:uid="{00000000-0005-0000-0000-0000D8040000}"/>
    <cellStyle name="40% - Accent2 3 7 2 2" xfId="23529" xr:uid="{504FDA78-87A3-45F9-9047-233B875B4E9D}"/>
    <cellStyle name="40% - Accent2 3 7 2 3" xfId="15081" xr:uid="{17F68950-30BC-4CBD-9F4D-F95A6B182177}"/>
    <cellStyle name="40% - Accent2 3 7 3" xfId="19311" xr:uid="{9F5758C1-FEE1-412E-80F6-E538F43A05EA}"/>
    <cellStyle name="40% - Accent2 3 7 4" xfId="10863" xr:uid="{5F3BD196-1BE0-41C5-8A6F-B9277D77D472}"/>
    <cellStyle name="40% - Accent2 3 8" xfId="4565" xr:uid="{00000000-0005-0000-0000-0000D9040000}"/>
    <cellStyle name="40% - Accent2 3 8 2" xfId="21463" xr:uid="{ADF9EE8D-FEF8-4C45-8120-4B150DCFC1DB}"/>
    <cellStyle name="40% - Accent2 3 8 3" xfId="13015" xr:uid="{0CB70213-9B60-437E-B581-AF613CAA5915}"/>
    <cellStyle name="40% - Accent2 3 9" xfId="17245" xr:uid="{EE808A09-CE6F-48AB-BB10-B93F197D8FA3}"/>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2 2 2" xfId="24024" xr:uid="{6BBCC6D6-064C-4E9B-9DE2-87A647B8FEDD}"/>
    <cellStyle name="40% - Accent2 4 2 2 2 3" xfId="15576" xr:uid="{D2148756-AB2D-4931-8147-C01B5386237B}"/>
    <cellStyle name="40% - Accent2 4 2 2 3" xfId="19806" xr:uid="{A22CB432-3BE5-42A5-A79A-85F099658A94}"/>
    <cellStyle name="40% - Accent2 4 2 2 4" xfId="11358" xr:uid="{B997DDAB-38D5-48BC-9C8E-026B8971F355}"/>
    <cellStyle name="40% - Accent2 4 2 3" xfId="4981" xr:uid="{00000000-0005-0000-0000-0000DE040000}"/>
    <cellStyle name="40% - Accent2 4 2 3 2" xfId="21879" xr:uid="{033ECCDA-5EF6-413B-A460-F35B9BC8E5C0}"/>
    <cellStyle name="40% - Accent2 4 2 3 3" xfId="13431" xr:uid="{90DBB992-DC46-42DB-9583-4A6EC45A37CF}"/>
    <cellStyle name="40% - Accent2 4 2 4" xfId="17661" xr:uid="{56B646A8-CFC5-4284-9AE1-3B3E4F77E300}"/>
    <cellStyle name="40% - Accent2 4 2 5" xfId="9213" xr:uid="{F52E6C20-4DB8-4EE5-9DD5-9152E270FC25}"/>
    <cellStyle name="40% - Accent2 4 3" xfId="1086" xr:uid="{00000000-0005-0000-0000-0000DF040000}"/>
    <cellStyle name="40% - Accent2 4 3 2" xfId="3317" xr:uid="{00000000-0005-0000-0000-0000E0040000}"/>
    <cellStyle name="40% - Accent2 4 3 2 2" xfId="7539" xr:uid="{00000000-0005-0000-0000-0000E1040000}"/>
    <cellStyle name="40% - Accent2 4 3 2 2 2" xfId="24437" xr:uid="{87239A80-5C58-43C9-AC2A-77D70D820480}"/>
    <cellStyle name="40% - Accent2 4 3 2 2 3" xfId="15989" xr:uid="{135463B9-B42C-4F5F-81D0-39F7CA51EC3E}"/>
    <cellStyle name="40% - Accent2 4 3 2 3" xfId="20219" xr:uid="{F47692F6-B052-4AE8-AC9E-C7FF0709419D}"/>
    <cellStyle name="40% - Accent2 4 3 2 4" xfId="11771" xr:uid="{F2F57B56-8577-4082-9B4A-4E6677BA8150}"/>
    <cellStyle name="40% - Accent2 4 3 3" xfId="5394" xr:uid="{00000000-0005-0000-0000-0000E2040000}"/>
    <cellStyle name="40% - Accent2 4 3 3 2" xfId="22292" xr:uid="{75730B68-12B6-496D-A3AC-83B90FBFAA95}"/>
    <cellStyle name="40% - Accent2 4 3 3 3" xfId="13844" xr:uid="{1E9725E1-F755-4128-8253-342A2A92E112}"/>
    <cellStyle name="40% - Accent2 4 3 4" xfId="18074" xr:uid="{0EF58D50-7BC2-4D03-9A2C-658E0DAC12E9}"/>
    <cellStyle name="40% - Accent2 4 3 5" xfId="9626" xr:uid="{DADD159F-756E-4B9F-8513-695F0A1A1067}"/>
    <cellStyle name="40% - Accent2 4 4" xfId="1500" xr:uid="{00000000-0005-0000-0000-0000E3040000}"/>
    <cellStyle name="40% - Accent2 4 4 2" xfId="3730" xr:uid="{00000000-0005-0000-0000-0000E4040000}"/>
    <cellStyle name="40% - Accent2 4 4 2 2" xfId="7952" xr:uid="{00000000-0005-0000-0000-0000E5040000}"/>
    <cellStyle name="40% - Accent2 4 4 2 2 2" xfId="24850" xr:uid="{E3FB932B-28CE-4374-9B38-8FF43BA21E49}"/>
    <cellStyle name="40% - Accent2 4 4 2 2 3" xfId="16402" xr:uid="{7A11A58B-21C9-49B7-BAF5-15731CE27CED}"/>
    <cellStyle name="40% - Accent2 4 4 2 3" xfId="20632" xr:uid="{97F66F02-FF47-4F04-89C1-8783B77116B0}"/>
    <cellStyle name="40% - Accent2 4 4 2 4" xfId="12184" xr:uid="{1E1F68B1-1077-419B-A859-C848F95FB1E3}"/>
    <cellStyle name="40% - Accent2 4 4 3" xfId="5807" xr:uid="{00000000-0005-0000-0000-0000E6040000}"/>
    <cellStyle name="40% - Accent2 4 4 3 2" xfId="22705" xr:uid="{9B2F2F91-6A7E-4C55-819A-251BA373E0ED}"/>
    <cellStyle name="40% - Accent2 4 4 3 3" xfId="14257" xr:uid="{E3D1B900-BE2A-4AC8-935D-22985FE1AB45}"/>
    <cellStyle name="40% - Accent2 4 4 4" xfId="18487" xr:uid="{65674052-6BB9-4862-94CA-0B255E4B5E4E}"/>
    <cellStyle name="40% - Accent2 4 4 5" xfId="10039" xr:uid="{44DD71CE-EC94-494E-A485-B60B50191800}"/>
    <cellStyle name="40% - Accent2 4 5" xfId="1914" xr:uid="{00000000-0005-0000-0000-0000E7040000}"/>
    <cellStyle name="40% - Accent2 4 5 2" xfId="4143" xr:uid="{00000000-0005-0000-0000-0000E8040000}"/>
    <cellStyle name="40% - Accent2 4 5 2 2" xfId="8365" xr:uid="{00000000-0005-0000-0000-0000E9040000}"/>
    <cellStyle name="40% - Accent2 4 5 2 2 2" xfId="25263" xr:uid="{5FBD0623-2558-409B-A515-3A7279BDF356}"/>
    <cellStyle name="40% - Accent2 4 5 2 2 3" xfId="16815" xr:uid="{46BE28DE-EA81-4A6F-9973-712D24B9B067}"/>
    <cellStyle name="40% - Accent2 4 5 2 3" xfId="21045" xr:uid="{288EDDD0-8161-4977-868E-22DC78325BFD}"/>
    <cellStyle name="40% - Accent2 4 5 2 4" xfId="12597" xr:uid="{E2B8CED3-A11A-45BB-90AB-0A3A1624118F}"/>
    <cellStyle name="40% - Accent2 4 5 3" xfId="6220" xr:uid="{00000000-0005-0000-0000-0000EA040000}"/>
    <cellStyle name="40% - Accent2 4 5 3 2" xfId="23118" xr:uid="{29D4DD88-8288-4202-AEDF-8A00EB47C067}"/>
    <cellStyle name="40% - Accent2 4 5 3 3" xfId="14670" xr:uid="{78C3FC40-9786-46D6-A301-757319481353}"/>
    <cellStyle name="40% - Accent2 4 5 4" xfId="18900" xr:uid="{81D39632-9580-4909-9C59-4C8A6A134C36}"/>
    <cellStyle name="40% - Accent2 4 5 5" xfId="10452" xr:uid="{C83B26DE-AEB2-435E-8777-3D9C90964F02}"/>
    <cellStyle name="40% - Accent2 4 6" xfId="2327" xr:uid="{00000000-0005-0000-0000-0000EB040000}"/>
    <cellStyle name="40% - Accent2 4 6 2" xfId="6633" xr:uid="{00000000-0005-0000-0000-0000EC040000}"/>
    <cellStyle name="40% - Accent2 4 6 2 2" xfId="23531" xr:uid="{0C5B68B0-25DF-47A6-AD29-09D1F03A2CA2}"/>
    <cellStyle name="40% - Accent2 4 6 2 3" xfId="15083" xr:uid="{11E069B6-A932-4764-8A89-C7BEE12F33DB}"/>
    <cellStyle name="40% - Accent2 4 6 3" xfId="19313" xr:uid="{AA8E59AD-299E-4462-9755-B7248CE6B373}"/>
    <cellStyle name="40% - Accent2 4 6 4" xfId="10865" xr:uid="{BA8885E2-8029-46EA-B82A-B7D99ACBA064}"/>
    <cellStyle name="40% - Accent2 4 7" xfId="4567" xr:uid="{00000000-0005-0000-0000-0000ED040000}"/>
    <cellStyle name="40% - Accent2 4 7 2" xfId="21465" xr:uid="{A3C85967-0C88-45C9-92E5-71C213645E77}"/>
    <cellStyle name="40% - Accent2 4 7 3" xfId="13017" xr:uid="{5E4C9CBF-51DE-4D11-8765-FA47147C2A0C}"/>
    <cellStyle name="40% - Accent2 4 8" xfId="17247" xr:uid="{804829F3-34C5-44E9-A102-257C5183CCBF}"/>
    <cellStyle name="40% - Accent2 4 9" xfId="8799" xr:uid="{E9B6D4EA-F24E-4574-9E27-3CCAAF7E10D3}"/>
    <cellStyle name="40% - Accent2 5" xfId="626" xr:uid="{00000000-0005-0000-0000-0000EE040000}"/>
    <cellStyle name="40% - Accent2 5 2" xfId="2897" xr:uid="{00000000-0005-0000-0000-0000EF040000}"/>
    <cellStyle name="40% - Accent2 5 2 2" xfId="7119" xr:uid="{00000000-0005-0000-0000-0000F0040000}"/>
    <cellStyle name="40% - Accent2 5 2 2 2" xfId="24017" xr:uid="{F72200D2-94A5-4AB8-9BFC-3EB8647F0A18}"/>
    <cellStyle name="40% - Accent2 5 2 2 3" xfId="15569" xr:uid="{DC40FDF2-D158-4A1F-B373-8C244ACC9C10}"/>
    <cellStyle name="40% - Accent2 5 2 3" xfId="19799" xr:uid="{978260BF-F86D-4EB9-9D7E-31A4AAA6401C}"/>
    <cellStyle name="40% - Accent2 5 2 4" xfId="11351" xr:uid="{B92F4799-E480-405A-BFEF-603044E9DDF7}"/>
    <cellStyle name="40% - Accent2 5 3" xfId="4974" xr:uid="{00000000-0005-0000-0000-0000F1040000}"/>
    <cellStyle name="40% - Accent2 5 3 2" xfId="21872" xr:uid="{13F49E87-5823-4DB7-A4FC-EE287B2E94DE}"/>
    <cellStyle name="40% - Accent2 5 3 3" xfId="13424" xr:uid="{7B32948C-B17C-4C07-8C11-04FC07C535B9}"/>
    <cellStyle name="40% - Accent2 5 4" xfId="17654" xr:uid="{7BB7F746-61AA-49BE-B8D7-D448557F9BC5}"/>
    <cellStyle name="40% - Accent2 5 5" xfId="9206" xr:uid="{0D6C1420-8F53-4BE5-BD63-CBB2316C61E3}"/>
    <cellStyle name="40% - Accent2 6" xfId="1079" xr:uid="{00000000-0005-0000-0000-0000F2040000}"/>
    <cellStyle name="40% - Accent2 6 2" xfId="3310" xr:uid="{00000000-0005-0000-0000-0000F3040000}"/>
    <cellStyle name="40% - Accent2 6 2 2" xfId="7532" xr:uid="{00000000-0005-0000-0000-0000F4040000}"/>
    <cellStyle name="40% - Accent2 6 2 2 2" xfId="24430" xr:uid="{F88E611A-493A-4F23-9172-BFE64FB3EF4C}"/>
    <cellStyle name="40% - Accent2 6 2 2 3" xfId="15982" xr:uid="{135F5765-7FF0-41F6-83A6-F4E86B8045EA}"/>
    <cellStyle name="40% - Accent2 6 2 3" xfId="20212" xr:uid="{7CF12FEE-3D23-4379-A629-9DF43EF3BF98}"/>
    <cellStyle name="40% - Accent2 6 2 4" xfId="11764" xr:uid="{8AC93BA3-9F34-4633-AA23-8AE203404E5B}"/>
    <cellStyle name="40% - Accent2 6 3" xfId="5387" xr:uid="{00000000-0005-0000-0000-0000F5040000}"/>
    <cellStyle name="40% - Accent2 6 3 2" xfId="22285" xr:uid="{4F95CA31-60F8-4597-ABBF-2DFA877E4CDF}"/>
    <cellStyle name="40% - Accent2 6 3 3" xfId="13837" xr:uid="{760A5178-52C2-4B6E-8B2A-3E09D1AAFEFE}"/>
    <cellStyle name="40% - Accent2 6 4" xfId="18067" xr:uid="{D63E97A7-BFFB-41E7-9FFE-3C488528D191}"/>
    <cellStyle name="40% - Accent2 6 5" xfId="9619" xr:uid="{0ECD7790-B1DA-468E-A2B6-5CCD355D9D11}"/>
    <cellStyle name="40% - Accent2 7" xfId="1493" xr:uid="{00000000-0005-0000-0000-0000F6040000}"/>
    <cellStyle name="40% - Accent2 7 2" xfId="3723" xr:uid="{00000000-0005-0000-0000-0000F7040000}"/>
    <cellStyle name="40% - Accent2 7 2 2" xfId="7945" xr:uid="{00000000-0005-0000-0000-0000F8040000}"/>
    <cellStyle name="40% - Accent2 7 2 2 2" xfId="24843" xr:uid="{0D177B98-A8D4-4DF9-8756-4BECB8A7B673}"/>
    <cellStyle name="40% - Accent2 7 2 2 3" xfId="16395" xr:uid="{4EE6E36E-9D2F-4671-9EA1-9759D22EDE38}"/>
    <cellStyle name="40% - Accent2 7 2 3" xfId="20625" xr:uid="{A82E5801-5100-48D0-95A3-8CBC4BA3B4C4}"/>
    <cellStyle name="40% - Accent2 7 2 4" xfId="12177" xr:uid="{F6D26B89-4E32-4A46-8D71-9039C7A0DA62}"/>
    <cellStyle name="40% - Accent2 7 3" xfId="5800" xr:uid="{00000000-0005-0000-0000-0000F9040000}"/>
    <cellStyle name="40% - Accent2 7 3 2" xfId="22698" xr:uid="{F59AFC89-C3BD-426B-B0FA-6317E4D737B7}"/>
    <cellStyle name="40% - Accent2 7 3 3" xfId="14250" xr:uid="{493C3F21-81D4-4D1B-9103-3E38A270F28F}"/>
    <cellStyle name="40% - Accent2 7 4" xfId="18480" xr:uid="{90889F54-7341-4173-968F-6F10C82C1D95}"/>
    <cellStyle name="40% - Accent2 7 5" xfId="10032" xr:uid="{868D3292-4126-4932-B5F4-A5DFE20F493F}"/>
    <cellStyle name="40% - Accent2 8" xfId="1907" xr:uid="{00000000-0005-0000-0000-0000FA040000}"/>
    <cellStyle name="40% - Accent2 8 2" xfId="4136" xr:uid="{00000000-0005-0000-0000-0000FB040000}"/>
    <cellStyle name="40% - Accent2 8 2 2" xfId="8358" xr:uid="{00000000-0005-0000-0000-0000FC040000}"/>
    <cellStyle name="40% - Accent2 8 2 2 2" xfId="25256" xr:uid="{A70900BA-CEE2-43EA-9861-C58DD9C96848}"/>
    <cellStyle name="40% - Accent2 8 2 2 3" xfId="16808" xr:uid="{21B794AC-F0DA-46AB-8CA1-1F4880DB5357}"/>
    <cellStyle name="40% - Accent2 8 2 3" xfId="21038" xr:uid="{1EF24668-8DE9-4857-A903-5ABFAE5A3220}"/>
    <cellStyle name="40% - Accent2 8 2 4" xfId="12590" xr:uid="{9FB6D6A5-8268-4B1C-B688-6C1BC2345052}"/>
    <cellStyle name="40% - Accent2 8 3" xfId="6213" xr:uid="{00000000-0005-0000-0000-0000FD040000}"/>
    <cellStyle name="40% - Accent2 8 3 2" xfId="23111" xr:uid="{347DE744-5820-4CB2-A06D-FFAD2CA01714}"/>
    <cellStyle name="40% - Accent2 8 3 3" xfId="14663" xr:uid="{C9366505-7A9F-46D6-983D-21D3D80C2A30}"/>
    <cellStyle name="40% - Accent2 8 4" xfId="18893" xr:uid="{234F6400-B7AB-4BD8-B001-A3905562B14C}"/>
    <cellStyle name="40% - Accent2 8 5" xfId="10445" xr:uid="{76374491-6E11-45CD-8C11-F75A9A1B5C9A}"/>
    <cellStyle name="40% - Accent2 9" xfId="2320" xr:uid="{00000000-0005-0000-0000-0000FE040000}"/>
    <cellStyle name="40% - Accent2 9 2" xfId="6626" xr:uid="{00000000-0005-0000-0000-0000FF040000}"/>
    <cellStyle name="40% - Accent2 9 2 2" xfId="23524" xr:uid="{411F6A60-9C96-47CD-9F86-39212631C15D}"/>
    <cellStyle name="40% - Accent2 9 2 3" xfId="15076" xr:uid="{27CD61B3-38B8-4966-A4E6-1E8328CF83FE}"/>
    <cellStyle name="40% - Accent2 9 3" xfId="19306" xr:uid="{B808B231-105A-46DC-A77C-35C22F8732DD}"/>
    <cellStyle name="40% - Accent2 9 4" xfId="10858" xr:uid="{FE83F288-9FF7-41B8-B371-38A69051A772}"/>
    <cellStyle name="40% - Accent3" xfId="65" builtinId="39" customBuiltin="1"/>
    <cellStyle name="40% - Accent3 10" xfId="4568" xr:uid="{00000000-0005-0000-0000-000001050000}"/>
    <cellStyle name="40% - Accent3 10 2" xfId="21466" xr:uid="{7CD300E0-6923-4BA7-9C4D-2196659C0697}"/>
    <cellStyle name="40% - Accent3 10 3" xfId="13018" xr:uid="{48FE75FE-8CB0-4AF6-AF66-EDAAC39433FF}"/>
    <cellStyle name="40% - Accent3 11" xfId="17248" xr:uid="{1ED977D0-E51B-46E1-A790-BA2348E0D249}"/>
    <cellStyle name="40% - Accent3 12" xfId="8800" xr:uid="{E02BA495-6049-4B47-9AAC-307C71B1DDFE}"/>
    <cellStyle name="40% - Accent3 2" xfId="66" xr:uid="{00000000-0005-0000-0000-000002050000}"/>
    <cellStyle name="40% - Accent3 2 10" xfId="17249" xr:uid="{344B4356-8741-4E72-90D8-C4F4C2C491A9}"/>
    <cellStyle name="40% - Accent3 2 11" xfId="8801" xr:uid="{01481CEC-7955-492E-BFC6-2ADFAA7060C6}"/>
    <cellStyle name="40% - Accent3 2 2" xfId="67" xr:uid="{00000000-0005-0000-0000-000003050000}"/>
    <cellStyle name="40% - Accent3 2 2 10" xfId="8802" xr:uid="{6B40240F-E5F0-443D-B2FA-938CB3A156C5}"/>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24028" xr:uid="{C80BD5D0-AE7F-4CE5-942E-A46A7BA17CFD}"/>
    <cellStyle name="40% - Accent3 2 2 2 2 2 2 3" xfId="15580" xr:uid="{29917824-57D0-459A-9A0B-0D08BC570BD2}"/>
    <cellStyle name="40% - Accent3 2 2 2 2 2 3" xfId="19810" xr:uid="{3DA57905-1F61-4B9E-ABC7-76E22A9646AB}"/>
    <cellStyle name="40% - Accent3 2 2 2 2 2 4" xfId="11362" xr:uid="{948ECDD0-30D0-4C81-99D3-CAD70D04D960}"/>
    <cellStyle name="40% - Accent3 2 2 2 2 3" xfId="4985" xr:uid="{00000000-0005-0000-0000-000008050000}"/>
    <cellStyle name="40% - Accent3 2 2 2 2 3 2" xfId="21883" xr:uid="{35E8F7DE-AD00-4399-A039-22219D8771BF}"/>
    <cellStyle name="40% - Accent3 2 2 2 2 3 3" xfId="13435" xr:uid="{DB75D74B-3708-4541-9230-22E56F71B78A}"/>
    <cellStyle name="40% - Accent3 2 2 2 2 4" xfId="17665" xr:uid="{570ECC65-A687-4B63-A46A-016ADB0B34FC}"/>
    <cellStyle name="40% - Accent3 2 2 2 2 5" xfId="9217" xr:uid="{50F99EBF-C6E2-45A5-A430-DEB02E4BBD6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24441" xr:uid="{A6CF7897-3C2A-4F26-9179-8943D191C6A5}"/>
    <cellStyle name="40% - Accent3 2 2 2 3 2 2 3" xfId="15993" xr:uid="{7D1A857E-5A66-4526-8B04-DF5868B16118}"/>
    <cellStyle name="40% - Accent3 2 2 2 3 2 3" xfId="20223" xr:uid="{522F3FF5-EDA0-44AA-AFE1-A30D144B9E35}"/>
    <cellStyle name="40% - Accent3 2 2 2 3 2 4" xfId="11775" xr:uid="{13409D60-A91C-40CF-B39D-FC72A11380CA}"/>
    <cellStyle name="40% - Accent3 2 2 2 3 3" xfId="5398" xr:uid="{00000000-0005-0000-0000-00000C050000}"/>
    <cellStyle name="40% - Accent3 2 2 2 3 3 2" xfId="22296" xr:uid="{BD3C40DF-42BB-4745-B105-D912DC21C48C}"/>
    <cellStyle name="40% - Accent3 2 2 2 3 3 3" xfId="13848" xr:uid="{39BAF014-C4E8-4FAE-BD4D-87D51F0D5B35}"/>
    <cellStyle name="40% - Accent3 2 2 2 3 4" xfId="18078" xr:uid="{069EDE62-A558-4B14-A2AF-5C6DEADB7212}"/>
    <cellStyle name="40% - Accent3 2 2 2 3 5" xfId="9630" xr:uid="{4027B25B-9BC2-4932-BCAE-DBC1854E9F7A}"/>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24854" xr:uid="{67350272-AF1A-4C55-9E0A-79BB65F24AB0}"/>
    <cellStyle name="40% - Accent3 2 2 2 4 2 2 3" xfId="16406" xr:uid="{65013A3E-84D8-41C8-9748-09B0CE906CD3}"/>
    <cellStyle name="40% - Accent3 2 2 2 4 2 3" xfId="20636" xr:uid="{0646D6FF-14C3-4B4C-8301-EC3665C9045C}"/>
    <cellStyle name="40% - Accent3 2 2 2 4 2 4" xfId="12188" xr:uid="{DEE706F5-AEF5-418D-8B2E-5EB8A0810C5A}"/>
    <cellStyle name="40% - Accent3 2 2 2 4 3" xfId="5811" xr:uid="{00000000-0005-0000-0000-000010050000}"/>
    <cellStyle name="40% - Accent3 2 2 2 4 3 2" xfId="22709" xr:uid="{313DF71F-B6CB-4A93-A5BF-DB15F1C61130}"/>
    <cellStyle name="40% - Accent3 2 2 2 4 3 3" xfId="14261" xr:uid="{D41FFFA1-FB5E-4613-9E2F-61B7E04C623D}"/>
    <cellStyle name="40% - Accent3 2 2 2 4 4" xfId="18491" xr:uid="{F3D937C4-5AFE-48EF-9019-5799B2FE5211}"/>
    <cellStyle name="40% - Accent3 2 2 2 4 5" xfId="10043" xr:uid="{6A9F17B4-096C-445A-AD8A-6E2DFADF584E}"/>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25267" xr:uid="{B069D172-592F-4885-8A9A-A2AC9D7D9265}"/>
    <cellStyle name="40% - Accent3 2 2 2 5 2 2 3" xfId="16819" xr:uid="{8D501F3D-E667-41C2-87CB-626927D66800}"/>
    <cellStyle name="40% - Accent3 2 2 2 5 2 3" xfId="21049" xr:uid="{99EC9B82-CA46-42EC-B195-2D38B1A228AA}"/>
    <cellStyle name="40% - Accent3 2 2 2 5 2 4" xfId="12601" xr:uid="{1E7D71B8-AEB9-43E1-B7BD-DFD5D9D5A377}"/>
    <cellStyle name="40% - Accent3 2 2 2 5 3" xfId="6224" xr:uid="{00000000-0005-0000-0000-000014050000}"/>
    <cellStyle name="40% - Accent3 2 2 2 5 3 2" xfId="23122" xr:uid="{2FF4A08A-922E-4E4A-B6CB-6A086BFCA684}"/>
    <cellStyle name="40% - Accent3 2 2 2 5 3 3" xfId="14674" xr:uid="{75AE6FC0-908B-447E-8EA7-2871AF0868A9}"/>
    <cellStyle name="40% - Accent3 2 2 2 5 4" xfId="18904" xr:uid="{88D62218-FBC2-4614-AEB9-38BC4CF62F23}"/>
    <cellStyle name="40% - Accent3 2 2 2 5 5" xfId="10456" xr:uid="{05DB9ED1-44B5-41F6-9AB2-562E0A40DA8D}"/>
    <cellStyle name="40% - Accent3 2 2 2 6" xfId="2331" xr:uid="{00000000-0005-0000-0000-000015050000}"/>
    <cellStyle name="40% - Accent3 2 2 2 6 2" xfId="6637" xr:uid="{00000000-0005-0000-0000-000016050000}"/>
    <cellStyle name="40% - Accent3 2 2 2 6 2 2" xfId="23535" xr:uid="{B7BE4C17-6356-4AE0-AFDA-95C6C02D98EB}"/>
    <cellStyle name="40% - Accent3 2 2 2 6 2 3" xfId="15087" xr:uid="{63258D17-43F8-42D5-837A-15A51FB626FD}"/>
    <cellStyle name="40% - Accent3 2 2 2 6 3" xfId="19317" xr:uid="{5A1B5908-1B95-40D6-A56F-58DADDF98A99}"/>
    <cellStyle name="40% - Accent3 2 2 2 6 4" xfId="10869" xr:uid="{13092CF8-F61B-44B5-9501-6C9DAB96FF93}"/>
    <cellStyle name="40% - Accent3 2 2 2 7" xfId="4571" xr:uid="{00000000-0005-0000-0000-000017050000}"/>
    <cellStyle name="40% - Accent3 2 2 2 7 2" xfId="21469" xr:uid="{D32A0D11-2FC2-4028-A44E-3A13DCFE538A}"/>
    <cellStyle name="40% - Accent3 2 2 2 7 3" xfId="13021" xr:uid="{9949E493-EDEB-4068-AD03-3C19B18A9E07}"/>
    <cellStyle name="40% - Accent3 2 2 2 8" xfId="17251" xr:uid="{F098B4EB-2012-4889-9233-C4774528D755}"/>
    <cellStyle name="40% - Accent3 2 2 2 9" xfId="8803" xr:uid="{64F776C4-495F-42EC-98E4-52E10241B194}"/>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24027" xr:uid="{046B6112-C7C6-4B69-AADA-8B6F798B6871}"/>
    <cellStyle name="40% - Accent3 2 2 3 2 2 3" xfId="15579" xr:uid="{AE52EE2F-41A4-4AB2-8A10-A7FF335379EF}"/>
    <cellStyle name="40% - Accent3 2 2 3 2 3" xfId="19809" xr:uid="{AFE6E77C-B17F-4C34-AF7E-14B9BA86256E}"/>
    <cellStyle name="40% - Accent3 2 2 3 2 4" xfId="11361" xr:uid="{4244AB7B-4712-4083-96E1-F73FD2161785}"/>
    <cellStyle name="40% - Accent3 2 2 3 3" xfId="4984" xr:uid="{00000000-0005-0000-0000-00001B050000}"/>
    <cellStyle name="40% - Accent3 2 2 3 3 2" xfId="21882" xr:uid="{81769B34-9480-4730-BCFE-7DE841324F9E}"/>
    <cellStyle name="40% - Accent3 2 2 3 3 3" xfId="13434" xr:uid="{445AB1B0-7FFE-49DF-A1D1-6DA71B887366}"/>
    <cellStyle name="40% - Accent3 2 2 3 4" xfId="17664" xr:uid="{0DE24C1C-D4FE-4485-9A07-3DF4A5B601A0}"/>
    <cellStyle name="40% - Accent3 2 2 3 5" xfId="9216" xr:uid="{516ECDE3-F499-404B-A2DF-754E3CD601C8}"/>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24440" xr:uid="{62337BC1-9C22-467A-ABC5-3B64AC8DE527}"/>
    <cellStyle name="40% - Accent3 2 2 4 2 2 3" xfId="15992" xr:uid="{5C9C647D-8A61-4307-B50C-B801DD8AA54A}"/>
    <cellStyle name="40% - Accent3 2 2 4 2 3" xfId="20222" xr:uid="{02F9447E-B564-4727-90F9-65D346525047}"/>
    <cellStyle name="40% - Accent3 2 2 4 2 4" xfId="11774" xr:uid="{A7C8CC46-DC3C-4E8C-B9A5-DB107DCACDD7}"/>
    <cellStyle name="40% - Accent3 2 2 4 3" xfId="5397" xr:uid="{00000000-0005-0000-0000-00001F050000}"/>
    <cellStyle name="40% - Accent3 2 2 4 3 2" xfId="22295" xr:uid="{B34B3485-765B-4761-A954-5D87114D9D11}"/>
    <cellStyle name="40% - Accent3 2 2 4 3 3" xfId="13847" xr:uid="{0DABF6A3-E28A-4EC1-8951-C049982587ED}"/>
    <cellStyle name="40% - Accent3 2 2 4 4" xfId="18077" xr:uid="{FEA370E3-FB2A-4CC4-8056-A8AE7F94EED0}"/>
    <cellStyle name="40% - Accent3 2 2 4 5" xfId="9629" xr:uid="{9AA48B80-61A7-41C1-867B-74FF1BE082B1}"/>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24853" xr:uid="{3C6CE30E-2ADD-40C0-9212-7F136E4A0F9E}"/>
    <cellStyle name="40% - Accent3 2 2 5 2 2 3" xfId="16405" xr:uid="{09CE4146-C8B6-4541-A9B6-86614AFA254C}"/>
    <cellStyle name="40% - Accent3 2 2 5 2 3" xfId="20635" xr:uid="{BC71DDD2-FBAC-40B7-B215-A7994E7E2E0D}"/>
    <cellStyle name="40% - Accent3 2 2 5 2 4" xfId="12187" xr:uid="{30986B76-F422-4DFF-AD5C-C0D6D2C215B1}"/>
    <cellStyle name="40% - Accent3 2 2 5 3" xfId="5810" xr:uid="{00000000-0005-0000-0000-000023050000}"/>
    <cellStyle name="40% - Accent3 2 2 5 3 2" xfId="22708" xr:uid="{75B40A70-2588-4A58-84CA-6DD15B718FEA}"/>
    <cellStyle name="40% - Accent3 2 2 5 3 3" xfId="14260" xr:uid="{37BA12CE-DF2F-4910-8915-69A5BFDDD6C8}"/>
    <cellStyle name="40% - Accent3 2 2 5 4" xfId="18490" xr:uid="{22E4CE9C-BFDA-4D52-B281-9133F4128F07}"/>
    <cellStyle name="40% - Accent3 2 2 5 5" xfId="10042" xr:uid="{386C5895-89B4-4930-B275-542F173DDD59}"/>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25266" xr:uid="{4594EE9E-8806-4117-974D-020B7156FC2F}"/>
    <cellStyle name="40% - Accent3 2 2 6 2 2 3" xfId="16818" xr:uid="{C7A659DC-2AD2-41BE-831E-525D7D06A7A1}"/>
    <cellStyle name="40% - Accent3 2 2 6 2 3" xfId="21048" xr:uid="{97532323-B2CF-46E3-9E6D-D88176FF538A}"/>
    <cellStyle name="40% - Accent3 2 2 6 2 4" xfId="12600" xr:uid="{A7DD0226-2012-4E3D-9EAD-ED9C0A10C07D}"/>
    <cellStyle name="40% - Accent3 2 2 6 3" xfId="6223" xr:uid="{00000000-0005-0000-0000-000027050000}"/>
    <cellStyle name="40% - Accent3 2 2 6 3 2" xfId="23121" xr:uid="{82FE8099-B222-4979-92C0-B3A6CA754EFA}"/>
    <cellStyle name="40% - Accent3 2 2 6 3 3" xfId="14673" xr:uid="{5C344A44-D08E-48D8-ADF5-7A512091B4AE}"/>
    <cellStyle name="40% - Accent3 2 2 6 4" xfId="18903" xr:uid="{D7DE70A8-1710-46FC-8DDE-05281CC68276}"/>
    <cellStyle name="40% - Accent3 2 2 6 5" xfId="10455" xr:uid="{22A37444-4B4E-4A80-B6C7-BE0194970F89}"/>
    <cellStyle name="40% - Accent3 2 2 7" xfId="2330" xr:uid="{00000000-0005-0000-0000-000028050000}"/>
    <cellStyle name="40% - Accent3 2 2 7 2" xfId="6636" xr:uid="{00000000-0005-0000-0000-000029050000}"/>
    <cellStyle name="40% - Accent3 2 2 7 2 2" xfId="23534" xr:uid="{C599D36E-E82E-4021-B439-7E0F2FF63872}"/>
    <cellStyle name="40% - Accent3 2 2 7 2 3" xfId="15086" xr:uid="{D34AD2ED-046E-48F5-84F8-5446313AB1C9}"/>
    <cellStyle name="40% - Accent3 2 2 7 3" xfId="19316" xr:uid="{C4744C85-3126-4839-9D50-743382D547E0}"/>
    <cellStyle name="40% - Accent3 2 2 7 4" xfId="10868" xr:uid="{47FC5E51-E350-4BB4-B849-7FD45CDBE18D}"/>
    <cellStyle name="40% - Accent3 2 2 8" xfId="4570" xr:uid="{00000000-0005-0000-0000-00002A050000}"/>
    <cellStyle name="40% - Accent3 2 2 8 2" xfId="21468" xr:uid="{5F685A2D-F408-49E9-89F1-907B11B86E2C}"/>
    <cellStyle name="40% - Accent3 2 2 8 3" xfId="13020" xr:uid="{851AA948-092E-45E2-93DB-5CB3671912F7}"/>
    <cellStyle name="40% - Accent3 2 2 9" xfId="17250" xr:uid="{2DD2666F-9C1E-4F28-9D05-4CA1C715611A}"/>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24029" xr:uid="{9EB799A0-234E-406E-9FF6-90D3AA687313}"/>
    <cellStyle name="40% - Accent3 2 3 2 2 2 3" xfId="15581" xr:uid="{13159A1D-813D-4B15-8095-6C6180E492E5}"/>
    <cellStyle name="40% - Accent3 2 3 2 2 3" xfId="19811" xr:uid="{201FAA70-C4D1-4AC8-87CB-E2FDC6847197}"/>
    <cellStyle name="40% - Accent3 2 3 2 2 4" xfId="11363" xr:uid="{62ABAEDA-019E-4BC0-9502-D43FFDE574E2}"/>
    <cellStyle name="40% - Accent3 2 3 2 3" xfId="4986" xr:uid="{00000000-0005-0000-0000-00002F050000}"/>
    <cellStyle name="40% - Accent3 2 3 2 3 2" xfId="21884" xr:uid="{ADE2939F-FF73-4175-8618-06F5BBDEF718}"/>
    <cellStyle name="40% - Accent3 2 3 2 3 3" xfId="13436" xr:uid="{D01982DC-E560-4AAB-9EF2-D61FDE029D06}"/>
    <cellStyle name="40% - Accent3 2 3 2 4" xfId="17666" xr:uid="{46B510E4-8A48-46D5-9818-78D036843B87}"/>
    <cellStyle name="40% - Accent3 2 3 2 5" xfId="9218" xr:uid="{8F75B700-4451-4404-B27F-D7E469DDB7AC}"/>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24442" xr:uid="{416ED305-2EDE-43E6-B60E-24C997B80167}"/>
    <cellStyle name="40% - Accent3 2 3 3 2 2 3" xfId="15994" xr:uid="{CA952D04-8B55-4AC3-A30C-5D7ACF0CA286}"/>
    <cellStyle name="40% - Accent3 2 3 3 2 3" xfId="20224" xr:uid="{34B4BDB2-91A2-438A-9CF3-C7F03B508710}"/>
    <cellStyle name="40% - Accent3 2 3 3 2 4" xfId="11776" xr:uid="{11BF753F-6066-4BEC-A3B5-609DDFBEB8B2}"/>
    <cellStyle name="40% - Accent3 2 3 3 3" xfId="5399" xr:uid="{00000000-0005-0000-0000-000033050000}"/>
    <cellStyle name="40% - Accent3 2 3 3 3 2" xfId="22297" xr:uid="{260248A8-2F75-439E-8F58-80CC0707E871}"/>
    <cellStyle name="40% - Accent3 2 3 3 3 3" xfId="13849" xr:uid="{D9CA3F70-9E55-4005-82C1-306AEB9502F3}"/>
    <cellStyle name="40% - Accent3 2 3 3 4" xfId="18079" xr:uid="{63366B40-878E-48A9-8621-84587287A2A6}"/>
    <cellStyle name="40% - Accent3 2 3 3 5" xfId="9631" xr:uid="{7F78FE86-75CC-4F80-9494-62980E578E6D}"/>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24855" xr:uid="{278D9CB7-4F33-40FB-BAA3-0E2923836680}"/>
    <cellStyle name="40% - Accent3 2 3 4 2 2 3" xfId="16407" xr:uid="{DABAE40E-3E46-40D0-BFA5-982AAEC062B5}"/>
    <cellStyle name="40% - Accent3 2 3 4 2 3" xfId="20637" xr:uid="{DBC45242-F54B-4894-B0B5-AD72D90181E7}"/>
    <cellStyle name="40% - Accent3 2 3 4 2 4" xfId="12189" xr:uid="{03E7E156-10C6-47AB-97C3-58E18B8E69AC}"/>
    <cellStyle name="40% - Accent3 2 3 4 3" xfId="5812" xr:uid="{00000000-0005-0000-0000-000037050000}"/>
    <cellStyle name="40% - Accent3 2 3 4 3 2" xfId="22710" xr:uid="{C9902E40-3C82-4A12-B752-DC1D8A73BC4C}"/>
    <cellStyle name="40% - Accent3 2 3 4 3 3" xfId="14262" xr:uid="{BF5CA166-F107-4705-A0EF-1B5E78E055A5}"/>
    <cellStyle name="40% - Accent3 2 3 4 4" xfId="18492" xr:uid="{0C2D4C3E-1B25-4249-8578-0C7A0697F123}"/>
    <cellStyle name="40% - Accent3 2 3 4 5" xfId="10044" xr:uid="{FCBC3BFA-17B6-4DEA-8488-B7255423A6E7}"/>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25268" xr:uid="{C1B12B4A-2220-4441-BA30-06D02BCC522D}"/>
    <cellStyle name="40% - Accent3 2 3 5 2 2 3" xfId="16820" xr:uid="{B3FDED33-6CCF-46C0-B40E-70EF66FCB7E3}"/>
    <cellStyle name="40% - Accent3 2 3 5 2 3" xfId="21050" xr:uid="{98A0887A-EE86-4120-9F7C-6FB7CFD8C142}"/>
    <cellStyle name="40% - Accent3 2 3 5 2 4" xfId="12602" xr:uid="{675CB2E9-BA62-4822-AFBF-7CE5EDE2265C}"/>
    <cellStyle name="40% - Accent3 2 3 5 3" xfId="6225" xr:uid="{00000000-0005-0000-0000-00003B050000}"/>
    <cellStyle name="40% - Accent3 2 3 5 3 2" xfId="23123" xr:uid="{B39AA1CE-0510-4D13-BDEA-3E0EBF3AF2BE}"/>
    <cellStyle name="40% - Accent3 2 3 5 3 3" xfId="14675" xr:uid="{37CD2137-59E9-46FE-8ADC-C4FA4E1F01CB}"/>
    <cellStyle name="40% - Accent3 2 3 5 4" xfId="18905" xr:uid="{99398FEA-EAAD-4966-A090-7BF9475C0C25}"/>
    <cellStyle name="40% - Accent3 2 3 5 5" xfId="10457" xr:uid="{C3B0E190-0830-4A52-92C5-E505196376D5}"/>
    <cellStyle name="40% - Accent3 2 3 6" xfId="2332" xr:uid="{00000000-0005-0000-0000-00003C050000}"/>
    <cellStyle name="40% - Accent3 2 3 6 2" xfId="6638" xr:uid="{00000000-0005-0000-0000-00003D050000}"/>
    <cellStyle name="40% - Accent3 2 3 6 2 2" xfId="23536" xr:uid="{774C44F9-D97D-4A38-9562-28F79D74BF7B}"/>
    <cellStyle name="40% - Accent3 2 3 6 2 3" xfId="15088" xr:uid="{155DBAA4-022B-41B5-9824-74FA182C9F2E}"/>
    <cellStyle name="40% - Accent3 2 3 6 3" xfId="19318" xr:uid="{04948361-8C32-4AEE-8C48-9B8CA2463542}"/>
    <cellStyle name="40% - Accent3 2 3 6 4" xfId="10870" xr:uid="{E4D4661A-DBFD-4A35-AE0A-B3B48BB28226}"/>
    <cellStyle name="40% - Accent3 2 3 7" xfId="4572" xr:uid="{00000000-0005-0000-0000-00003E050000}"/>
    <cellStyle name="40% - Accent3 2 3 7 2" xfId="21470" xr:uid="{1AF0FB8D-2494-46AC-A725-438B29060AE0}"/>
    <cellStyle name="40% - Accent3 2 3 7 3" xfId="13022" xr:uid="{AE9EA16C-C775-4E2E-A547-ABAAC5C1DBE6}"/>
    <cellStyle name="40% - Accent3 2 3 8" xfId="17252" xr:uid="{00DB411C-E9A7-4290-A75A-FD639967F44D}"/>
    <cellStyle name="40% - Accent3 2 3 9" xfId="8804" xr:uid="{7EBC4C88-BD10-4DA4-98FF-FD51546240E9}"/>
    <cellStyle name="40% - Accent3 2 4" xfId="635" xr:uid="{00000000-0005-0000-0000-00003F050000}"/>
    <cellStyle name="40% - Accent3 2 4 2" xfId="2906" xr:uid="{00000000-0005-0000-0000-000040050000}"/>
    <cellStyle name="40% - Accent3 2 4 2 2" xfId="7128" xr:uid="{00000000-0005-0000-0000-000041050000}"/>
    <cellStyle name="40% - Accent3 2 4 2 2 2" xfId="24026" xr:uid="{09581428-3516-4B8D-886C-020AB716487C}"/>
    <cellStyle name="40% - Accent3 2 4 2 2 3" xfId="15578" xr:uid="{41787EC7-7F62-4796-A662-0D2CB2A70732}"/>
    <cellStyle name="40% - Accent3 2 4 2 3" xfId="19808" xr:uid="{1540379F-6E45-4651-8F27-419FF51D3D98}"/>
    <cellStyle name="40% - Accent3 2 4 2 4" xfId="11360" xr:uid="{78571408-40E4-41E4-8B7D-E50DD8DE3988}"/>
    <cellStyle name="40% - Accent3 2 4 3" xfId="4983" xr:uid="{00000000-0005-0000-0000-000042050000}"/>
    <cellStyle name="40% - Accent3 2 4 3 2" xfId="21881" xr:uid="{068324EC-9325-4338-83AC-1F33C763DFAD}"/>
    <cellStyle name="40% - Accent3 2 4 3 3" xfId="13433" xr:uid="{784B329F-C271-490F-931F-C9A0A3648EB7}"/>
    <cellStyle name="40% - Accent3 2 4 4" xfId="17663" xr:uid="{ECABEC68-F9D3-4708-AC9B-BF0F3B6878F7}"/>
    <cellStyle name="40% - Accent3 2 4 5" xfId="9215" xr:uid="{0317F2A3-92FA-4D6A-AD0E-FF59D83D0008}"/>
    <cellStyle name="40% - Accent3 2 5" xfId="1088" xr:uid="{00000000-0005-0000-0000-000043050000}"/>
    <cellStyle name="40% - Accent3 2 5 2" xfId="3319" xr:uid="{00000000-0005-0000-0000-000044050000}"/>
    <cellStyle name="40% - Accent3 2 5 2 2" xfId="7541" xr:uid="{00000000-0005-0000-0000-000045050000}"/>
    <cellStyle name="40% - Accent3 2 5 2 2 2" xfId="24439" xr:uid="{154F2E5A-5C74-4E2E-B7DA-6E25E96E8E60}"/>
    <cellStyle name="40% - Accent3 2 5 2 2 3" xfId="15991" xr:uid="{5E03CC69-DC7A-45E4-B92F-2F77A9266D3C}"/>
    <cellStyle name="40% - Accent3 2 5 2 3" xfId="20221" xr:uid="{0EE43FD5-C46D-4B52-9EDB-A14E11F705AD}"/>
    <cellStyle name="40% - Accent3 2 5 2 4" xfId="11773" xr:uid="{006D1EAE-48C9-4825-A71A-7C4F3DFC92CE}"/>
    <cellStyle name="40% - Accent3 2 5 3" xfId="5396" xr:uid="{00000000-0005-0000-0000-000046050000}"/>
    <cellStyle name="40% - Accent3 2 5 3 2" xfId="22294" xr:uid="{CCC0CD35-B0C9-41B9-9BAD-9737F7AF46EE}"/>
    <cellStyle name="40% - Accent3 2 5 3 3" xfId="13846" xr:uid="{36FE6E12-BE71-443A-875D-CEAEBE975576}"/>
    <cellStyle name="40% - Accent3 2 5 4" xfId="18076" xr:uid="{3F5B4954-9368-4F38-80B2-544F771C32C4}"/>
    <cellStyle name="40% - Accent3 2 5 5" xfId="9628" xr:uid="{033EEE39-E12E-43F1-8471-21D500945E50}"/>
    <cellStyle name="40% - Accent3 2 6" xfId="1502" xr:uid="{00000000-0005-0000-0000-000047050000}"/>
    <cellStyle name="40% - Accent3 2 6 2" xfId="3732" xr:uid="{00000000-0005-0000-0000-000048050000}"/>
    <cellStyle name="40% - Accent3 2 6 2 2" xfId="7954" xr:uid="{00000000-0005-0000-0000-000049050000}"/>
    <cellStyle name="40% - Accent3 2 6 2 2 2" xfId="24852" xr:uid="{1E535B13-64C3-4B6A-B575-33502332E865}"/>
    <cellStyle name="40% - Accent3 2 6 2 2 3" xfId="16404" xr:uid="{3FD83498-31A7-457F-A814-605F5DFFD8E2}"/>
    <cellStyle name="40% - Accent3 2 6 2 3" xfId="20634" xr:uid="{8301AFA3-540D-474D-9937-E743F8FE8F5C}"/>
    <cellStyle name="40% - Accent3 2 6 2 4" xfId="12186" xr:uid="{00FDD580-3395-4524-BBFE-2D19EEAD61B5}"/>
    <cellStyle name="40% - Accent3 2 6 3" xfId="5809" xr:uid="{00000000-0005-0000-0000-00004A050000}"/>
    <cellStyle name="40% - Accent3 2 6 3 2" xfId="22707" xr:uid="{CEF99498-CF3D-49AB-87CD-AD057DC6F360}"/>
    <cellStyle name="40% - Accent3 2 6 3 3" xfId="14259" xr:uid="{2FA371CE-6CD6-4F40-AAA4-399862141576}"/>
    <cellStyle name="40% - Accent3 2 6 4" xfId="18489" xr:uid="{051C1556-7CC9-4CD5-A272-9B83ADFF1A3A}"/>
    <cellStyle name="40% - Accent3 2 6 5" xfId="10041" xr:uid="{66F646EA-8B2C-41D6-B96F-9ABD36AB5263}"/>
    <cellStyle name="40% - Accent3 2 7" xfId="1916" xr:uid="{00000000-0005-0000-0000-00004B050000}"/>
    <cellStyle name="40% - Accent3 2 7 2" xfId="4145" xr:uid="{00000000-0005-0000-0000-00004C050000}"/>
    <cellStyle name="40% - Accent3 2 7 2 2" xfId="8367" xr:uid="{00000000-0005-0000-0000-00004D050000}"/>
    <cellStyle name="40% - Accent3 2 7 2 2 2" xfId="25265" xr:uid="{0CC18FF3-6FCF-4009-B9FA-262905C07696}"/>
    <cellStyle name="40% - Accent3 2 7 2 2 3" xfId="16817" xr:uid="{56FDB553-A24A-4308-A101-0B649FAE8A18}"/>
    <cellStyle name="40% - Accent3 2 7 2 3" xfId="21047" xr:uid="{CF5E7A62-86B0-45F7-B908-80974C32EA44}"/>
    <cellStyle name="40% - Accent3 2 7 2 4" xfId="12599" xr:uid="{AA11266D-7E46-4721-85AB-334EB953AF9B}"/>
    <cellStyle name="40% - Accent3 2 7 3" xfId="6222" xr:uid="{00000000-0005-0000-0000-00004E050000}"/>
    <cellStyle name="40% - Accent3 2 7 3 2" xfId="23120" xr:uid="{17EE8356-C88D-4C2F-B6A8-7657355A3EE1}"/>
    <cellStyle name="40% - Accent3 2 7 3 3" xfId="14672" xr:uid="{E18DFB9A-4569-45A5-8136-0B8A9A4F3BFB}"/>
    <cellStyle name="40% - Accent3 2 7 4" xfId="18902" xr:uid="{DDBD8FD9-7C53-4AA6-9325-B7BA6DDB90AD}"/>
    <cellStyle name="40% - Accent3 2 7 5" xfId="10454" xr:uid="{A626B48C-627D-409D-B0C6-9DF372104646}"/>
    <cellStyle name="40% - Accent3 2 8" xfId="2329" xr:uid="{00000000-0005-0000-0000-00004F050000}"/>
    <cellStyle name="40% - Accent3 2 8 2" xfId="6635" xr:uid="{00000000-0005-0000-0000-000050050000}"/>
    <cellStyle name="40% - Accent3 2 8 2 2" xfId="23533" xr:uid="{F3BFF5BF-EF31-4265-8D34-21730D60185A}"/>
    <cellStyle name="40% - Accent3 2 8 2 3" xfId="15085" xr:uid="{D4676CD5-24AB-4053-9935-F7540C447878}"/>
    <cellStyle name="40% - Accent3 2 8 3" xfId="19315" xr:uid="{301065D4-8172-4229-BC10-C769B17D0673}"/>
    <cellStyle name="40% - Accent3 2 8 4" xfId="10867" xr:uid="{D503EF54-71B2-4540-86DD-552CB4609989}"/>
    <cellStyle name="40% - Accent3 2 9" xfId="4569" xr:uid="{00000000-0005-0000-0000-000051050000}"/>
    <cellStyle name="40% - Accent3 2 9 2" xfId="21467" xr:uid="{6697A00C-0A35-429B-B062-D0334850DADC}"/>
    <cellStyle name="40% - Accent3 2 9 3" xfId="13019" xr:uid="{B602529F-9D6D-4DF2-8B0D-4713C22E4C78}"/>
    <cellStyle name="40% - Accent3 3" xfId="70" xr:uid="{00000000-0005-0000-0000-000052050000}"/>
    <cellStyle name="40% - Accent3 3 10" xfId="8805" xr:uid="{6D751D15-6493-422D-BE43-ADB958CAA2E1}"/>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24031" xr:uid="{63843E4A-991C-4978-A44F-3A6674116E5B}"/>
    <cellStyle name="40% - Accent3 3 2 2 2 2 3" xfId="15583" xr:uid="{CEC43CF6-CF7C-47F8-B630-91C02B163016}"/>
    <cellStyle name="40% - Accent3 3 2 2 2 3" xfId="19813" xr:uid="{EEB6F01E-AD4B-4821-B66C-800A182143DE}"/>
    <cellStyle name="40% - Accent3 3 2 2 2 4" xfId="11365" xr:uid="{685CAB81-026F-4C28-8E25-A5497E9FC00E}"/>
    <cellStyle name="40% - Accent3 3 2 2 3" xfId="4988" xr:uid="{00000000-0005-0000-0000-000057050000}"/>
    <cellStyle name="40% - Accent3 3 2 2 3 2" xfId="21886" xr:uid="{66E869B5-22DE-4050-BFFB-8CE0E9AAAA30}"/>
    <cellStyle name="40% - Accent3 3 2 2 3 3" xfId="13438" xr:uid="{974BFE0E-FED1-4603-878D-77CB8D3CA17F}"/>
    <cellStyle name="40% - Accent3 3 2 2 4" xfId="17668" xr:uid="{F1BA3C54-649F-4262-BF34-D497386F2056}"/>
    <cellStyle name="40% - Accent3 3 2 2 5" xfId="9220" xr:uid="{A93A269D-ED2D-4F59-99B1-E414F7F3081D}"/>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24444" xr:uid="{A4B6FAAE-79DB-4C31-BB87-257DEC400C3A}"/>
    <cellStyle name="40% - Accent3 3 2 3 2 2 3" xfId="15996" xr:uid="{FC26C7A0-54A6-4AF9-90E0-BCECA61594EB}"/>
    <cellStyle name="40% - Accent3 3 2 3 2 3" xfId="20226" xr:uid="{27170E35-5AAD-41BF-844E-B97747587EA9}"/>
    <cellStyle name="40% - Accent3 3 2 3 2 4" xfId="11778" xr:uid="{A73C2148-8F81-4D5D-AC68-887E4CC48669}"/>
    <cellStyle name="40% - Accent3 3 2 3 3" xfId="5401" xr:uid="{00000000-0005-0000-0000-00005B050000}"/>
    <cellStyle name="40% - Accent3 3 2 3 3 2" xfId="22299" xr:uid="{6FED2C20-EE29-40E9-9C47-5022E55A631A}"/>
    <cellStyle name="40% - Accent3 3 2 3 3 3" xfId="13851" xr:uid="{655174F4-F7F5-425C-9A8B-2DF5D636BD95}"/>
    <cellStyle name="40% - Accent3 3 2 3 4" xfId="18081" xr:uid="{3754A514-A575-4F06-B785-7EE59A1D2A5E}"/>
    <cellStyle name="40% - Accent3 3 2 3 5" xfId="9633" xr:uid="{F6CD32B3-811D-4E7F-A0DF-E5D4B186E0F8}"/>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24857" xr:uid="{C242CF1A-1CE5-443D-B11B-66A4A5DBB5BA}"/>
    <cellStyle name="40% - Accent3 3 2 4 2 2 3" xfId="16409" xr:uid="{1BD8B1E1-75FC-4039-835F-5D27F4A8C511}"/>
    <cellStyle name="40% - Accent3 3 2 4 2 3" xfId="20639" xr:uid="{0F57604B-E5EF-49C4-B3E5-A9F75B72CEBA}"/>
    <cellStyle name="40% - Accent3 3 2 4 2 4" xfId="12191" xr:uid="{0C847D82-1306-4EB0-874B-A76D73232CA9}"/>
    <cellStyle name="40% - Accent3 3 2 4 3" xfId="5814" xr:uid="{00000000-0005-0000-0000-00005F050000}"/>
    <cellStyle name="40% - Accent3 3 2 4 3 2" xfId="22712" xr:uid="{E31FA502-5EE1-4C41-917E-56135811F7ED}"/>
    <cellStyle name="40% - Accent3 3 2 4 3 3" xfId="14264" xr:uid="{0D3637C5-B761-413A-83AD-0B6E35DE41BE}"/>
    <cellStyle name="40% - Accent3 3 2 4 4" xfId="18494" xr:uid="{538B30E2-B475-4A18-B2D8-FD4FD8DFBCAF}"/>
    <cellStyle name="40% - Accent3 3 2 4 5" xfId="10046" xr:uid="{FDE1F582-3548-4630-A933-9C7951061C4B}"/>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25270" xr:uid="{70E206E1-A55C-46BD-93CD-523CE403CF0B}"/>
    <cellStyle name="40% - Accent3 3 2 5 2 2 3" xfId="16822" xr:uid="{EEBC6F9F-38E4-4A95-B72F-E2774E0FEAD6}"/>
    <cellStyle name="40% - Accent3 3 2 5 2 3" xfId="21052" xr:uid="{41314125-C989-47A9-919D-7EB6789CEE60}"/>
    <cellStyle name="40% - Accent3 3 2 5 2 4" xfId="12604" xr:uid="{410CC242-7AF0-4D71-9C48-0DF4EAB79BE6}"/>
    <cellStyle name="40% - Accent3 3 2 5 3" xfId="6227" xr:uid="{00000000-0005-0000-0000-000063050000}"/>
    <cellStyle name="40% - Accent3 3 2 5 3 2" xfId="23125" xr:uid="{5C45BBF7-0686-4BDD-AD7D-6C5B9C030F4D}"/>
    <cellStyle name="40% - Accent3 3 2 5 3 3" xfId="14677" xr:uid="{0BC44173-CE45-409C-A128-EFDD8FD0A440}"/>
    <cellStyle name="40% - Accent3 3 2 5 4" xfId="18907" xr:uid="{7CC7F960-C795-4653-8C2C-30AD7592268A}"/>
    <cellStyle name="40% - Accent3 3 2 5 5" xfId="10459" xr:uid="{120B272E-876E-4C50-A49E-C459B7B0D946}"/>
    <cellStyle name="40% - Accent3 3 2 6" xfId="2334" xr:uid="{00000000-0005-0000-0000-000064050000}"/>
    <cellStyle name="40% - Accent3 3 2 6 2" xfId="6640" xr:uid="{00000000-0005-0000-0000-000065050000}"/>
    <cellStyle name="40% - Accent3 3 2 6 2 2" xfId="23538" xr:uid="{EC29FF47-729F-44DA-A951-422AEE37CE99}"/>
    <cellStyle name="40% - Accent3 3 2 6 2 3" xfId="15090" xr:uid="{639B53A9-5151-4F16-97B1-BC7E6A8A96AC}"/>
    <cellStyle name="40% - Accent3 3 2 6 3" xfId="19320" xr:uid="{936B7799-6DA1-4537-B868-2AD320EB765F}"/>
    <cellStyle name="40% - Accent3 3 2 6 4" xfId="10872" xr:uid="{594E2A53-44B7-4A55-AF8E-1B7F4861237B}"/>
    <cellStyle name="40% - Accent3 3 2 7" xfId="4574" xr:uid="{00000000-0005-0000-0000-000066050000}"/>
    <cellStyle name="40% - Accent3 3 2 7 2" xfId="21472" xr:uid="{870E9A1D-0C97-4F97-99B6-548C5885A60F}"/>
    <cellStyle name="40% - Accent3 3 2 7 3" xfId="13024" xr:uid="{EF29047B-5338-4E34-8A16-3BC7329356C0}"/>
    <cellStyle name="40% - Accent3 3 2 8" xfId="17254" xr:uid="{B31D2BEA-E5DE-401F-B82D-6F75D4F03C67}"/>
    <cellStyle name="40% - Accent3 3 2 9" xfId="8806" xr:uid="{47564C54-5650-4E63-A763-D406C5F7F31D}"/>
    <cellStyle name="40% - Accent3 3 3" xfId="639" xr:uid="{00000000-0005-0000-0000-000067050000}"/>
    <cellStyle name="40% - Accent3 3 3 2" xfId="2910" xr:uid="{00000000-0005-0000-0000-000068050000}"/>
    <cellStyle name="40% - Accent3 3 3 2 2" xfId="7132" xr:uid="{00000000-0005-0000-0000-000069050000}"/>
    <cellStyle name="40% - Accent3 3 3 2 2 2" xfId="24030" xr:uid="{4394E402-8EFF-44B7-A9B8-B96FECB8F938}"/>
    <cellStyle name="40% - Accent3 3 3 2 2 3" xfId="15582" xr:uid="{13179A99-A246-442F-937A-FEC67985E091}"/>
    <cellStyle name="40% - Accent3 3 3 2 3" xfId="19812" xr:uid="{2D09DAFD-0965-4CCA-BE47-6BDD8F751D9A}"/>
    <cellStyle name="40% - Accent3 3 3 2 4" xfId="11364" xr:uid="{07D62070-5E10-46A7-8E85-ADA38079F33C}"/>
    <cellStyle name="40% - Accent3 3 3 3" xfId="4987" xr:uid="{00000000-0005-0000-0000-00006A050000}"/>
    <cellStyle name="40% - Accent3 3 3 3 2" xfId="21885" xr:uid="{CDB03FDE-78A0-435C-A8E6-D05105B6C020}"/>
    <cellStyle name="40% - Accent3 3 3 3 3" xfId="13437" xr:uid="{30BA5515-1EE1-4F98-A786-3955C637FC32}"/>
    <cellStyle name="40% - Accent3 3 3 4" xfId="17667" xr:uid="{308C3CC0-6FCC-48DA-A6EE-17C90F382E6E}"/>
    <cellStyle name="40% - Accent3 3 3 5" xfId="9219" xr:uid="{827C8ABC-AAFA-4946-A313-9D25BA353A9C}"/>
    <cellStyle name="40% - Accent3 3 4" xfId="1092" xr:uid="{00000000-0005-0000-0000-00006B050000}"/>
    <cellStyle name="40% - Accent3 3 4 2" xfId="3323" xr:uid="{00000000-0005-0000-0000-00006C050000}"/>
    <cellStyle name="40% - Accent3 3 4 2 2" xfId="7545" xr:uid="{00000000-0005-0000-0000-00006D050000}"/>
    <cellStyle name="40% - Accent3 3 4 2 2 2" xfId="24443" xr:uid="{D18C6089-2BF1-414D-B011-73D4019A7090}"/>
    <cellStyle name="40% - Accent3 3 4 2 2 3" xfId="15995" xr:uid="{961BCD8D-9BAB-4A07-821E-BCDF6CFFAEA4}"/>
    <cellStyle name="40% - Accent3 3 4 2 3" xfId="20225" xr:uid="{D9B1843B-4E2D-4B7B-A48D-7CCFC5E35735}"/>
    <cellStyle name="40% - Accent3 3 4 2 4" xfId="11777" xr:uid="{86D595A6-E7D8-4A5F-897B-702F494D1819}"/>
    <cellStyle name="40% - Accent3 3 4 3" xfId="5400" xr:uid="{00000000-0005-0000-0000-00006E050000}"/>
    <cellStyle name="40% - Accent3 3 4 3 2" xfId="22298" xr:uid="{DD0091A8-E62B-4A8C-9369-467919C5758E}"/>
    <cellStyle name="40% - Accent3 3 4 3 3" xfId="13850" xr:uid="{FFF1642E-1AA5-4E98-B46D-2BE79EB0818D}"/>
    <cellStyle name="40% - Accent3 3 4 4" xfId="18080" xr:uid="{9DA05344-94A6-4D74-AB31-D59748E39BC6}"/>
    <cellStyle name="40% - Accent3 3 4 5" xfId="9632" xr:uid="{867282BE-CD7D-4325-9A63-C98A97D708EF}"/>
    <cellStyle name="40% - Accent3 3 5" xfId="1506" xr:uid="{00000000-0005-0000-0000-00006F050000}"/>
    <cellStyle name="40% - Accent3 3 5 2" xfId="3736" xr:uid="{00000000-0005-0000-0000-000070050000}"/>
    <cellStyle name="40% - Accent3 3 5 2 2" xfId="7958" xr:uid="{00000000-0005-0000-0000-000071050000}"/>
    <cellStyle name="40% - Accent3 3 5 2 2 2" xfId="24856" xr:uid="{A5B5F867-3635-444F-8A13-3CA84909C3E4}"/>
    <cellStyle name="40% - Accent3 3 5 2 2 3" xfId="16408" xr:uid="{A0E42CC7-49A8-43C1-ABE3-E716070638C6}"/>
    <cellStyle name="40% - Accent3 3 5 2 3" xfId="20638" xr:uid="{9F4893D4-DE32-4B97-B7E2-7DF704358117}"/>
    <cellStyle name="40% - Accent3 3 5 2 4" xfId="12190" xr:uid="{0EEE0F16-C9B7-4BF9-8752-4C519B16EEE3}"/>
    <cellStyle name="40% - Accent3 3 5 3" xfId="5813" xr:uid="{00000000-0005-0000-0000-000072050000}"/>
    <cellStyle name="40% - Accent3 3 5 3 2" xfId="22711" xr:uid="{3BBFFF4B-2014-472D-B4C5-9944F7E42AF4}"/>
    <cellStyle name="40% - Accent3 3 5 3 3" xfId="14263" xr:uid="{3A4D1E8A-9538-445D-8CCE-E2FF51AA8E70}"/>
    <cellStyle name="40% - Accent3 3 5 4" xfId="18493" xr:uid="{7B338E8E-9E0E-4E81-99BC-DD7A29514E99}"/>
    <cellStyle name="40% - Accent3 3 5 5" xfId="10045" xr:uid="{43DDAEB4-2AF1-4AAD-9A82-FB03E39D919B}"/>
    <cellStyle name="40% - Accent3 3 6" xfId="1920" xr:uid="{00000000-0005-0000-0000-000073050000}"/>
    <cellStyle name="40% - Accent3 3 6 2" xfId="4149" xr:uid="{00000000-0005-0000-0000-000074050000}"/>
    <cellStyle name="40% - Accent3 3 6 2 2" xfId="8371" xr:uid="{00000000-0005-0000-0000-000075050000}"/>
    <cellStyle name="40% - Accent3 3 6 2 2 2" xfId="25269" xr:uid="{C874CD1F-C28C-45E5-A22C-AE2DC7C4413B}"/>
    <cellStyle name="40% - Accent3 3 6 2 2 3" xfId="16821" xr:uid="{C8428DA1-4302-4C75-A28D-FCBE3B98C604}"/>
    <cellStyle name="40% - Accent3 3 6 2 3" xfId="21051" xr:uid="{8D671C10-7D5F-4EB2-ACFA-6530EE0D0B64}"/>
    <cellStyle name="40% - Accent3 3 6 2 4" xfId="12603" xr:uid="{98224A3F-41EC-4E15-84D3-6894B171A61C}"/>
    <cellStyle name="40% - Accent3 3 6 3" xfId="6226" xr:uid="{00000000-0005-0000-0000-000076050000}"/>
    <cellStyle name="40% - Accent3 3 6 3 2" xfId="23124" xr:uid="{DBE9E5C7-084A-45AE-B1FE-23E5959D0932}"/>
    <cellStyle name="40% - Accent3 3 6 3 3" xfId="14676" xr:uid="{C32E6E78-DDCD-4D0F-AB2F-A98914EACC6D}"/>
    <cellStyle name="40% - Accent3 3 6 4" xfId="18906" xr:uid="{1CC81F21-859E-4B43-A713-7166307761C6}"/>
    <cellStyle name="40% - Accent3 3 6 5" xfId="10458" xr:uid="{5757B9B2-487A-4FCF-A919-53D7BCC911C7}"/>
    <cellStyle name="40% - Accent3 3 7" xfId="2333" xr:uid="{00000000-0005-0000-0000-000077050000}"/>
    <cellStyle name="40% - Accent3 3 7 2" xfId="6639" xr:uid="{00000000-0005-0000-0000-000078050000}"/>
    <cellStyle name="40% - Accent3 3 7 2 2" xfId="23537" xr:uid="{A0724030-38A5-4E15-B899-57E407FBBA9B}"/>
    <cellStyle name="40% - Accent3 3 7 2 3" xfId="15089" xr:uid="{A85BF914-83F7-4DA1-A2EC-53A47E10C092}"/>
    <cellStyle name="40% - Accent3 3 7 3" xfId="19319" xr:uid="{4100D524-251C-41C9-B7D5-4892919B3425}"/>
    <cellStyle name="40% - Accent3 3 7 4" xfId="10871" xr:uid="{812F73A2-F228-4FAA-9347-5ABDC24F6E37}"/>
    <cellStyle name="40% - Accent3 3 8" xfId="4573" xr:uid="{00000000-0005-0000-0000-000079050000}"/>
    <cellStyle name="40% - Accent3 3 8 2" xfId="21471" xr:uid="{E94C6019-B7B4-4ADB-A717-B9E5F7FBBB65}"/>
    <cellStyle name="40% - Accent3 3 8 3" xfId="13023" xr:uid="{CE984F8C-8D96-4110-B1B0-BFACFFFB0218}"/>
    <cellStyle name="40% - Accent3 3 9" xfId="17253" xr:uid="{74C3A64E-D71F-47E6-BC93-F629FB26B805}"/>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2 2 2" xfId="24032" xr:uid="{08C9E3B9-7292-4743-97BA-DB0E32824F33}"/>
    <cellStyle name="40% - Accent3 4 2 2 2 3" xfId="15584" xr:uid="{CDB6F9CF-73F4-477F-802C-7685C41E9635}"/>
    <cellStyle name="40% - Accent3 4 2 2 3" xfId="19814" xr:uid="{8FA9BBF4-61D8-4CC1-A6A2-F48E997A2C4F}"/>
    <cellStyle name="40% - Accent3 4 2 2 4" xfId="11366" xr:uid="{F0DC5B5B-02F8-4CB8-8F03-F849B4495F3A}"/>
    <cellStyle name="40% - Accent3 4 2 3" xfId="4989" xr:uid="{00000000-0005-0000-0000-00007E050000}"/>
    <cellStyle name="40% - Accent3 4 2 3 2" xfId="21887" xr:uid="{F397F767-154C-467C-BBC1-1C07F2F054D1}"/>
    <cellStyle name="40% - Accent3 4 2 3 3" xfId="13439" xr:uid="{531E4D78-D7FB-432A-9453-8466596C551D}"/>
    <cellStyle name="40% - Accent3 4 2 4" xfId="17669" xr:uid="{5143858A-034C-44C2-84A0-BCE0545543F9}"/>
    <cellStyle name="40% - Accent3 4 2 5" xfId="9221" xr:uid="{AA6DA1B8-2354-4266-A78D-792CAC16C410}"/>
    <cellStyle name="40% - Accent3 4 3" xfId="1094" xr:uid="{00000000-0005-0000-0000-00007F050000}"/>
    <cellStyle name="40% - Accent3 4 3 2" xfId="3325" xr:uid="{00000000-0005-0000-0000-000080050000}"/>
    <cellStyle name="40% - Accent3 4 3 2 2" xfId="7547" xr:uid="{00000000-0005-0000-0000-000081050000}"/>
    <cellStyle name="40% - Accent3 4 3 2 2 2" xfId="24445" xr:uid="{1E952470-C40E-4914-A162-729C1DB3A162}"/>
    <cellStyle name="40% - Accent3 4 3 2 2 3" xfId="15997" xr:uid="{6DEA588C-F3EF-40F8-9469-F809F13A371E}"/>
    <cellStyle name="40% - Accent3 4 3 2 3" xfId="20227" xr:uid="{0B8ED7C5-75F4-4C29-B354-97CE71A15A1D}"/>
    <cellStyle name="40% - Accent3 4 3 2 4" xfId="11779" xr:uid="{7D8884E0-FF97-412D-9384-F26CD52402FE}"/>
    <cellStyle name="40% - Accent3 4 3 3" xfId="5402" xr:uid="{00000000-0005-0000-0000-000082050000}"/>
    <cellStyle name="40% - Accent3 4 3 3 2" xfId="22300" xr:uid="{348A0337-BEA2-4F81-AD54-8162843C04FC}"/>
    <cellStyle name="40% - Accent3 4 3 3 3" xfId="13852" xr:uid="{890D65F3-C0E5-40DC-AA92-D26F571119FC}"/>
    <cellStyle name="40% - Accent3 4 3 4" xfId="18082" xr:uid="{50C9857F-DD68-4AA2-9CF9-B674BB047CD9}"/>
    <cellStyle name="40% - Accent3 4 3 5" xfId="9634" xr:uid="{59025E7B-7553-44A0-8D0E-B692F1DC63E1}"/>
    <cellStyle name="40% - Accent3 4 4" xfId="1508" xr:uid="{00000000-0005-0000-0000-000083050000}"/>
    <cellStyle name="40% - Accent3 4 4 2" xfId="3738" xr:uid="{00000000-0005-0000-0000-000084050000}"/>
    <cellStyle name="40% - Accent3 4 4 2 2" xfId="7960" xr:uid="{00000000-0005-0000-0000-000085050000}"/>
    <cellStyle name="40% - Accent3 4 4 2 2 2" xfId="24858" xr:uid="{F3FA5E1F-F3F2-485A-A999-3ECF063D806C}"/>
    <cellStyle name="40% - Accent3 4 4 2 2 3" xfId="16410" xr:uid="{861578DB-70D4-4408-A351-651C8F1FAE72}"/>
    <cellStyle name="40% - Accent3 4 4 2 3" xfId="20640" xr:uid="{34D988BD-C236-4325-BE16-A8482D4940EC}"/>
    <cellStyle name="40% - Accent3 4 4 2 4" xfId="12192" xr:uid="{611A9C4E-1234-4985-BC79-386225189C96}"/>
    <cellStyle name="40% - Accent3 4 4 3" xfId="5815" xr:uid="{00000000-0005-0000-0000-000086050000}"/>
    <cellStyle name="40% - Accent3 4 4 3 2" xfId="22713" xr:uid="{7CF052EC-9766-48A2-A964-698505A5F5AB}"/>
    <cellStyle name="40% - Accent3 4 4 3 3" xfId="14265" xr:uid="{7E9009AB-451D-4C22-A252-8B42D3AB556A}"/>
    <cellStyle name="40% - Accent3 4 4 4" xfId="18495" xr:uid="{F240EC7C-01F5-4B95-B7A7-BBE0E6E78B1B}"/>
    <cellStyle name="40% - Accent3 4 4 5" xfId="10047" xr:uid="{396FB8B0-52B5-46B3-8AF7-90FCCC1780A5}"/>
    <cellStyle name="40% - Accent3 4 5" xfId="1922" xr:uid="{00000000-0005-0000-0000-000087050000}"/>
    <cellStyle name="40% - Accent3 4 5 2" xfId="4151" xr:uid="{00000000-0005-0000-0000-000088050000}"/>
    <cellStyle name="40% - Accent3 4 5 2 2" xfId="8373" xr:uid="{00000000-0005-0000-0000-000089050000}"/>
    <cellStyle name="40% - Accent3 4 5 2 2 2" xfId="25271" xr:uid="{50521C8B-426E-4266-8DC0-CA986AEE90C3}"/>
    <cellStyle name="40% - Accent3 4 5 2 2 3" xfId="16823" xr:uid="{F2B9F489-41C7-4321-A9E1-394CC0A2E9E6}"/>
    <cellStyle name="40% - Accent3 4 5 2 3" xfId="21053" xr:uid="{76926BB6-E6F3-43F8-B170-EE4669B5B9B1}"/>
    <cellStyle name="40% - Accent3 4 5 2 4" xfId="12605" xr:uid="{B5565FA6-01F8-4A00-BDB5-2BAF3C3A3A2B}"/>
    <cellStyle name="40% - Accent3 4 5 3" xfId="6228" xr:uid="{00000000-0005-0000-0000-00008A050000}"/>
    <cellStyle name="40% - Accent3 4 5 3 2" xfId="23126" xr:uid="{F5CFF806-60B1-4CF2-8E1E-61D8E97A662D}"/>
    <cellStyle name="40% - Accent3 4 5 3 3" xfId="14678" xr:uid="{BDA154D2-E2AE-46C4-86B8-648F0582B2A8}"/>
    <cellStyle name="40% - Accent3 4 5 4" xfId="18908" xr:uid="{333A904C-61FF-4EFD-AC6D-99BA0D16B0ED}"/>
    <cellStyle name="40% - Accent3 4 5 5" xfId="10460" xr:uid="{DF36683D-412D-47E5-B94E-7C3BC99459ED}"/>
    <cellStyle name="40% - Accent3 4 6" xfId="2335" xr:uid="{00000000-0005-0000-0000-00008B050000}"/>
    <cellStyle name="40% - Accent3 4 6 2" xfId="6641" xr:uid="{00000000-0005-0000-0000-00008C050000}"/>
    <cellStyle name="40% - Accent3 4 6 2 2" xfId="23539" xr:uid="{420BA9E4-BE03-4D1F-AE44-48A61FDCFADB}"/>
    <cellStyle name="40% - Accent3 4 6 2 3" xfId="15091" xr:uid="{B5462A91-EAD3-4851-9412-39E75C4255DC}"/>
    <cellStyle name="40% - Accent3 4 6 3" xfId="19321" xr:uid="{0E499F44-8F33-4713-A119-9C9C21DA7AF0}"/>
    <cellStyle name="40% - Accent3 4 6 4" xfId="10873" xr:uid="{899BC694-C049-49AF-B197-B259C08FF96D}"/>
    <cellStyle name="40% - Accent3 4 7" xfId="4575" xr:uid="{00000000-0005-0000-0000-00008D050000}"/>
    <cellStyle name="40% - Accent3 4 7 2" xfId="21473" xr:uid="{59BB5603-BA42-4F82-BD24-5B14F175BA3C}"/>
    <cellStyle name="40% - Accent3 4 7 3" xfId="13025" xr:uid="{7A9CBECF-5848-43CF-8F16-FC145F8428D2}"/>
    <cellStyle name="40% - Accent3 4 8" xfId="17255" xr:uid="{39703AE3-854C-4359-A937-61534E83B894}"/>
    <cellStyle name="40% - Accent3 4 9" xfId="8807" xr:uid="{4174A7CD-D4A9-4064-9EE6-F14762183BF7}"/>
    <cellStyle name="40% - Accent3 5" xfId="634" xr:uid="{00000000-0005-0000-0000-00008E050000}"/>
    <cellStyle name="40% - Accent3 5 2" xfId="2905" xr:uid="{00000000-0005-0000-0000-00008F050000}"/>
    <cellStyle name="40% - Accent3 5 2 2" xfId="7127" xr:uid="{00000000-0005-0000-0000-000090050000}"/>
    <cellStyle name="40% - Accent3 5 2 2 2" xfId="24025" xr:uid="{35A40758-D093-40D3-AD6A-884152A7F8DE}"/>
    <cellStyle name="40% - Accent3 5 2 2 3" xfId="15577" xr:uid="{22E54236-CF28-4BD7-84D6-0FEEDC2C9AA1}"/>
    <cellStyle name="40% - Accent3 5 2 3" xfId="19807" xr:uid="{1A807DB6-F66E-4DA1-A7B6-C623EF563A55}"/>
    <cellStyle name="40% - Accent3 5 2 4" xfId="11359" xr:uid="{24E00220-633B-43DE-8E06-D19C89EF3F9E}"/>
    <cellStyle name="40% - Accent3 5 3" xfId="4982" xr:uid="{00000000-0005-0000-0000-000091050000}"/>
    <cellStyle name="40% - Accent3 5 3 2" xfId="21880" xr:uid="{F8379DCC-8685-43D3-9DD1-5BFD80DF7719}"/>
    <cellStyle name="40% - Accent3 5 3 3" xfId="13432" xr:uid="{11FE19F9-48B6-4479-B60B-635B2DF9E3F8}"/>
    <cellStyle name="40% - Accent3 5 4" xfId="17662" xr:uid="{C8D0E870-DE0C-467F-88DB-C68B88811B1A}"/>
    <cellStyle name="40% - Accent3 5 5" xfId="9214" xr:uid="{8B77CE97-0A23-4A14-B42F-B9B5FF848734}"/>
    <cellStyle name="40% - Accent3 6" xfId="1087" xr:uid="{00000000-0005-0000-0000-000092050000}"/>
    <cellStyle name="40% - Accent3 6 2" xfId="3318" xr:uid="{00000000-0005-0000-0000-000093050000}"/>
    <cellStyle name="40% - Accent3 6 2 2" xfId="7540" xr:uid="{00000000-0005-0000-0000-000094050000}"/>
    <cellStyle name="40% - Accent3 6 2 2 2" xfId="24438" xr:uid="{AE383187-69D3-48DC-BFCE-6A7B2B7F0CAB}"/>
    <cellStyle name="40% - Accent3 6 2 2 3" xfId="15990" xr:uid="{BFFBDCAE-E7F3-4036-9D9F-E3F8AAA3A89B}"/>
    <cellStyle name="40% - Accent3 6 2 3" xfId="20220" xr:uid="{2BCAD3D7-E760-48FC-A61E-7EC994F35372}"/>
    <cellStyle name="40% - Accent3 6 2 4" xfId="11772" xr:uid="{AFF75281-F97D-4832-B850-B39077CE5062}"/>
    <cellStyle name="40% - Accent3 6 3" xfId="5395" xr:uid="{00000000-0005-0000-0000-000095050000}"/>
    <cellStyle name="40% - Accent3 6 3 2" xfId="22293" xr:uid="{EF5B34B7-DF5B-433A-8763-5EC65FE5FB11}"/>
    <cellStyle name="40% - Accent3 6 3 3" xfId="13845" xr:uid="{8D912DFC-4266-4AC4-90E9-20ECFF666067}"/>
    <cellStyle name="40% - Accent3 6 4" xfId="18075" xr:uid="{EAC33B3A-13DA-4E2F-9167-253ED4881CB6}"/>
    <cellStyle name="40% - Accent3 6 5" xfId="9627" xr:uid="{59B81851-BC38-43E6-8C1A-AF9240CF20FD}"/>
    <cellStyle name="40% - Accent3 7" xfId="1501" xr:uid="{00000000-0005-0000-0000-000096050000}"/>
    <cellStyle name="40% - Accent3 7 2" xfId="3731" xr:uid="{00000000-0005-0000-0000-000097050000}"/>
    <cellStyle name="40% - Accent3 7 2 2" xfId="7953" xr:uid="{00000000-0005-0000-0000-000098050000}"/>
    <cellStyle name="40% - Accent3 7 2 2 2" xfId="24851" xr:uid="{134ECBED-79B1-4D05-BCE9-5112EDD5D692}"/>
    <cellStyle name="40% - Accent3 7 2 2 3" xfId="16403" xr:uid="{AA7402D1-98D2-4E49-8ADE-254DEB43CEBC}"/>
    <cellStyle name="40% - Accent3 7 2 3" xfId="20633" xr:uid="{BE252ACA-4966-4A7B-8ABA-28DF12BDA35D}"/>
    <cellStyle name="40% - Accent3 7 2 4" xfId="12185" xr:uid="{F03CCF67-B500-493D-9900-35D8FF83555D}"/>
    <cellStyle name="40% - Accent3 7 3" xfId="5808" xr:uid="{00000000-0005-0000-0000-000099050000}"/>
    <cellStyle name="40% - Accent3 7 3 2" xfId="22706" xr:uid="{E3A675EB-34E4-4884-A867-2A8B177BE4C8}"/>
    <cellStyle name="40% - Accent3 7 3 3" xfId="14258" xr:uid="{DB37221C-826F-469B-9F5C-6E7D18DA2252}"/>
    <cellStyle name="40% - Accent3 7 4" xfId="18488" xr:uid="{18A42CDE-7132-4970-8D7D-F0BBED1114F8}"/>
    <cellStyle name="40% - Accent3 7 5" xfId="10040" xr:uid="{9D3F6D92-8FD9-41F6-B4B3-4DD68FDC2DD2}"/>
    <cellStyle name="40% - Accent3 8" xfId="1915" xr:uid="{00000000-0005-0000-0000-00009A050000}"/>
    <cellStyle name="40% - Accent3 8 2" xfId="4144" xr:uid="{00000000-0005-0000-0000-00009B050000}"/>
    <cellStyle name="40% - Accent3 8 2 2" xfId="8366" xr:uid="{00000000-0005-0000-0000-00009C050000}"/>
    <cellStyle name="40% - Accent3 8 2 2 2" xfId="25264" xr:uid="{2EAEF96D-0C23-4F50-855F-18B370C8B4B0}"/>
    <cellStyle name="40% - Accent3 8 2 2 3" xfId="16816" xr:uid="{BD9DFC63-BD67-4A4A-8DF7-E41CEFF4946D}"/>
    <cellStyle name="40% - Accent3 8 2 3" xfId="21046" xr:uid="{4B1B9B07-A4F8-469B-87F4-F1E598E594B2}"/>
    <cellStyle name="40% - Accent3 8 2 4" xfId="12598" xr:uid="{088F54D9-0DDE-4B81-94E2-702958EE74DA}"/>
    <cellStyle name="40% - Accent3 8 3" xfId="6221" xr:uid="{00000000-0005-0000-0000-00009D050000}"/>
    <cellStyle name="40% - Accent3 8 3 2" xfId="23119" xr:uid="{BD1D13BA-27CA-4DF9-AD78-FDF55EE7C830}"/>
    <cellStyle name="40% - Accent3 8 3 3" xfId="14671" xr:uid="{4505CAA4-D185-4829-B887-D78ECC0F1766}"/>
    <cellStyle name="40% - Accent3 8 4" xfId="18901" xr:uid="{3F5AAD2C-C328-444E-A0CB-B9FE10B3744C}"/>
    <cellStyle name="40% - Accent3 8 5" xfId="10453" xr:uid="{D7C370CD-AA0C-41C1-8BE3-E9D13EF12C89}"/>
    <cellStyle name="40% - Accent3 9" xfId="2328" xr:uid="{00000000-0005-0000-0000-00009E050000}"/>
    <cellStyle name="40% - Accent3 9 2" xfId="6634" xr:uid="{00000000-0005-0000-0000-00009F050000}"/>
    <cellStyle name="40% - Accent3 9 2 2" xfId="23532" xr:uid="{AD1F5059-0A2E-4DA9-A3BB-989B28EEE486}"/>
    <cellStyle name="40% - Accent3 9 2 3" xfId="15084" xr:uid="{A702FE20-3AAE-4ACE-8C98-8BD0F99FFFF7}"/>
    <cellStyle name="40% - Accent3 9 3" xfId="19314" xr:uid="{36E50765-5F86-4AA9-8DA0-5D59DA3AFC2E}"/>
    <cellStyle name="40% - Accent3 9 4" xfId="10866" xr:uid="{F1246A55-98E7-4434-92B3-FBB6AF2F29A9}"/>
    <cellStyle name="40% - Accent4" xfId="73" builtinId="43" customBuiltin="1"/>
    <cellStyle name="40% - Accent4 10" xfId="4576" xr:uid="{00000000-0005-0000-0000-0000A1050000}"/>
    <cellStyle name="40% - Accent4 10 2" xfId="21474" xr:uid="{2F25F085-53FD-4D1F-9FD4-A9CE0BB8D588}"/>
    <cellStyle name="40% - Accent4 10 3" xfId="13026" xr:uid="{7291FA70-E2B8-4F9C-B3B1-FE9FF4A8CCA7}"/>
    <cellStyle name="40% - Accent4 11" xfId="17256" xr:uid="{5977F737-3CFC-4DDD-A633-6DE249537F07}"/>
    <cellStyle name="40% - Accent4 12" xfId="8808" xr:uid="{8E3F54D3-ACEA-4485-B227-54C61902F106}"/>
    <cellStyle name="40% - Accent4 2" xfId="74" xr:uid="{00000000-0005-0000-0000-0000A2050000}"/>
    <cellStyle name="40% - Accent4 2 10" xfId="17257" xr:uid="{B0C0BC46-D964-46BC-8D4E-F5EC28D0A846}"/>
    <cellStyle name="40% - Accent4 2 11" xfId="8809" xr:uid="{C4CA8F85-AF2C-4F7E-A88B-7A6C0B1A7BEB}"/>
    <cellStyle name="40% - Accent4 2 2" xfId="75" xr:uid="{00000000-0005-0000-0000-0000A3050000}"/>
    <cellStyle name="40% - Accent4 2 2 10" xfId="8810" xr:uid="{D6AC05EF-4D55-4D57-98AE-6769B92DC938}"/>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24036" xr:uid="{1398CB63-4202-4F7A-9784-A17558A593E5}"/>
    <cellStyle name="40% - Accent4 2 2 2 2 2 2 3" xfId="15588" xr:uid="{A7ECD003-CDA7-4E13-8F20-37E726A9BBDD}"/>
    <cellStyle name="40% - Accent4 2 2 2 2 2 3" xfId="19818" xr:uid="{F39CB80F-F34A-407F-8FE3-6E32A512AF25}"/>
    <cellStyle name="40% - Accent4 2 2 2 2 2 4" xfId="11370" xr:uid="{EB3302A2-84BC-43C4-BB8B-BFD2939DE078}"/>
    <cellStyle name="40% - Accent4 2 2 2 2 3" xfId="4993" xr:uid="{00000000-0005-0000-0000-0000A8050000}"/>
    <cellStyle name="40% - Accent4 2 2 2 2 3 2" xfId="21891" xr:uid="{BB83AD48-D69D-4497-B859-F844CDBC9522}"/>
    <cellStyle name="40% - Accent4 2 2 2 2 3 3" xfId="13443" xr:uid="{8F9BE528-89EC-4359-9812-7ED28D07600D}"/>
    <cellStyle name="40% - Accent4 2 2 2 2 4" xfId="17673" xr:uid="{25262A9C-B00E-4FAC-9CF1-BC2843961AEF}"/>
    <cellStyle name="40% - Accent4 2 2 2 2 5" xfId="9225" xr:uid="{7ADE1CD2-BBA2-4BC9-BA65-8A54AEBBC3BD}"/>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24449" xr:uid="{D4C16A88-E12D-47B7-BC7A-47FCDFC69537}"/>
    <cellStyle name="40% - Accent4 2 2 2 3 2 2 3" xfId="16001" xr:uid="{9DF41F76-4E51-4587-AEB2-58304CDDCCD3}"/>
    <cellStyle name="40% - Accent4 2 2 2 3 2 3" xfId="20231" xr:uid="{85717957-F7A5-47AC-8B92-DAD9A6AB6AC2}"/>
    <cellStyle name="40% - Accent4 2 2 2 3 2 4" xfId="11783" xr:uid="{8ABEC685-76B9-4232-AB29-EDF2B1948FDB}"/>
    <cellStyle name="40% - Accent4 2 2 2 3 3" xfId="5406" xr:uid="{00000000-0005-0000-0000-0000AC050000}"/>
    <cellStyle name="40% - Accent4 2 2 2 3 3 2" xfId="22304" xr:uid="{11AE9BC8-2260-4770-9514-1F1502193913}"/>
    <cellStyle name="40% - Accent4 2 2 2 3 3 3" xfId="13856" xr:uid="{3DC7EE09-D0B2-4945-A58B-0C0EF965A2BB}"/>
    <cellStyle name="40% - Accent4 2 2 2 3 4" xfId="18086" xr:uid="{9D5BA775-7492-45D2-AD6C-69644F0945CA}"/>
    <cellStyle name="40% - Accent4 2 2 2 3 5" xfId="9638" xr:uid="{5A64B5B0-1675-4EA9-AAB5-A8EDD701A07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24862" xr:uid="{7D7E4556-79E2-45CE-A1AF-B75AE2D548D2}"/>
    <cellStyle name="40% - Accent4 2 2 2 4 2 2 3" xfId="16414" xr:uid="{F63D758C-D79A-4E9A-8463-202722E4FCCA}"/>
    <cellStyle name="40% - Accent4 2 2 2 4 2 3" xfId="20644" xr:uid="{A64CC5B4-F8DF-4953-B2A2-F4E09CAA2125}"/>
    <cellStyle name="40% - Accent4 2 2 2 4 2 4" xfId="12196" xr:uid="{96AE5BEE-1DA0-4921-B24F-E3B468C2BA55}"/>
    <cellStyle name="40% - Accent4 2 2 2 4 3" xfId="5819" xr:uid="{00000000-0005-0000-0000-0000B0050000}"/>
    <cellStyle name="40% - Accent4 2 2 2 4 3 2" xfId="22717" xr:uid="{8C3E9793-E930-410A-9E9D-8197F6A35292}"/>
    <cellStyle name="40% - Accent4 2 2 2 4 3 3" xfId="14269" xr:uid="{BD2C8D6A-900F-47FD-82F9-9156B4120A21}"/>
    <cellStyle name="40% - Accent4 2 2 2 4 4" xfId="18499" xr:uid="{B2059066-5893-4A3C-B1F5-DA2FAABC0F25}"/>
    <cellStyle name="40% - Accent4 2 2 2 4 5" xfId="10051" xr:uid="{CDFAAC5B-F995-489F-A39D-9CC223F8E302}"/>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25275" xr:uid="{252517E7-6969-4002-BCC7-EB8F59C78729}"/>
    <cellStyle name="40% - Accent4 2 2 2 5 2 2 3" xfId="16827" xr:uid="{51B609AE-221E-40E8-9864-1ECB20C96303}"/>
    <cellStyle name="40% - Accent4 2 2 2 5 2 3" xfId="21057" xr:uid="{1C26F900-FF2F-434A-ACE4-98FF56008EF3}"/>
    <cellStyle name="40% - Accent4 2 2 2 5 2 4" xfId="12609" xr:uid="{5AE9ECE7-20A5-48EE-A5B3-2D9E71BE45CE}"/>
    <cellStyle name="40% - Accent4 2 2 2 5 3" xfId="6232" xr:uid="{00000000-0005-0000-0000-0000B4050000}"/>
    <cellStyle name="40% - Accent4 2 2 2 5 3 2" xfId="23130" xr:uid="{67C5BB02-1547-40D5-9806-356732B8B71E}"/>
    <cellStyle name="40% - Accent4 2 2 2 5 3 3" xfId="14682" xr:uid="{F1E7A016-9289-44C7-AE42-1D9F600C0CFB}"/>
    <cellStyle name="40% - Accent4 2 2 2 5 4" xfId="18912" xr:uid="{2495BF48-8185-4247-AF85-8B5EEEBF10BB}"/>
    <cellStyle name="40% - Accent4 2 2 2 5 5" xfId="10464" xr:uid="{F0A915F2-6181-487E-96CB-7E85A9B5F5BC}"/>
    <cellStyle name="40% - Accent4 2 2 2 6" xfId="2339" xr:uid="{00000000-0005-0000-0000-0000B5050000}"/>
    <cellStyle name="40% - Accent4 2 2 2 6 2" xfId="6645" xr:uid="{00000000-0005-0000-0000-0000B6050000}"/>
    <cellStyle name="40% - Accent4 2 2 2 6 2 2" xfId="23543" xr:uid="{5DF2C72E-2F15-4B64-A6FE-2A971D59D4F1}"/>
    <cellStyle name="40% - Accent4 2 2 2 6 2 3" xfId="15095" xr:uid="{846EE1D8-7BFA-4865-9E1B-DA3E7865B4C1}"/>
    <cellStyle name="40% - Accent4 2 2 2 6 3" xfId="19325" xr:uid="{62C8A89D-B459-4D38-9AEF-C9A1ACEFE9C0}"/>
    <cellStyle name="40% - Accent4 2 2 2 6 4" xfId="10877" xr:uid="{F54A328C-B3F1-4999-AE87-CC568E9572FF}"/>
    <cellStyle name="40% - Accent4 2 2 2 7" xfId="4579" xr:uid="{00000000-0005-0000-0000-0000B7050000}"/>
    <cellStyle name="40% - Accent4 2 2 2 7 2" xfId="21477" xr:uid="{062262EB-D647-4E13-AD96-A36D1ADC7B0D}"/>
    <cellStyle name="40% - Accent4 2 2 2 7 3" xfId="13029" xr:uid="{210CE106-FCE4-402A-97C1-C31D6EF1A8CF}"/>
    <cellStyle name="40% - Accent4 2 2 2 8" xfId="17259" xr:uid="{39B97C21-B126-41EB-88D5-D0BB8CD4F731}"/>
    <cellStyle name="40% - Accent4 2 2 2 9" xfId="8811" xr:uid="{12BCAEDD-A343-4023-9C8F-AC8480E7B53F}"/>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24035" xr:uid="{E4154883-1445-4B38-9784-63FA0B1B08D5}"/>
    <cellStyle name="40% - Accent4 2 2 3 2 2 3" xfId="15587" xr:uid="{D6F6203D-ADB5-428F-9312-527C363471FC}"/>
    <cellStyle name="40% - Accent4 2 2 3 2 3" xfId="19817" xr:uid="{12C82775-3D1A-4F6C-A01A-838799DF9E60}"/>
    <cellStyle name="40% - Accent4 2 2 3 2 4" xfId="11369" xr:uid="{8F71CF06-B0AC-42B6-884A-CB5D0D66BC20}"/>
    <cellStyle name="40% - Accent4 2 2 3 3" xfId="4992" xr:uid="{00000000-0005-0000-0000-0000BB050000}"/>
    <cellStyle name="40% - Accent4 2 2 3 3 2" xfId="21890" xr:uid="{9F211287-C6AD-4044-9CFB-3B8CF771C65F}"/>
    <cellStyle name="40% - Accent4 2 2 3 3 3" xfId="13442" xr:uid="{6C3D4E21-14C2-4512-A0BB-FC521AFA2D01}"/>
    <cellStyle name="40% - Accent4 2 2 3 4" xfId="17672" xr:uid="{A6E83133-5103-4EE4-8EDC-015A5337C701}"/>
    <cellStyle name="40% - Accent4 2 2 3 5" xfId="9224" xr:uid="{6ED52073-34D9-4F65-ACA4-833DDE719A6C}"/>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24448" xr:uid="{849E0FF9-67B4-453E-ADD6-A49BE21EE067}"/>
    <cellStyle name="40% - Accent4 2 2 4 2 2 3" xfId="16000" xr:uid="{6B640E61-FB1C-4DF3-B838-7307B390332F}"/>
    <cellStyle name="40% - Accent4 2 2 4 2 3" xfId="20230" xr:uid="{6F64782C-E6B3-41E4-992D-48EA05E765AB}"/>
    <cellStyle name="40% - Accent4 2 2 4 2 4" xfId="11782" xr:uid="{702DCFD5-5FAD-4956-AA4E-8F11281F13C5}"/>
    <cellStyle name="40% - Accent4 2 2 4 3" xfId="5405" xr:uid="{00000000-0005-0000-0000-0000BF050000}"/>
    <cellStyle name="40% - Accent4 2 2 4 3 2" xfId="22303" xr:uid="{158510B7-1F55-4937-A504-41B3D704E9E6}"/>
    <cellStyle name="40% - Accent4 2 2 4 3 3" xfId="13855" xr:uid="{05CB996D-C25A-4617-87D6-534F64AC78DE}"/>
    <cellStyle name="40% - Accent4 2 2 4 4" xfId="18085" xr:uid="{14F7620A-DF6E-40D0-B69A-F55E95C632FE}"/>
    <cellStyle name="40% - Accent4 2 2 4 5" xfId="9637" xr:uid="{A264100E-DA11-4FCF-9D83-083389F88C31}"/>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24861" xr:uid="{6063E137-7D38-4840-B0BA-0ED6E95F700E}"/>
    <cellStyle name="40% - Accent4 2 2 5 2 2 3" xfId="16413" xr:uid="{30DC8B74-629D-4E75-8051-9F0E4550A466}"/>
    <cellStyle name="40% - Accent4 2 2 5 2 3" xfId="20643" xr:uid="{B569480D-2C50-40DF-884D-BADAE716288F}"/>
    <cellStyle name="40% - Accent4 2 2 5 2 4" xfId="12195" xr:uid="{21EF2B83-C58C-41E1-9811-A373F03B6719}"/>
    <cellStyle name="40% - Accent4 2 2 5 3" xfId="5818" xr:uid="{00000000-0005-0000-0000-0000C3050000}"/>
    <cellStyle name="40% - Accent4 2 2 5 3 2" xfId="22716" xr:uid="{60DFE54A-5F79-4704-BDB2-649CD541187F}"/>
    <cellStyle name="40% - Accent4 2 2 5 3 3" xfId="14268" xr:uid="{D1FF3397-978F-4DD0-A007-4306E841BD49}"/>
    <cellStyle name="40% - Accent4 2 2 5 4" xfId="18498" xr:uid="{0973B71C-E59F-4454-8DF9-4C43DEEFB47C}"/>
    <cellStyle name="40% - Accent4 2 2 5 5" xfId="10050" xr:uid="{699E31FC-CD65-41F9-B4CC-70EAEC780272}"/>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25274" xr:uid="{DDC445BE-43C2-4297-97ED-E3196A2E66D5}"/>
    <cellStyle name="40% - Accent4 2 2 6 2 2 3" xfId="16826" xr:uid="{82BE14B3-9F49-4CA8-AA66-66599475D2C1}"/>
    <cellStyle name="40% - Accent4 2 2 6 2 3" xfId="21056" xr:uid="{6F743F1F-9955-4D1B-AB79-2D6BA1BF9E44}"/>
    <cellStyle name="40% - Accent4 2 2 6 2 4" xfId="12608" xr:uid="{8D10274C-8663-4D28-B4E0-C030F4DE5BF3}"/>
    <cellStyle name="40% - Accent4 2 2 6 3" xfId="6231" xr:uid="{00000000-0005-0000-0000-0000C7050000}"/>
    <cellStyle name="40% - Accent4 2 2 6 3 2" xfId="23129" xr:uid="{FDCA4F3F-832A-4A95-B9CF-4E44BCB82B8E}"/>
    <cellStyle name="40% - Accent4 2 2 6 3 3" xfId="14681" xr:uid="{2AE81A9A-8DCB-4898-B1E1-015A7863E2A4}"/>
    <cellStyle name="40% - Accent4 2 2 6 4" xfId="18911" xr:uid="{69FC05BF-EA99-4D65-AA1C-A8A192412D79}"/>
    <cellStyle name="40% - Accent4 2 2 6 5" xfId="10463" xr:uid="{E718413A-79B7-461B-A594-997EDCD62D73}"/>
    <cellStyle name="40% - Accent4 2 2 7" xfId="2338" xr:uid="{00000000-0005-0000-0000-0000C8050000}"/>
    <cellStyle name="40% - Accent4 2 2 7 2" xfId="6644" xr:uid="{00000000-0005-0000-0000-0000C9050000}"/>
    <cellStyle name="40% - Accent4 2 2 7 2 2" xfId="23542" xr:uid="{04A813D1-F4A0-48A9-9950-AFC52AE20B2B}"/>
    <cellStyle name="40% - Accent4 2 2 7 2 3" xfId="15094" xr:uid="{9BC2491F-0D1A-432B-9DAE-711BE82BC47D}"/>
    <cellStyle name="40% - Accent4 2 2 7 3" xfId="19324" xr:uid="{C6E48B47-56B6-41E1-8C35-8F9DCE855D43}"/>
    <cellStyle name="40% - Accent4 2 2 7 4" xfId="10876" xr:uid="{1D6435D2-F65B-4442-82A1-D57D455959E8}"/>
    <cellStyle name="40% - Accent4 2 2 8" xfId="4578" xr:uid="{00000000-0005-0000-0000-0000CA050000}"/>
    <cellStyle name="40% - Accent4 2 2 8 2" xfId="21476" xr:uid="{1A1319F4-8DF4-4723-B627-D97BCE359483}"/>
    <cellStyle name="40% - Accent4 2 2 8 3" xfId="13028" xr:uid="{CBB00A85-656E-4880-8BC8-6412AA18F625}"/>
    <cellStyle name="40% - Accent4 2 2 9" xfId="17258" xr:uid="{6DBF784B-BFCC-40DC-A0EE-F9383861C729}"/>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24037" xr:uid="{60AFD510-2577-492E-80A5-DFA0979B97EB}"/>
    <cellStyle name="40% - Accent4 2 3 2 2 2 3" xfId="15589" xr:uid="{5FE0F6CC-5C13-405A-A277-74AEA74DAFA0}"/>
    <cellStyle name="40% - Accent4 2 3 2 2 3" xfId="19819" xr:uid="{727EC03B-4A05-4412-A58F-9451FBFBE537}"/>
    <cellStyle name="40% - Accent4 2 3 2 2 4" xfId="11371" xr:uid="{85F5AA2D-6550-459E-A16C-F59F47059992}"/>
    <cellStyle name="40% - Accent4 2 3 2 3" xfId="4994" xr:uid="{00000000-0005-0000-0000-0000CF050000}"/>
    <cellStyle name="40% - Accent4 2 3 2 3 2" xfId="21892" xr:uid="{BFF16F3A-7E08-4678-821F-EB5C0722F7B8}"/>
    <cellStyle name="40% - Accent4 2 3 2 3 3" xfId="13444" xr:uid="{E117252F-4C9E-460E-8BC5-2DC5C2203ED4}"/>
    <cellStyle name="40% - Accent4 2 3 2 4" xfId="17674" xr:uid="{CBF45BFD-9B49-48E9-84CF-D1443336CDBA}"/>
    <cellStyle name="40% - Accent4 2 3 2 5" xfId="9226" xr:uid="{14A26E20-5F6C-49D7-A140-CBF2D1B37EF1}"/>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24450" xr:uid="{31D14AA8-63C4-4E4B-B3B5-025AC655BC61}"/>
    <cellStyle name="40% - Accent4 2 3 3 2 2 3" xfId="16002" xr:uid="{AEC86393-A1B9-43CC-BD4F-2854B103033D}"/>
    <cellStyle name="40% - Accent4 2 3 3 2 3" xfId="20232" xr:uid="{0DF17701-DD5D-42C5-BB27-C52222904D5E}"/>
    <cellStyle name="40% - Accent4 2 3 3 2 4" xfId="11784" xr:uid="{8441AEE3-C26D-4C2D-A322-552338EC2052}"/>
    <cellStyle name="40% - Accent4 2 3 3 3" xfId="5407" xr:uid="{00000000-0005-0000-0000-0000D3050000}"/>
    <cellStyle name="40% - Accent4 2 3 3 3 2" xfId="22305" xr:uid="{E91F64A4-6610-46DE-BA29-B9769870B121}"/>
    <cellStyle name="40% - Accent4 2 3 3 3 3" xfId="13857" xr:uid="{5946E46B-ADDF-409C-9A8B-18CF82F29148}"/>
    <cellStyle name="40% - Accent4 2 3 3 4" xfId="18087" xr:uid="{4FD487CE-0A21-422C-BD6F-DCEB943BFD68}"/>
    <cellStyle name="40% - Accent4 2 3 3 5" xfId="9639" xr:uid="{CA797690-6DDA-4A7D-8F41-6CEE81902D9C}"/>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24863" xr:uid="{94EBA434-4F71-47E2-9E54-18A50C7E95C7}"/>
    <cellStyle name="40% - Accent4 2 3 4 2 2 3" xfId="16415" xr:uid="{D3AD6930-E851-4A7A-B431-F7769C61145F}"/>
    <cellStyle name="40% - Accent4 2 3 4 2 3" xfId="20645" xr:uid="{634693A1-3324-4581-8DB1-AA8338E2D691}"/>
    <cellStyle name="40% - Accent4 2 3 4 2 4" xfId="12197" xr:uid="{899D2FE0-4AA5-4A8D-B857-A105C58D034E}"/>
    <cellStyle name="40% - Accent4 2 3 4 3" xfId="5820" xr:uid="{00000000-0005-0000-0000-0000D7050000}"/>
    <cellStyle name="40% - Accent4 2 3 4 3 2" xfId="22718" xr:uid="{2B20DFF5-807E-40F3-BE1C-6B2533AE81DE}"/>
    <cellStyle name="40% - Accent4 2 3 4 3 3" xfId="14270" xr:uid="{72699E30-2C03-4FDF-B1AF-68AE5FEA7265}"/>
    <cellStyle name="40% - Accent4 2 3 4 4" xfId="18500" xr:uid="{9EB455BE-6D35-43E0-81EB-52B199D1FC17}"/>
    <cellStyle name="40% - Accent4 2 3 4 5" xfId="10052" xr:uid="{78A0E6CC-C0A4-4DAC-ABA9-B1704A02C037}"/>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25276" xr:uid="{FD06D0D1-2902-4E46-9FE8-E9E59A6D68FA}"/>
    <cellStyle name="40% - Accent4 2 3 5 2 2 3" xfId="16828" xr:uid="{0DCA0CE0-D26A-4874-9F2B-FF81922B91E8}"/>
    <cellStyle name="40% - Accent4 2 3 5 2 3" xfId="21058" xr:uid="{472CDC26-5306-4884-ABC1-8F7A3874166A}"/>
    <cellStyle name="40% - Accent4 2 3 5 2 4" xfId="12610" xr:uid="{B9F078BC-5EF2-4644-8789-0ED40D0F51E6}"/>
    <cellStyle name="40% - Accent4 2 3 5 3" xfId="6233" xr:uid="{00000000-0005-0000-0000-0000DB050000}"/>
    <cellStyle name="40% - Accent4 2 3 5 3 2" xfId="23131" xr:uid="{6F46B2C4-5F36-4DE4-8FB2-C9201842D270}"/>
    <cellStyle name="40% - Accent4 2 3 5 3 3" xfId="14683" xr:uid="{B6DD466E-7C78-4118-8AB0-8951C186EE4D}"/>
    <cellStyle name="40% - Accent4 2 3 5 4" xfId="18913" xr:uid="{1E3A5433-8F13-4BC6-9B80-0A934901ADEC}"/>
    <cellStyle name="40% - Accent4 2 3 5 5" xfId="10465" xr:uid="{EFF4AE0F-6F46-47DA-B890-50839DBE5DB0}"/>
    <cellStyle name="40% - Accent4 2 3 6" xfId="2340" xr:uid="{00000000-0005-0000-0000-0000DC050000}"/>
    <cellStyle name="40% - Accent4 2 3 6 2" xfId="6646" xr:uid="{00000000-0005-0000-0000-0000DD050000}"/>
    <cellStyle name="40% - Accent4 2 3 6 2 2" xfId="23544" xr:uid="{49441AD3-3182-4543-BC1F-5CBFB72C0550}"/>
    <cellStyle name="40% - Accent4 2 3 6 2 3" xfId="15096" xr:uid="{6929A9FB-6121-47F8-9560-66DB1F70CACF}"/>
    <cellStyle name="40% - Accent4 2 3 6 3" xfId="19326" xr:uid="{00D11CAC-9E34-44B1-B1F2-F999FDD03E27}"/>
    <cellStyle name="40% - Accent4 2 3 6 4" xfId="10878" xr:uid="{AF28145F-A9FF-4993-AD81-03B1B8959B34}"/>
    <cellStyle name="40% - Accent4 2 3 7" xfId="4580" xr:uid="{00000000-0005-0000-0000-0000DE050000}"/>
    <cellStyle name="40% - Accent4 2 3 7 2" xfId="21478" xr:uid="{338A381A-2C4C-4C11-A585-45DE84D04C01}"/>
    <cellStyle name="40% - Accent4 2 3 7 3" xfId="13030" xr:uid="{CA8F4ECD-B82F-4FCE-B125-0AAE455F4760}"/>
    <cellStyle name="40% - Accent4 2 3 8" xfId="17260" xr:uid="{9917D396-872A-4BCE-9B32-6CEC7DB6BA46}"/>
    <cellStyle name="40% - Accent4 2 3 9" xfId="8812" xr:uid="{00E1DCEF-60CE-49CE-B0DB-1E618651C1BD}"/>
    <cellStyle name="40% - Accent4 2 4" xfId="643" xr:uid="{00000000-0005-0000-0000-0000DF050000}"/>
    <cellStyle name="40% - Accent4 2 4 2" xfId="2914" xr:uid="{00000000-0005-0000-0000-0000E0050000}"/>
    <cellStyle name="40% - Accent4 2 4 2 2" xfId="7136" xr:uid="{00000000-0005-0000-0000-0000E1050000}"/>
    <cellStyle name="40% - Accent4 2 4 2 2 2" xfId="24034" xr:uid="{C4D78DBD-FE6B-4361-AD6E-6BCEC712F17F}"/>
    <cellStyle name="40% - Accent4 2 4 2 2 3" xfId="15586" xr:uid="{67A24ECF-F918-4D61-BDF5-C6FD09E8D760}"/>
    <cellStyle name="40% - Accent4 2 4 2 3" xfId="19816" xr:uid="{CC3E267A-C736-44E3-AA47-7C1E85839858}"/>
    <cellStyle name="40% - Accent4 2 4 2 4" xfId="11368" xr:uid="{52C90E51-8DFC-4797-B94B-CC5C622DDC33}"/>
    <cellStyle name="40% - Accent4 2 4 3" xfId="4991" xr:uid="{00000000-0005-0000-0000-0000E2050000}"/>
    <cellStyle name="40% - Accent4 2 4 3 2" xfId="21889" xr:uid="{031F58E4-5B99-4868-ABC7-F426AB812FD4}"/>
    <cellStyle name="40% - Accent4 2 4 3 3" xfId="13441" xr:uid="{9FCB00F5-EA2D-4065-A13C-9383EC76BF03}"/>
    <cellStyle name="40% - Accent4 2 4 4" xfId="17671" xr:uid="{163BF6B2-DD7B-41BF-A126-7E2BA2B2D393}"/>
    <cellStyle name="40% - Accent4 2 4 5" xfId="9223" xr:uid="{AC980F6B-865C-4F5F-B872-D2494CDC2259}"/>
    <cellStyle name="40% - Accent4 2 5" xfId="1096" xr:uid="{00000000-0005-0000-0000-0000E3050000}"/>
    <cellStyle name="40% - Accent4 2 5 2" xfId="3327" xr:uid="{00000000-0005-0000-0000-0000E4050000}"/>
    <cellStyle name="40% - Accent4 2 5 2 2" xfId="7549" xr:uid="{00000000-0005-0000-0000-0000E5050000}"/>
    <cellStyle name="40% - Accent4 2 5 2 2 2" xfId="24447" xr:uid="{1E3A41E7-CA0D-4D79-81BA-8DECB1F0D47F}"/>
    <cellStyle name="40% - Accent4 2 5 2 2 3" xfId="15999" xr:uid="{16C312FC-B231-4184-A9CD-3D1391221083}"/>
    <cellStyle name="40% - Accent4 2 5 2 3" xfId="20229" xr:uid="{D80C3FA5-96EE-46FE-9EC4-D0853CAA1EF4}"/>
    <cellStyle name="40% - Accent4 2 5 2 4" xfId="11781" xr:uid="{A0492838-3C6E-4B14-B219-681B6DB794E0}"/>
    <cellStyle name="40% - Accent4 2 5 3" xfId="5404" xr:uid="{00000000-0005-0000-0000-0000E6050000}"/>
    <cellStyle name="40% - Accent4 2 5 3 2" xfId="22302" xr:uid="{736AEF1E-C86F-4BE5-83DE-4033663FAD45}"/>
    <cellStyle name="40% - Accent4 2 5 3 3" xfId="13854" xr:uid="{6734BAE2-8685-4AB1-B3E2-F5DAA2300B18}"/>
    <cellStyle name="40% - Accent4 2 5 4" xfId="18084" xr:uid="{532206F6-E7A7-4B56-BB51-E7FD6AA8F2B5}"/>
    <cellStyle name="40% - Accent4 2 5 5" xfId="9636" xr:uid="{4B742208-E431-416E-AABC-FDD809DBE373}"/>
    <cellStyle name="40% - Accent4 2 6" xfId="1510" xr:uid="{00000000-0005-0000-0000-0000E7050000}"/>
    <cellStyle name="40% - Accent4 2 6 2" xfId="3740" xr:uid="{00000000-0005-0000-0000-0000E8050000}"/>
    <cellStyle name="40% - Accent4 2 6 2 2" xfId="7962" xr:uid="{00000000-0005-0000-0000-0000E9050000}"/>
    <cellStyle name="40% - Accent4 2 6 2 2 2" xfId="24860" xr:uid="{CEBA9ED0-5F53-4E26-ADE5-CD22E865C0F8}"/>
    <cellStyle name="40% - Accent4 2 6 2 2 3" xfId="16412" xr:uid="{F6B0A0E8-AE5F-4E93-85C6-8727FEC34AEC}"/>
    <cellStyle name="40% - Accent4 2 6 2 3" xfId="20642" xr:uid="{E403D74B-F74E-455F-AF91-2E7980829114}"/>
    <cellStyle name="40% - Accent4 2 6 2 4" xfId="12194" xr:uid="{4D0AC04D-9C33-4111-BFB1-7FA57BC1DF88}"/>
    <cellStyle name="40% - Accent4 2 6 3" xfId="5817" xr:uid="{00000000-0005-0000-0000-0000EA050000}"/>
    <cellStyle name="40% - Accent4 2 6 3 2" xfId="22715" xr:uid="{022ADCE5-40E3-4DDA-A21B-24913F529625}"/>
    <cellStyle name="40% - Accent4 2 6 3 3" xfId="14267" xr:uid="{4F80CE38-8A98-40BB-854F-E13B6B9A7797}"/>
    <cellStyle name="40% - Accent4 2 6 4" xfId="18497" xr:uid="{39CBE282-2896-4691-8681-00364FD29BD1}"/>
    <cellStyle name="40% - Accent4 2 6 5" xfId="10049" xr:uid="{B2B189D6-DE18-43C6-B94A-BF8E4AB67964}"/>
    <cellStyle name="40% - Accent4 2 7" xfId="1924" xr:uid="{00000000-0005-0000-0000-0000EB050000}"/>
    <cellStyle name="40% - Accent4 2 7 2" xfId="4153" xr:uid="{00000000-0005-0000-0000-0000EC050000}"/>
    <cellStyle name="40% - Accent4 2 7 2 2" xfId="8375" xr:uid="{00000000-0005-0000-0000-0000ED050000}"/>
    <cellStyle name="40% - Accent4 2 7 2 2 2" xfId="25273" xr:uid="{8ACCB56D-B5BD-4CAC-A9F9-4E5698456B56}"/>
    <cellStyle name="40% - Accent4 2 7 2 2 3" xfId="16825" xr:uid="{2A590D9A-F820-44F2-91E6-C09564E57CB1}"/>
    <cellStyle name="40% - Accent4 2 7 2 3" xfId="21055" xr:uid="{66B77200-7F12-4033-A73E-609E02F0CA6E}"/>
    <cellStyle name="40% - Accent4 2 7 2 4" xfId="12607" xr:uid="{982BF293-D202-458D-ADBC-4E56641FF104}"/>
    <cellStyle name="40% - Accent4 2 7 3" xfId="6230" xr:uid="{00000000-0005-0000-0000-0000EE050000}"/>
    <cellStyle name="40% - Accent4 2 7 3 2" xfId="23128" xr:uid="{C6184B65-6783-487A-97D6-70757C0439F9}"/>
    <cellStyle name="40% - Accent4 2 7 3 3" xfId="14680" xr:uid="{F49C85E0-17C7-46B0-BA02-0DF16C2A5943}"/>
    <cellStyle name="40% - Accent4 2 7 4" xfId="18910" xr:uid="{832E8D8A-F7D6-48AD-A310-7AC68D596637}"/>
    <cellStyle name="40% - Accent4 2 7 5" xfId="10462" xr:uid="{A681EEAF-1778-408D-8345-5107A36B5098}"/>
    <cellStyle name="40% - Accent4 2 8" xfId="2337" xr:uid="{00000000-0005-0000-0000-0000EF050000}"/>
    <cellStyle name="40% - Accent4 2 8 2" xfId="6643" xr:uid="{00000000-0005-0000-0000-0000F0050000}"/>
    <cellStyle name="40% - Accent4 2 8 2 2" xfId="23541" xr:uid="{628D9F6B-16CA-423C-9567-7D4D1EDD9D46}"/>
    <cellStyle name="40% - Accent4 2 8 2 3" xfId="15093" xr:uid="{3355E00F-9A4C-46D0-A44D-94F74653D5F7}"/>
    <cellStyle name="40% - Accent4 2 8 3" xfId="19323" xr:uid="{CAA112C2-E323-4337-875A-5713C184B594}"/>
    <cellStyle name="40% - Accent4 2 8 4" xfId="10875" xr:uid="{5B0C61F5-0548-415E-AFF6-C7CE083625B2}"/>
    <cellStyle name="40% - Accent4 2 9" xfId="4577" xr:uid="{00000000-0005-0000-0000-0000F1050000}"/>
    <cellStyle name="40% - Accent4 2 9 2" xfId="21475" xr:uid="{A2F64EA2-56C2-413C-8E5D-C96345836DC6}"/>
    <cellStyle name="40% - Accent4 2 9 3" xfId="13027" xr:uid="{E972F7E8-8C14-4992-A862-BC25BD42DFDC}"/>
    <cellStyle name="40% - Accent4 3" xfId="78" xr:uid="{00000000-0005-0000-0000-0000F2050000}"/>
    <cellStyle name="40% - Accent4 3 10" xfId="8813" xr:uid="{65018D1E-C521-4291-99B6-FF20EDE4CCC1}"/>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24039" xr:uid="{2F311C1D-7F8D-4C96-8733-1D17F2100330}"/>
    <cellStyle name="40% - Accent4 3 2 2 2 2 3" xfId="15591" xr:uid="{727A44B6-4212-4D0F-9109-B72D45EF45CB}"/>
    <cellStyle name="40% - Accent4 3 2 2 2 3" xfId="19821" xr:uid="{5F611BCB-AFBF-45B6-B03D-998232779FAC}"/>
    <cellStyle name="40% - Accent4 3 2 2 2 4" xfId="11373" xr:uid="{9FD389B6-5AC3-4B77-A5C0-46E590D90EB5}"/>
    <cellStyle name="40% - Accent4 3 2 2 3" xfId="4996" xr:uid="{00000000-0005-0000-0000-0000F7050000}"/>
    <cellStyle name="40% - Accent4 3 2 2 3 2" xfId="21894" xr:uid="{08FBF7DA-A594-4052-B4CE-E01C166F3389}"/>
    <cellStyle name="40% - Accent4 3 2 2 3 3" xfId="13446" xr:uid="{EBF2D503-84B9-4975-BF7D-4485010FCFC1}"/>
    <cellStyle name="40% - Accent4 3 2 2 4" xfId="17676" xr:uid="{7DDCA0A8-C8B1-4821-B311-EEDD8DDC427D}"/>
    <cellStyle name="40% - Accent4 3 2 2 5" xfId="9228" xr:uid="{5D8B4A4B-B1E0-41FA-86FB-40D4D97E7B67}"/>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24452" xr:uid="{4AA093D0-6A3E-4BB7-8CC9-0CDFC7AB6F16}"/>
    <cellStyle name="40% - Accent4 3 2 3 2 2 3" xfId="16004" xr:uid="{73D60491-5EA5-4211-83D7-FCAD9754A85A}"/>
    <cellStyle name="40% - Accent4 3 2 3 2 3" xfId="20234" xr:uid="{F8F99F1E-0F68-40B2-8003-B4F2CFE99AE4}"/>
    <cellStyle name="40% - Accent4 3 2 3 2 4" xfId="11786" xr:uid="{52541DB6-6593-47D2-B760-29C5F4D603D9}"/>
    <cellStyle name="40% - Accent4 3 2 3 3" xfId="5409" xr:uid="{00000000-0005-0000-0000-0000FB050000}"/>
    <cellStyle name="40% - Accent4 3 2 3 3 2" xfId="22307" xr:uid="{DAC388A2-184B-4E37-89B8-81F50748B847}"/>
    <cellStyle name="40% - Accent4 3 2 3 3 3" xfId="13859" xr:uid="{C1718EF7-80EA-4A2D-8838-4FA998B26638}"/>
    <cellStyle name="40% - Accent4 3 2 3 4" xfId="18089" xr:uid="{9070619A-2D59-477A-9159-977224F556AE}"/>
    <cellStyle name="40% - Accent4 3 2 3 5" xfId="9641" xr:uid="{7066948F-8FD6-4006-8F6A-8887067BEB6F}"/>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24865" xr:uid="{B43913DA-8D5B-4797-A4B0-0A95E8D136E5}"/>
    <cellStyle name="40% - Accent4 3 2 4 2 2 3" xfId="16417" xr:uid="{491A0649-09AE-4389-8358-DC1C8016399A}"/>
    <cellStyle name="40% - Accent4 3 2 4 2 3" xfId="20647" xr:uid="{2BF504CE-F9DE-4064-AD12-0C6A1E46B814}"/>
    <cellStyle name="40% - Accent4 3 2 4 2 4" xfId="12199" xr:uid="{95D1C8EA-986F-4A29-8AD5-DE071642AD4A}"/>
    <cellStyle name="40% - Accent4 3 2 4 3" xfId="5822" xr:uid="{00000000-0005-0000-0000-0000FF050000}"/>
    <cellStyle name="40% - Accent4 3 2 4 3 2" xfId="22720" xr:uid="{85CB692E-9699-48E1-BA44-A6B57366261C}"/>
    <cellStyle name="40% - Accent4 3 2 4 3 3" xfId="14272" xr:uid="{2B69DA67-0BF0-41CE-92A1-258686987EC1}"/>
    <cellStyle name="40% - Accent4 3 2 4 4" xfId="18502" xr:uid="{8DF7AEC8-53D4-40E4-B879-ADC63B8EA4C8}"/>
    <cellStyle name="40% - Accent4 3 2 4 5" xfId="10054" xr:uid="{557C4E36-BB08-460A-8A2A-2BA0860F444F}"/>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25278" xr:uid="{0C172AC1-D10C-403C-AA2A-BF01DE5C8DFE}"/>
    <cellStyle name="40% - Accent4 3 2 5 2 2 3" xfId="16830" xr:uid="{54BA6E0E-A6EC-4910-BA64-2C7DE265EA01}"/>
    <cellStyle name="40% - Accent4 3 2 5 2 3" xfId="21060" xr:uid="{8032FD8C-6BC4-498F-8E5D-489B4DC9F49A}"/>
    <cellStyle name="40% - Accent4 3 2 5 2 4" xfId="12612" xr:uid="{2BC15176-F620-4FD8-BA27-B489463D0CAD}"/>
    <cellStyle name="40% - Accent4 3 2 5 3" xfId="6235" xr:uid="{00000000-0005-0000-0000-000003060000}"/>
    <cellStyle name="40% - Accent4 3 2 5 3 2" xfId="23133" xr:uid="{F9FAD3E6-076C-4D1F-A450-AE93BE07341B}"/>
    <cellStyle name="40% - Accent4 3 2 5 3 3" xfId="14685" xr:uid="{C1FFB148-0590-4982-9125-9D8E6506482C}"/>
    <cellStyle name="40% - Accent4 3 2 5 4" xfId="18915" xr:uid="{47872419-8FA2-4C9D-BDCD-A2D889E521D2}"/>
    <cellStyle name="40% - Accent4 3 2 5 5" xfId="10467" xr:uid="{B7767EB2-02C2-4211-81CA-1D054F98D7E5}"/>
    <cellStyle name="40% - Accent4 3 2 6" xfId="2342" xr:uid="{00000000-0005-0000-0000-000004060000}"/>
    <cellStyle name="40% - Accent4 3 2 6 2" xfId="6648" xr:uid="{00000000-0005-0000-0000-000005060000}"/>
    <cellStyle name="40% - Accent4 3 2 6 2 2" xfId="23546" xr:uid="{3F143258-41EB-4B48-B83D-AFED6DDEB149}"/>
    <cellStyle name="40% - Accent4 3 2 6 2 3" xfId="15098" xr:uid="{898EFE8D-C549-4008-B994-C138F320F25A}"/>
    <cellStyle name="40% - Accent4 3 2 6 3" xfId="19328" xr:uid="{63E4F881-9331-40C8-89A4-5A00848F10AF}"/>
    <cellStyle name="40% - Accent4 3 2 6 4" xfId="10880" xr:uid="{D3E768A7-B435-4032-94B2-9768ACFFEA42}"/>
    <cellStyle name="40% - Accent4 3 2 7" xfId="4582" xr:uid="{00000000-0005-0000-0000-000006060000}"/>
    <cellStyle name="40% - Accent4 3 2 7 2" xfId="21480" xr:uid="{31629272-3C2F-43E4-8F11-9B160B9034FA}"/>
    <cellStyle name="40% - Accent4 3 2 7 3" xfId="13032" xr:uid="{819C1EF7-B7D0-485A-A4A0-B8D7B9606DCE}"/>
    <cellStyle name="40% - Accent4 3 2 8" xfId="17262" xr:uid="{CA00C2FB-A5CC-44A3-B138-8E5F6D5F8486}"/>
    <cellStyle name="40% - Accent4 3 2 9" xfId="8814" xr:uid="{55900846-4BB9-45F7-83EB-0DC7F7FD0E52}"/>
    <cellStyle name="40% - Accent4 3 3" xfId="647" xr:uid="{00000000-0005-0000-0000-000007060000}"/>
    <cellStyle name="40% - Accent4 3 3 2" xfId="2918" xr:uid="{00000000-0005-0000-0000-000008060000}"/>
    <cellStyle name="40% - Accent4 3 3 2 2" xfId="7140" xr:uid="{00000000-0005-0000-0000-000009060000}"/>
    <cellStyle name="40% - Accent4 3 3 2 2 2" xfId="24038" xr:uid="{F2AD8976-A99C-4835-B633-C1729FF28B43}"/>
    <cellStyle name="40% - Accent4 3 3 2 2 3" xfId="15590" xr:uid="{02E96B2D-1E36-42B8-BD50-B7386A5867B8}"/>
    <cellStyle name="40% - Accent4 3 3 2 3" xfId="19820" xr:uid="{62C19DEE-FDD0-4777-BA0E-F2AE474C26E6}"/>
    <cellStyle name="40% - Accent4 3 3 2 4" xfId="11372" xr:uid="{FA5AA762-688F-4A3C-B176-1B515A8B276C}"/>
    <cellStyle name="40% - Accent4 3 3 3" xfId="4995" xr:uid="{00000000-0005-0000-0000-00000A060000}"/>
    <cellStyle name="40% - Accent4 3 3 3 2" xfId="21893" xr:uid="{302B150B-7F0F-424E-833B-B456A6E0696D}"/>
    <cellStyle name="40% - Accent4 3 3 3 3" xfId="13445" xr:uid="{C27B8D44-576F-4A43-8DFA-DB3558278614}"/>
    <cellStyle name="40% - Accent4 3 3 4" xfId="17675" xr:uid="{16D14974-D06C-4496-ABA3-E4C4F8474E1D}"/>
    <cellStyle name="40% - Accent4 3 3 5" xfId="9227" xr:uid="{1D5C3092-ECEA-4800-9E8B-D22B70A06A56}"/>
    <cellStyle name="40% - Accent4 3 4" xfId="1100" xr:uid="{00000000-0005-0000-0000-00000B060000}"/>
    <cellStyle name="40% - Accent4 3 4 2" xfId="3331" xr:uid="{00000000-0005-0000-0000-00000C060000}"/>
    <cellStyle name="40% - Accent4 3 4 2 2" xfId="7553" xr:uid="{00000000-0005-0000-0000-00000D060000}"/>
    <cellStyle name="40% - Accent4 3 4 2 2 2" xfId="24451" xr:uid="{B09F65F1-6C27-443A-945F-2EB75FC1C777}"/>
    <cellStyle name="40% - Accent4 3 4 2 2 3" xfId="16003" xr:uid="{E28C4805-092C-4D90-B51B-6D2EF0322785}"/>
    <cellStyle name="40% - Accent4 3 4 2 3" xfId="20233" xr:uid="{EFFEAD92-35DA-4E65-A24B-0B69873DDD38}"/>
    <cellStyle name="40% - Accent4 3 4 2 4" xfId="11785" xr:uid="{88093EA7-742A-4B43-BFD0-C98336F0E0E3}"/>
    <cellStyle name="40% - Accent4 3 4 3" xfId="5408" xr:uid="{00000000-0005-0000-0000-00000E060000}"/>
    <cellStyle name="40% - Accent4 3 4 3 2" xfId="22306" xr:uid="{506811A6-CB89-42D8-83BF-E1008A10DD57}"/>
    <cellStyle name="40% - Accent4 3 4 3 3" xfId="13858" xr:uid="{D8A61EEF-5CEA-41A0-9271-400CAD5C7C0F}"/>
    <cellStyle name="40% - Accent4 3 4 4" xfId="18088" xr:uid="{FD1CA7FF-D8AF-45A6-A90D-C70D2F843592}"/>
    <cellStyle name="40% - Accent4 3 4 5" xfId="9640" xr:uid="{D935673C-ECA5-4A32-BE3E-6B588972BD4F}"/>
    <cellStyle name="40% - Accent4 3 5" xfId="1514" xr:uid="{00000000-0005-0000-0000-00000F060000}"/>
    <cellStyle name="40% - Accent4 3 5 2" xfId="3744" xr:uid="{00000000-0005-0000-0000-000010060000}"/>
    <cellStyle name="40% - Accent4 3 5 2 2" xfId="7966" xr:uid="{00000000-0005-0000-0000-000011060000}"/>
    <cellStyle name="40% - Accent4 3 5 2 2 2" xfId="24864" xr:uid="{E13D9D73-9050-4D1F-A6B6-069F13FA9A2F}"/>
    <cellStyle name="40% - Accent4 3 5 2 2 3" xfId="16416" xr:uid="{4E09CC1D-8BD5-49C1-B7CB-02D498DD7D17}"/>
    <cellStyle name="40% - Accent4 3 5 2 3" xfId="20646" xr:uid="{B399712F-A06F-4077-97A7-66190013FC40}"/>
    <cellStyle name="40% - Accent4 3 5 2 4" xfId="12198" xr:uid="{D6CAEB6C-43EF-47F1-8C56-922F978DAA7E}"/>
    <cellStyle name="40% - Accent4 3 5 3" xfId="5821" xr:uid="{00000000-0005-0000-0000-000012060000}"/>
    <cellStyle name="40% - Accent4 3 5 3 2" xfId="22719" xr:uid="{22BA0BED-5D03-438F-8A5E-69A335569B04}"/>
    <cellStyle name="40% - Accent4 3 5 3 3" xfId="14271" xr:uid="{A1E0BCBF-330C-4C27-BEAE-DB8DA13490CE}"/>
    <cellStyle name="40% - Accent4 3 5 4" xfId="18501" xr:uid="{50CE9A29-4D96-4A07-826B-5CDF42753982}"/>
    <cellStyle name="40% - Accent4 3 5 5" xfId="10053" xr:uid="{A424B72D-347E-4F22-8679-EF3444A5177C}"/>
    <cellStyle name="40% - Accent4 3 6" xfId="1928" xr:uid="{00000000-0005-0000-0000-000013060000}"/>
    <cellStyle name="40% - Accent4 3 6 2" xfId="4157" xr:uid="{00000000-0005-0000-0000-000014060000}"/>
    <cellStyle name="40% - Accent4 3 6 2 2" xfId="8379" xr:uid="{00000000-0005-0000-0000-000015060000}"/>
    <cellStyle name="40% - Accent4 3 6 2 2 2" xfId="25277" xr:uid="{6DDBBE3B-2BC6-4E3C-95AA-5F629197F4D9}"/>
    <cellStyle name="40% - Accent4 3 6 2 2 3" xfId="16829" xr:uid="{61EE5240-9A60-4E25-A8DD-30815278B87A}"/>
    <cellStyle name="40% - Accent4 3 6 2 3" xfId="21059" xr:uid="{E2AA9728-E366-4988-8255-C6E09D6184DB}"/>
    <cellStyle name="40% - Accent4 3 6 2 4" xfId="12611" xr:uid="{A43A70DC-C8D0-45F6-9AE2-DFEC3A77D0F1}"/>
    <cellStyle name="40% - Accent4 3 6 3" xfId="6234" xr:uid="{00000000-0005-0000-0000-000016060000}"/>
    <cellStyle name="40% - Accent4 3 6 3 2" xfId="23132" xr:uid="{5506BE1F-F1C8-435B-8402-B1643D1686CF}"/>
    <cellStyle name="40% - Accent4 3 6 3 3" xfId="14684" xr:uid="{291979F7-6BF3-4DE7-8684-0F1783316AA8}"/>
    <cellStyle name="40% - Accent4 3 6 4" xfId="18914" xr:uid="{C5E2E739-DB34-4D67-BBB6-4202F03D1EDF}"/>
    <cellStyle name="40% - Accent4 3 6 5" xfId="10466" xr:uid="{BAAFC4CC-4E86-4C74-9235-C2C324A17B66}"/>
    <cellStyle name="40% - Accent4 3 7" xfId="2341" xr:uid="{00000000-0005-0000-0000-000017060000}"/>
    <cellStyle name="40% - Accent4 3 7 2" xfId="6647" xr:uid="{00000000-0005-0000-0000-000018060000}"/>
    <cellStyle name="40% - Accent4 3 7 2 2" xfId="23545" xr:uid="{EA228974-7693-4A02-8AB3-CCFC9729E559}"/>
    <cellStyle name="40% - Accent4 3 7 2 3" xfId="15097" xr:uid="{3D5FA062-8411-4FBE-B60B-270AE460AA06}"/>
    <cellStyle name="40% - Accent4 3 7 3" xfId="19327" xr:uid="{62A6EEE4-B20E-4EB5-9360-3CF5AE63783C}"/>
    <cellStyle name="40% - Accent4 3 7 4" xfId="10879" xr:uid="{F3A9B893-0DB8-4183-AEC6-81798ADAC45B}"/>
    <cellStyle name="40% - Accent4 3 8" xfId="4581" xr:uid="{00000000-0005-0000-0000-000019060000}"/>
    <cellStyle name="40% - Accent4 3 8 2" xfId="21479" xr:uid="{9C7F4FD3-7D84-47D9-AE37-3616B5E76B3D}"/>
    <cellStyle name="40% - Accent4 3 8 3" xfId="13031" xr:uid="{FF366252-2634-4F0E-AAB1-44F4DAC388A9}"/>
    <cellStyle name="40% - Accent4 3 9" xfId="17261" xr:uid="{A9C62B38-605D-4224-81EE-1AF4C6EB3AB8}"/>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2 2 2" xfId="24040" xr:uid="{F1DBED04-8C2D-418F-AA2E-16DFC4812BAC}"/>
    <cellStyle name="40% - Accent4 4 2 2 2 3" xfId="15592" xr:uid="{1E8E304B-9C9F-4476-B3A6-436F27776821}"/>
    <cellStyle name="40% - Accent4 4 2 2 3" xfId="19822" xr:uid="{5194C788-8346-4057-B5F6-1587E353F5AD}"/>
    <cellStyle name="40% - Accent4 4 2 2 4" xfId="11374" xr:uid="{6377CECF-254A-4244-9B88-1BF34FC6013D}"/>
    <cellStyle name="40% - Accent4 4 2 3" xfId="4997" xr:uid="{00000000-0005-0000-0000-00001E060000}"/>
    <cellStyle name="40% - Accent4 4 2 3 2" xfId="21895" xr:uid="{E7F732C3-713A-4517-BA40-19AC7C7C542C}"/>
    <cellStyle name="40% - Accent4 4 2 3 3" xfId="13447" xr:uid="{9658BE2C-C85A-47F8-B9FE-E12ED36327CC}"/>
    <cellStyle name="40% - Accent4 4 2 4" xfId="17677" xr:uid="{871DE830-405F-4743-BB83-DBCBDAF7A44A}"/>
    <cellStyle name="40% - Accent4 4 2 5" xfId="9229" xr:uid="{A04FDC34-428B-4D85-AF6D-C25A9186597A}"/>
    <cellStyle name="40% - Accent4 4 3" xfId="1102" xr:uid="{00000000-0005-0000-0000-00001F060000}"/>
    <cellStyle name="40% - Accent4 4 3 2" xfId="3333" xr:uid="{00000000-0005-0000-0000-000020060000}"/>
    <cellStyle name="40% - Accent4 4 3 2 2" xfId="7555" xr:uid="{00000000-0005-0000-0000-000021060000}"/>
    <cellStyle name="40% - Accent4 4 3 2 2 2" xfId="24453" xr:uid="{DE78F1F7-3031-4060-909A-37C9435189BC}"/>
    <cellStyle name="40% - Accent4 4 3 2 2 3" xfId="16005" xr:uid="{98A70794-6EBB-4879-B84E-1EBB41C690BF}"/>
    <cellStyle name="40% - Accent4 4 3 2 3" xfId="20235" xr:uid="{976AAFD4-8FC4-461D-8CF1-88E320F8F24A}"/>
    <cellStyle name="40% - Accent4 4 3 2 4" xfId="11787" xr:uid="{2743AD7E-1D6B-4336-A759-ED15FDF89857}"/>
    <cellStyle name="40% - Accent4 4 3 3" xfId="5410" xr:uid="{00000000-0005-0000-0000-000022060000}"/>
    <cellStyle name="40% - Accent4 4 3 3 2" xfId="22308" xr:uid="{24488964-3E30-4310-BF70-09328B87A82C}"/>
    <cellStyle name="40% - Accent4 4 3 3 3" xfId="13860" xr:uid="{58E11699-62C5-4789-A6A6-FFCF3100436C}"/>
    <cellStyle name="40% - Accent4 4 3 4" xfId="18090" xr:uid="{DEA84921-A6A4-4E64-94CF-F2D957775A47}"/>
    <cellStyle name="40% - Accent4 4 3 5" xfId="9642" xr:uid="{27418C39-6F41-4900-AFFF-932A1B52A0D4}"/>
    <cellStyle name="40% - Accent4 4 4" xfId="1516" xr:uid="{00000000-0005-0000-0000-000023060000}"/>
    <cellStyle name="40% - Accent4 4 4 2" xfId="3746" xr:uid="{00000000-0005-0000-0000-000024060000}"/>
    <cellStyle name="40% - Accent4 4 4 2 2" xfId="7968" xr:uid="{00000000-0005-0000-0000-000025060000}"/>
    <cellStyle name="40% - Accent4 4 4 2 2 2" xfId="24866" xr:uid="{C0747D85-4A65-4E09-AB6A-7DE84DC585FE}"/>
    <cellStyle name="40% - Accent4 4 4 2 2 3" xfId="16418" xr:uid="{45BD22F8-DF6B-4EE5-A1E4-8298FEA3B3CA}"/>
    <cellStyle name="40% - Accent4 4 4 2 3" xfId="20648" xr:uid="{682A4376-24C8-4CA2-B369-7CE536E02678}"/>
    <cellStyle name="40% - Accent4 4 4 2 4" xfId="12200" xr:uid="{BECCAC85-97EF-49A0-A155-B467F129F0F6}"/>
    <cellStyle name="40% - Accent4 4 4 3" xfId="5823" xr:uid="{00000000-0005-0000-0000-000026060000}"/>
    <cellStyle name="40% - Accent4 4 4 3 2" xfId="22721" xr:uid="{611B2369-E89B-4BF3-B968-EF061180721B}"/>
    <cellStyle name="40% - Accent4 4 4 3 3" xfId="14273" xr:uid="{5640CD80-CAF9-48F4-9E2F-EDBA4AAC088A}"/>
    <cellStyle name="40% - Accent4 4 4 4" xfId="18503" xr:uid="{C0D46ADF-E6B1-4A4B-A302-74F35427138A}"/>
    <cellStyle name="40% - Accent4 4 4 5" xfId="10055" xr:uid="{9926933D-B3CB-4064-9BE6-AA2B675CD95B}"/>
    <cellStyle name="40% - Accent4 4 5" xfId="1930" xr:uid="{00000000-0005-0000-0000-000027060000}"/>
    <cellStyle name="40% - Accent4 4 5 2" xfId="4159" xr:uid="{00000000-0005-0000-0000-000028060000}"/>
    <cellStyle name="40% - Accent4 4 5 2 2" xfId="8381" xr:uid="{00000000-0005-0000-0000-000029060000}"/>
    <cellStyle name="40% - Accent4 4 5 2 2 2" xfId="25279" xr:uid="{62C11AD5-6C0E-4E7A-A223-C5E63671725D}"/>
    <cellStyle name="40% - Accent4 4 5 2 2 3" xfId="16831" xr:uid="{719EC554-A7FA-4F98-9323-E231F20DE33A}"/>
    <cellStyle name="40% - Accent4 4 5 2 3" xfId="21061" xr:uid="{F865763B-4F7A-468D-88D2-AE7E467A87D9}"/>
    <cellStyle name="40% - Accent4 4 5 2 4" xfId="12613" xr:uid="{37D5C33B-0D0F-4AC6-9162-D705CE800D8A}"/>
    <cellStyle name="40% - Accent4 4 5 3" xfId="6236" xr:uid="{00000000-0005-0000-0000-00002A060000}"/>
    <cellStyle name="40% - Accent4 4 5 3 2" xfId="23134" xr:uid="{B866B506-9D7F-41FB-B09A-9CFAC774D0AE}"/>
    <cellStyle name="40% - Accent4 4 5 3 3" xfId="14686" xr:uid="{0CDB69B6-3C6D-44EB-8D3B-D1F60FCAA2BA}"/>
    <cellStyle name="40% - Accent4 4 5 4" xfId="18916" xr:uid="{1B54BF06-24DC-4BAD-99F9-9BD734E01A86}"/>
    <cellStyle name="40% - Accent4 4 5 5" xfId="10468" xr:uid="{B238707F-72AC-4BD2-BB5B-A3F3CA65CCA4}"/>
    <cellStyle name="40% - Accent4 4 6" xfId="2343" xr:uid="{00000000-0005-0000-0000-00002B060000}"/>
    <cellStyle name="40% - Accent4 4 6 2" xfId="6649" xr:uid="{00000000-0005-0000-0000-00002C060000}"/>
    <cellStyle name="40% - Accent4 4 6 2 2" xfId="23547" xr:uid="{51D1CF7B-E23A-468E-B7B3-3678D0B13AB3}"/>
    <cellStyle name="40% - Accent4 4 6 2 3" xfId="15099" xr:uid="{A2DB68DA-0C12-47E7-A538-4F949C253203}"/>
    <cellStyle name="40% - Accent4 4 6 3" xfId="19329" xr:uid="{5DAAAEBF-EF4C-4857-BBDF-3AC2E49693D9}"/>
    <cellStyle name="40% - Accent4 4 6 4" xfId="10881" xr:uid="{B9A971ED-8199-413B-8F33-EB90E9818888}"/>
    <cellStyle name="40% - Accent4 4 7" xfId="4583" xr:uid="{00000000-0005-0000-0000-00002D060000}"/>
    <cellStyle name="40% - Accent4 4 7 2" xfId="21481" xr:uid="{38E676DA-12AC-4990-8C7C-07C591A47B89}"/>
    <cellStyle name="40% - Accent4 4 7 3" xfId="13033" xr:uid="{9ADE6E33-5C59-4447-8CA5-2A902EEB5522}"/>
    <cellStyle name="40% - Accent4 4 8" xfId="17263" xr:uid="{CEB4DB43-879A-42EB-8D9F-20AB7CD6D1C8}"/>
    <cellStyle name="40% - Accent4 4 9" xfId="8815" xr:uid="{420FAF97-A748-40FE-8E54-D23BFBA59D48}"/>
    <cellStyle name="40% - Accent4 5" xfId="642" xr:uid="{00000000-0005-0000-0000-00002E060000}"/>
    <cellStyle name="40% - Accent4 5 2" xfId="2913" xr:uid="{00000000-0005-0000-0000-00002F060000}"/>
    <cellStyle name="40% - Accent4 5 2 2" xfId="7135" xr:uid="{00000000-0005-0000-0000-000030060000}"/>
    <cellStyle name="40% - Accent4 5 2 2 2" xfId="24033" xr:uid="{282FA5FC-FBDE-4762-9834-D1561289C989}"/>
    <cellStyle name="40% - Accent4 5 2 2 3" xfId="15585" xr:uid="{D7C08172-4EE7-4111-9EE4-1F0BD79A864B}"/>
    <cellStyle name="40% - Accent4 5 2 3" xfId="19815" xr:uid="{9B36E15D-F196-473D-AD45-7E56DEAEDEB9}"/>
    <cellStyle name="40% - Accent4 5 2 4" xfId="11367" xr:uid="{8C663475-7D18-4317-BB30-098A777FEF7E}"/>
    <cellStyle name="40% - Accent4 5 3" xfId="4990" xr:uid="{00000000-0005-0000-0000-000031060000}"/>
    <cellStyle name="40% - Accent4 5 3 2" xfId="21888" xr:uid="{ED1CF21F-1EEC-4BEC-8F54-98AA2EFB95DA}"/>
    <cellStyle name="40% - Accent4 5 3 3" xfId="13440" xr:uid="{18CE510B-76BC-4724-A4E3-B1C793128710}"/>
    <cellStyle name="40% - Accent4 5 4" xfId="17670" xr:uid="{FE85FF81-DA79-4C68-A746-EB12B771C256}"/>
    <cellStyle name="40% - Accent4 5 5" xfId="9222" xr:uid="{52953D15-3378-4799-BCAB-63F960F0F9F5}"/>
    <cellStyle name="40% - Accent4 6" xfId="1095" xr:uid="{00000000-0005-0000-0000-000032060000}"/>
    <cellStyle name="40% - Accent4 6 2" xfId="3326" xr:uid="{00000000-0005-0000-0000-000033060000}"/>
    <cellStyle name="40% - Accent4 6 2 2" xfId="7548" xr:uid="{00000000-0005-0000-0000-000034060000}"/>
    <cellStyle name="40% - Accent4 6 2 2 2" xfId="24446" xr:uid="{1773855F-58D7-4D72-8B64-A608AA2CC379}"/>
    <cellStyle name="40% - Accent4 6 2 2 3" xfId="15998" xr:uid="{48E71D36-2DA1-498B-8258-5460F68863A2}"/>
    <cellStyle name="40% - Accent4 6 2 3" xfId="20228" xr:uid="{02F1AFEB-2283-409A-B7FA-4F77FEF5322F}"/>
    <cellStyle name="40% - Accent4 6 2 4" xfId="11780" xr:uid="{97A08191-55E0-4A82-82BE-8070ECD29F8F}"/>
    <cellStyle name="40% - Accent4 6 3" xfId="5403" xr:uid="{00000000-0005-0000-0000-000035060000}"/>
    <cellStyle name="40% - Accent4 6 3 2" xfId="22301" xr:uid="{920CC7A9-8731-465E-86C9-4C4D91AD5C62}"/>
    <cellStyle name="40% - Accent4 6 3 3" xfId="13853" xr:uid="{25368BB9-5F94-46E4-AEBA-5F7674F7B0B3}"/>
    <cellStyle name="40% - Accent4 6 4" xfId="18083" xr:uid="{E27BF186-2C3D-48F2-B67C-3F111845EEAA}"/>
    <cellStyle name="40% - Accent4 6 5" xfId="9635" xr:uid="{2D2C9B82-E2E2-4B35-8BA2-6DB721311A21}"/>
    <cellStyle name="40% - Accent4 7" xfId="1509" xr:uid="{00000000-0005-0000-0000-000036060000}"/>
    <cellStyle name="40% - Accent4 7 2" xfId="3739" xr:uid="{00000000-0005-0000-0000-000037060000}"/>
    <cellStyle name="40% - Accent4 7 2 2" xfId="7961" xr:uid="{00000000-0005-0000-0000-000038060000}"/>
    <cellStyle name="40% - Accent4 7 2 2 2" xfId="24859" xr:uid="{0F505F07-3DB9-4E8B-8113-13E8F3793E9B}"/>
    <cellStyle name="40% - Accent4 7 2 2 3" xfId="16411" xr:uid="{3CA0DB86-792C-48CD-8800-FD606F7EDBF7}"/>
    <cellStyle name="40% - Accent4 7 2 3" xfId="20641" xr:uid="{DBDA9651-EB1E-40B1-A75C-1B757EE6C62E}"/>
    <cellStyle name="40% - Accent4 7 2 4" xfId="12193" xr:uid="{B4EFD0CF-AAB7-4E4E-8B77-093FBC53A331}"/>
    <cellStyle name="40% - Accent4 7 3" xfId="5816" xr:uid="{00000000-0005-0000-0000-000039060000}"/>
    <cellStyle name="40% - Accent4 7 3 2" xfId="22714" xr:uid="{1B83494E-8F1A-40D4-B232-E67DC117A850}"/>
    <cellStyle name="40% - Accent4 7 3 3" xfId="14266" xr:uid="{93918D6E-83E4-4F7A-B36F-B9783F3B1944}"/>
    <cellStyle name="40% - Accent4 7 4" xfId="18496" xr:uid="{9109A780-CB8D-4595-870E-B23EFF6BA1EA}"/>
    <cellStyle name="40% - Accent4 7 5" xfId="10048" xr:uid="{8F3670DE-D1E2-47E7-A8E3-B93D49407FEC}"/>
    <cellStyle name="40% - Accent4 8" xfId="1923" xr:uid="{00000000-0005-0000-0000-00003A060000}"/>
    <cellStyle name="40% - Accent4 8 2" xfId="4152" xr:uid="{00000000-0005-0000-0000-00003B060000}"/>
    <cellStyle name="40% - Accent4 8 2 2" xfId="8374" xr:uid="{00000000-0005-0000-0000-00003C060000}"/>
    <cellStyle name="40% - Accent4 8 2 2 2" xfId="25272" xr:uid="{785D0BA1-4A19-443A-9475-AE26791D44B2}"/>
    <cellStyle name="40% - Accent4 8 2 2 3" xfId="16824" xr:uid="{3FC742AE-22DF-4F0B-98B4-AF6CE4FD5D8B}"/>
    <cellStyle name="40% - Accent4 8 2 3" xfId="21054" xr:uid="{111B419E-AD37-41B5-9D74-2690945023CD}"/>
    <cellStyle name="40% - Accent4 8 2 4" xfId="12606" xr:uid="{5B40698F-986B-48BD-A635-6736A66EB59A}"/>
    <cellStyle name="40% - Accent4 8 3" xfId="6229" xr:uid="{00000000-0005-0000-0000-00003D060000}"/>
    <cellStyle name="40% - Accent4 8 3 2" xfId="23127" xr:uid="{E591864E-6D30-481C-AC6B-25CE41AA5ED9}"/>
    <cellStyle name="40% - Accent4 8 3 3" xfId="14679" xr:uid="{05F04D0F-091C-455E-92DA-178E46603A13}"/>
    <cellStyle name="40% - Accent4 8 4" xfId="18909" xr:uid="{DB5B69DC-DF5B-4E9F-88DC-F71B5321DDEB}"/>
    <cellStyle name="40% - Accent4 8 5" xfId="10461" xr:uid="{EB5BFE8D-65DE-4BF4-947B-6A5167B4DA06}"/>
    <cellStyle name="40% - Accent4 9" xfId="2336" xr:uid="{00000000-0005-0000-0000-00003E060000}"/>
    <cellStyle name="40% - Accent4 9 2" xfId="6642" xr:uid="{00000000-0005-0000-0000-00003F060000}"/>
    <cellStyle name="40% - Accent4 9 2 2" xfId="23540" xr:uid="{49020A2F-BBBF-47E0-AF28-0F77DA0F393F}"/>
    <cellStyle name="40% - Accent4 9 2 3" xfId="15092" xr:uid="{1111C515-91BB-4E8C-8492-C3F3720AD666}"/>
    <cellStyle name="40% - Accent4 9 3" xfId="19322" xr:uid="{56866283-574A-4E5B-B0E0-1A6820D9797E}"/>
    <cellStyle name="40% - Accent4 9 4" xfId="10874" xr:uid="{5C9F92C4-DA3B-4B3B-8918-5440E77D2245}"/>
    <cellStyle name="40% - Accent5" xfId="81" builtinId="47" customBuiltin="1"/>
    <cellStyle name="40% - Accent5 10" xfId="4584" xr:uid="{00000000-0005-0000-0000-000041060000}"/>
    <cellStyle name="40% - Accent5 10 2" xfId="21482" xr:uid="{D411F07A-8D4A-4AD8-8BBC-69CCACF00786}"/>
    <cellStyle name="40% - Accent5 10 3" xfId="13034" xr:uid="{2A616E1D-48BC-4CEC-9BD6-342322E8C0EC}"/>
    <cellStyle name="40% - Accent5 11" xfId="17264" xr:uid="{563AF61D-9967-4D2C-A723-30CEF5046D44}"/>
    <cellStyle name="40% - Accent5 12" xfId="8816" xr:uid="{54DD56AE-C137-4480-AFBB-82D9B79F2A23}"/>
    <cellStyle name="40% - Accent5 2" xfId="82" xr:uid="{00000000-0005-0000-0000-000042060000}"/>
    <cellStyle name="40% - Accent5 2 10" xfId="17265" xr:uid="{0DD88C91-59A8-48DD-B387-EC3923AE5DFE}"/>
    <cellStyle name="40% - Accent5 2 11" xfId="8817" xr:uid="{3E4784EF-640E-418A-A90D-B06D61C85F20}"/>
    <cellStyle name="40% - Accent5 2 2" xfId="83" xr:uid="{00000000-0005-0000-0000-000043060000}"/>
    <cellStyle name="40% - Accent5 2 2 10" xfId="8818" xr:uid="{6F9A8E7B-F5DA-4486-97F6-396A5D63C208}"/>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24044" xr:uid="{D45161DB-CEC1-43CA-AD79-4550AB3E0C1F}"/>
    <cellStyle name="40% - Accent5 2 2 2 2 2 2 3" xfId="15596" xr:uid="{D067F4A6-AAD1-4ED1-BC2E-FE64CD5C9E00}"/>
    <cellStyle name="40% - Accent5 2 2 2 2 2 3" xfId="19826" xr:uid="{11F815EC-86B0-4AE8-A815-A19E85908147}"/>
    <cellStyle name="40% - Accent5 2 2 2 2 2 4" xfId="11378" xr:uid="{4694D79B-0041-4ED4-8862-B6FB755F5E33}"/>
    <cellStyle name="40% - Accent5 2 2 2 2 3" xfId="5001" xr:uid="{00000000-0005-0000-0000-000048060000}"/>
    <cellStyle name="40% - Accent5 2 2 2 2 3 2" xfId="21899" xr:uid="{86702C12-D7C1-4CB9-8D3C-ACF0CA8AD3A6}"/>
    <cellStyle name="40% - Accent5 2 2 2 2 3 3" xfId="13451" xr:uid="{97EDD97E-E283-493C-B9F8-82709213BCA6}"/>
    <cellStyle name="40% - Accent5 2 2 2 2 4" xfId="17681" xr:uid="{173A3CD0-855B-4170-B372-8D1EB358AEE1}"/>
    <cellStyle name="40% - Accent5 2 2 2 2 5" xfId="9233" xr:uid="{562EAB1B-32D0-47A4-AD5E-855463EF523F}"/>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24457" xr:uid="{F01B91A7-75F7-473C-BD6D-924CB1296D5D}"/>
    <cellStyle name="40% - Accent5 2 2 2 3 2 2 3" xfId="16009" xr:uid="{8931BABC-7526-4C72-87BD-CD15AF300E8A}"/>
    <cellStyle name="40% - Accent5 2 2 2 3 2 3" xfId="20239" xr:uid="{09CD8579-F91B-4910-B7B0-63CC608DD47E}"/>
    <cellStyle name="40% - Accent5 2 2 2 3 2 4" xfId="11791" xr:uid="{AA4E6DFC-2991-4170-810A-2B8BC252B896}"/>
    <cellStyle name="40% - Accent5 2 2 2 3 3" xfId="5414" xr:uid="{00000000-0005-0000-0000-00004C060000}"/>
    <cellStyle name="40% - Accent5 2 2 2 3 3 2" xfId="22312" xr:uid="{FE02817B-EB41-4057-B173-0721D47A64AB}"/>
    <cellStyle name="40% - Accent5 2 2 2 3 3 3" xfId="13864" xr:uid="{DD760102-51FF-4BF4-8F7C-D14772D2A2D3}"/>
    <cellStyle name="40% - Accent5 2 2 2 3 4" xfId="18094" xr:uid="{F5E775E1-F9D1-4AAA-A513-BD4B868DD069}"/>
    <cellStyle name="40% - Accent5 2 2 2 3 5" xfId="9646" xr:uid="{E8D670DF-6D50-4E00-8AA8-D91624EB8F1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24870" xr:uid="{EA365265-168A-42A4-AB54-4C95B5E0F307}"/>
    <cellStyle name="40% - Accent5 2 2 2 4 2 2 3" xfId="16422" xr:uid="{5BA62FBC-54BE-413B-8A1E-A221C9267527}"/>
    <cellStyle name="40% - Accent5 2 2 2 4 2 3" xfId="20652" xr:uid="{7028155D-C5CA-4989-9DCE-302E0A2F0C1E}"/>
    <cellStyle name="40% - Accent5 2 2 2 4 2 4" xfId="12204" xr:uid="{5029F459-4B28-48A3-8D76-C362B184D7F3}"/>
    <cellStyle name="40% - Accent5 2 2 2 4 3" xfId="5827" xr:uid="{00000000-0005-0000-0000-000050060000}"/>
    <cellStyle name="40% - Accent5 2 2 2 4 3 2" xfId="22725" xr:uid="{CFE3881B-F93A-4A4C-B89C-447D685BB929}"/>
    <cellStyle name="40% - Accent5 2 2 2 4 3 3" xfId="14277" xr:uid="{1AFCDAA6-F29B-4CDB-BB9B-EB1327DEAF06}"/>
    <cellStyle name="40% - Accent5 2 2 2 4 4" xfId="18507" xr:uid="{A7EACA81-EBB2-48CB-A46F-6075AC0C8CDF}"/>
    <cellStyle name="40% - Accent5 2 2 2 4 5" xfId="10059" xr:uid="{FF11570A-E07E-4E84-96B9-BA695D240C86}"/>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25283" xr:uid="{6B743C1D-2D33-4D33-88EC-723ED86E8B36}"/>
    <cellStyle name="40% - Accent5 2 2 2 5 2 2 3" xfId="16835" xr:uid="{CA84BD93-35F3-4812-81FE-F31D07DEE52B}"/>
    <cellStyle name="40% - Accent5 2 2 2 5 2 3" xfId="21065" xr:uid="{44E779E5-AF05-4C38-B8C3-D56AB7CA32DC}"/>
    <cellStyle name="40% - Accent5 2 2 2 5 2 4" xfId="12617" xr:uid="{48BD0382-0EDD-41CB-BAA6-79AFA895B467}"/>
    <cellStyle name="40% - Accent5 2 2 2 5 3" xfId="6240" xr:uid="{00000000-0005-0000-0000-000054060000}"/>
    <cellStyle name="40% - Accent5 2 2 2 5 3 2" xfId="23138" xr:uid="{61B8833C-8229-4042-A006-CE677B9AE0C6}"/>
    <cellStyle name="40% - Accent5 2 2 2 5 3 3" xfId="14690" xr:uid="{0FA4427F-3E4C-4951-9454-9C7000030F66}"/>
    <cellStyle name="40% - Accent5 2 2 2 5 4" xfId="18920" xr:uid="{56F89981-C974-4166-94AB-F5EA0D099C43}"/>
    <cellStyle name="40% - Accent5 2 2 2 5 5" xfId="10472" xr:uid="{2A3226D7-8F41-4B03-AFC2-D19994C17BB4}"/>
    <cellStyle name="40% - Accent5 2 2 2 6" xfId="2347" xr:uid="{00000000-0005-0000-0000-000055060000}"/>
    <cellStyle name="40% - Accent5 2 2 2 6 2" xfId="6653" xr:uid="{00000000-0005-0000-0000-000056060000}"/>
    <cellStyle name="40% - Accent5 2 2 2 6 2 2" xfId="23551" xr:uid="{B2D776B6-5341-49DB-8005-A18AD59BB6B6}"/>
    <cellStyle name="40% - Accent5 2 2 2 6 2 3" xfId="15103" xr:uid="{0835705A-9EA9-4E29-9E1F-5E78A9B028DE}"/>
    <cellStyle name="40% - Accent5 2 2 2 6 3" xfId="19333" xr:uid="{0B56817C-39F7-468C-944B-4FE234689BCD}"/>
    <cellStyle name="40% - Accent5 2 2 2 6 4" xfId="10885" xr:uid="{82E0B74F-AFAA-4EC2-8A68-A75AB4E26DBF}"/>
    <cellStyle name="40% - Accent5 2 2 2 7" xfId="4587" xr:uid="{00000000-0005-0000-0000-000057060000}"/>
    <cellStyle name="40% - Accent5 2 2 2 7 2" xfId="21485" xr:uid="{8DD0EEF7-D1E3-4017-A3BB-9163A5517D3B}"/>
    <cellStyle name="40% - Accent5 2 2 2 7 3" xfId="13037" xr:uid="{E15BA68F-32BB-42DE-B090-0906ABCF6803}"/>
    <cellStyle name="40% - Accent5 2 2 2 8" xfId="17267" xr:uid="{E239B7FF-9393-46A8-9B8A-C0986FEBE77E}"/>
    <cellStyle name="40% - Accent5 2 2 2 9" xfId="8819" xr:uid="{4E297BFC-0F9E-4405-8927-D349D0C2EBB7}"/>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24043" xr:uid="{5BC02CB2-32BA-48BD-B0AF-94A9B764E50F}"/>
    <cellStyle name="40% - Accent5 2 2 3 2 2 3" xfId="15595" xr:uid="{8209308B-4634-4ADA-AFC8-8D3EB5ED8EAE}"/>
    <cellStyle name="40% - Accent5 2 2 3 2 3" xfId="19825" xr:uid="{6DD177E9-1986-4303-8145-0AF7D584EB5E}"/>
    <cellStyle name="40% - Accent5 2 2 3 2 4" xfId="11377" xr:uid="{A7F08589-2D21-4454-9F3B-0F6B6CAB20E0}"/>
    <cellStyle name="40% - Accent5 2 2 3 3" xfId="5000" xr:uid="{00000000-0005-0000-0000-00005B060000}"/>
    <cellStyle name="40% - Accent5 2 2 3 3 2" xfId="21898" xr:uid="{8C49007E-19FA-4DC1-A222-6334C461BCBE}"/>
    <cellStyle name="40% - Accent5 2 2 3 3 3" xfId="13450" xr:uid="{58017F32-8796-4934-BA64-98C607D40A8B}"/>
    <cellStyle name="40% - Accent5 2 2 3 4" xfId="17680" xr:uid="{334FF5C9-D72C-40AA-AA0C-EE7C0DF05E67}"/>
    <cellStyle name="40% - Accent5 2 2 3 5" xfId="9232" xr:uid="{9B61618D-8447-4C7B-A727-DAE226534B2A}"/>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24456" xr:uid="{F12E4135-C6E9-4683-93F2-5E7ED5D78977}"/>
    <cellStyle name="40% - Accent5 2 2 4 2 2 3" xfId="16008" xr:uid="{B1020A13-C7AE-440D-A9A0-C204C59E6F27}"/>
    <cellStyle name="40% - Accent5 2 2 4 2 3" xfId="20238" xr:uid="{FCCE2EA1-97B8-48F2-80B7-24C558DF09F4}"/>
    <cellStyle name="40% - Accent5 2 2 4 2 4" xfId="11790" xr:uid="{2C4D64E5-9DCE-4B5E-B264-A631883B8DDA}"/>
    <cellStyle name="40% - Accent5 2 2 4 3" xfId="5413" xr:uid="{00000000-0005-0000-0000-00005F060000}"/>
    <cellStyle name="40% - Accent5 2 2 4 3 2" xfId="22311" xr:uid="{DA290470-DBB3-4D49-9F24-1BDBCA0E7A0E}"/>
    <cellStyle name="40% - Accent5 2 2 4 3 3" xfId="13863" xr:uid="{A6F7F53D-DA3F-452B-845E-0E18E1BCD79A}"/>
    <cellStyle name="40% - Accent5 2 2 4 4" xfId="18093" xr:uid="{61D355E3-C758-49BE-8B26-A487C595624F}"/>
    <cellStyle name="40% - Accent5 2 2 4 5" xfId="9645" xr:uid="{3C987BD4-1416-4467-9959-482E218C5A5F}"/>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24869" xr:uid="{CAB843E2-732A-425B-9BB0-A0E69DCC37A5}"/>
    <cellStyle name="40% - Accent5 2 2 5 2 2 3" xfId="16421" xr:uid="{5BB694DF-81AA-4D7D-B91E-60076BF51835}"/>
    <cellStyle name="40% - Accent5 2 2 5 2 3" xfId="20651" xr:uid="{F3223D35-1D4B-4EEC-956A-8391F7E0D2F8}"/>
    <cellStyle name="40% - Accent5 2 2 5 2 4" xfId="12203" xr:uid="{D5C27224-C1BC-49F9-8C4F-904AD163D726}"/>
    <cellStyle name="40% - Accent5 2 2 5 3" xfId="5826" xr:uid="{00000000-0005-0000-0000-000063060000}"/>
    <cellStyle name="40% - Accent5 2 2 5 3 2" xfId="22724" xr:uid="{003DF3E0-EFF3-49E6-B0AA-8DA9AB2CC203}"/>
    <cellStyle name="40% - Accent5 2 2 5 3 3" xfId="14276" xr:uid="{D88D9F82-D110-43D8-9D53-93C5694BC78E}"/>
    <cellStyle name="40% - Accent5 2 2 5 4" xfId="18506" xr:uid="{BFAEE711-F704-4698-A846-E65BD662BC86}"/>
    <cellStyle name="40% - Accent5 2 2 5 5" xfId="10058" xr:uid="{5304E473-D646-4D52-B7D5-505A647253CC}"/>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25282" xr:uid="{EE04EC28-5809-4F2F-AB5E-02F56F664E66}"/>
    <cellStyle name="40% - Accent5 2 2 6 2 2 3" xfId="16834" xr:uid="{21891781-7881-4B6B-9222-5D616449F179}"/>
    <cellStyle name="40% - Accent5 2 2 6 2 3" xfId="21064" xr:uid="{4E642A0E-4CC1-495C-85FF-CDE681AD710A}"/>
    <cellStyle name="40% - Accent5 2 2 6 2 4" xfId="12616" xr:uid="{F2889540-0827-4B34-9518-1EA812F9AF9A}"/>
    <cellStyle name="40% - Accent5 2 2 6 3" xfId="6239" xr:uid="{00000000-0005-0000-0000-000067060000}"/>
    <cellStyle name="40% - Accent5 2 2 6 3 2" xfId="23137" xr:uid="{DFB1B432-DB69-44B1-9910-3B53247C68F8}"/>
    <cellStyle name="40% - Accent5 2 2 6 3 3" xfId="14689" xr:uid="{A71FF752-4560-4A67-8EF3-1221E98CB324}"/>
    <cellStyle name="40% - Accent5 2 2 6 4" xfId="18919" xr:uid="{EE6D6232-DB73-4044-B541-2BD7F56022BE}"/>
    <cellStyle name="40% - Accent5 2 2 6 5" xfId="10471" xr:uid="{59AC7CFE-5AC8-4D58-9F50-EFE46B4565C7}"/>
    <cellStyle name="40% - Accent5 2 2 7" xfId="2346" xr:uid="{00000000-0005-0000-0000-000068060000}"/>
    <cellStyle name="40% - Accent5 2 2 7 2" xfId="6652" xr:uid="{00000000-0005-0000-0000-000069060000}"/>
    <cellStyle name="40% - Accent5 2 2 7 2 2" xfId="23550" xr:uid="{783B1DB8-83F9-4B1E-B51D-33A2D9828408}"/>
    <cellStyle name="40% - Accent5 2 2 7 2 3" xfId="15102" xr:uid="{2E19C566-BE32-43B9-8783-9E939D07F8C7}"/>
    <cellStyle name="40% - Accent5 2 2 7 3" xfId="19332" xr:uid="{83D580B7-B2E4-4F30-B176-7F0F4107DD4E}"/>
    <cellStyle name="40% - Accent5 2 2 7 4" xfId="10884" xr:uid="{253EEF5B-9D1F-4FD7-B50C-EA5BDA85C680}"/>
    <cellStyle name="40% - Accent5 2 2 8" xfId="4586" xr:uid="{00000000-0005-0000-0000-00006A060000}"/>
    <cellStyle name="40% - Accent5 2 2 8 2" xfId="21484" xr:uid="{508FE928-745F-4022-8CF7-EFA67EC2BD52}"/>
    <cellStyle name="40% - Accent5 2 2 8 3" xfId="13036" xr:uid="{F3024139-B3D1-456E-A6DF-261CBFDBB72D}"/>
    <cellStyle name="40% - Accent5 2 2 9" xfId="17266" xr:uid="{FB439969-0629-4316-9C91-487B89036D96}"/>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24045" xr:uid="{52FBF5F1-44DE-4C8E-A6B0-971B10579DF8}"/>
    <cellStyle name="40% - Accent5 2 3 2 2 2 3" xfId="15597" xr:uid="{D2F1BE41-3B07-4FBF-BCCA-CFF39F868DE8}"/>
    <cellStyle name="40% - Accent5 2 3 2 2 3" xfId="19827" xr:uid="{A26A58A1-521A-4A44-B3E8-E7F4D7E67F1C}"/>
    <cellStyle name="40% - Accent5 2 3 2 2 4" xfId="11379" xr:uid="{0B28617C-0317-4EFD-A4DE-3EAF04F30C97}"/>
    <cellStyle name="40% - Accent5 2 3 2 3" xfId="5002" xr:uid="{00000000-0005-0000-0000-00006F060000}"/>
    <cellStyle name="40% - Accent5 2 3 2 3 2" xfId="21900" xr:uid="{3CD731EF-FE92-478A-ACDF-50B5DADD878B}"/>
    <cellStyle name="40% - Accent5 2 3 2 3 3" xfId="13452" xr:uid="{CFCD2441-3C4B-4468-9131-FE391DBC4275}"/>
    <cellStyle name="40% - Accent5 2 3 2 4" xfId="17682" xr:uid="{5BB41E44-659F-49F2-ACE7-29490C48B0DD}"/>
    <cellStyle name="40% - Accent5 2 3 2 5" xfId="9234" xr:uid="{8AFB083D-71F3-4602-8B7D-C1EFE7D63948}"/>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24458" xr:uid="{DFA2B878-0967-4F91-953D-DBC1E886B40D}"/>
    <cellStyle name="40% - Accent5 2 3 3 2 2 3" xfId="16010" xr:uid="{05B62BD4-E89C-40E1-8654-99966588988D}"/>
    <cellStyle name="40% - Accent5 2 3 3 2 3" xfId="20240" xr:uid="{BB9F2F54-6359-4532-9EB2-E49FE6C4F13E}"/>
    <cellStyle name="40% - Accent5 2 3 3 2 4" xfId="11792" xr:uid="{44905C8F-7955-4529-B04D-4BCB765FD72F}"/>
    <cellStyle name="40% - Accent5 2 3 3 3" xfId="5415" xr:uid="{00000000-0005-0000-0000-000073060000}"/>
    <cellStyle name="40% - Accent5 2 3 3 3 2" xfId="22313" xr:uid="{073ACDD3-5B41-4727-95A1-BBE486440BD0}"/>
    <cellStyle name="40% - Accent5 2 3 3 3 3" xfId="13865" xr:uid="{E414672B-B1F9-4C9E-A716-0687BFA9D032}"/>
    <cellStyle name="40% - Accent5 2 3 3 4" xfId="18095" xr:uid="{2F705712-04DC-46AC-AF22-182ED18F3B04}"/>
    <cellStyle name="40% - Accent5 2 3 3 5" xfId="9647" xr:uid="{50E207C7-CE08-457D-935B-6FAB8A03C428}"/>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24871" xr:uid="{B9DE8D38-5832-4908-9FA4-F06B6408E972}"/>
    <cellStyle name="40% - Accent5 2 3 4 2 2 3" xfId="16423" xr:uid="{B058FF25-A6C7-4BD8-85E9-8B071F92D70B}"/>
    <cellStyle name="40% - Accent5 2 3 4 2 3" xfId="20653" xr:uid="{65752CC4-6E5C-4C77-8D64-4A2C7AE331DD}"/>
    <cellStyle name="40% - Accent5 2 3 4 2 4" xfId="12205" xr:uid="{6C6A5945-6CFA-496E-98EB-D860D927AB0E}"/>
    <cellStyle name="40% - Accent5 2 3 4 3" xfId="5828" xr:uid="{00000000-0005-0000-0000-000077060000}"/>
    <cellStyle name="40% - Accent5 2 3 4 3 2" xfId="22726" xr:uid="{DF7AFB56-18E1-4FF5-9DC5-E13699D98CDE}"/>
    <cellStyle name="40% - Accent5 2 3 4 3 3" xfId="14278" xr:uid="{0563F278-C992-4BC2-A5C9-4BE73564AE41}"/>
    <cellStyle name="40% - Accent5 2 3 4 4" xfId="18508" xr:uid="{60082D38-DD51-4E6E-BC01-1F9FAE828D4D}"/>
    <cellStyle name="40% - Accent5 2 3 4 5" xfId="10060" xr:uid="{C9AC3D35-53AB-4BB1-82DD-4F860003D842}"/>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25284" xr:uid="{839DBAA0-EEA0-4C4C-BFF0-0A868A8B5592}"/>
    <cellStyle name="40% - Accent5 2 3 5 2 2 3" xfId="16836" xr:uid="{E30C3B07-49A9-42AE-A954-4AA1A9E9398A}"/>
    <cellStyle name="40% - Accent5 2 3 5 2 3" xfId="21066" xr:uid="{7149591D-805E-4A14-B015-D322C4096F3F}"/>
    <cellStyle name="40% - Accent5 2 3 5 2 4" xfId="12618" xr:uid="{0A1D6019-C3A9-4E42-84AE-A4B4C5FF2B50}"/>
    <cellStyle name="40% - Accent5 2 3 5 3" xfId="6241" xr:uid="{00000000-0005-0000-0000-00007B060000}"/>
    <cellStyle name="40% - Accent5 2 3 5 3 2" xfId="23139" xr:uid="{8095E595-B588-4501-89C6-FD34B38FFEA6}"/>
    <cellStyle name="40% - Accent5 2 3 5 3 3" xfId="14691" xr:uid="{94336BC6-7313-4867-9F2A-315F012A11D1}"/>
    <cellStyle name="40% - Accent5 2 3 5 4" xfId="18921" xr:uid="{2D1E5530-F4E5-4181-949E-94689A113F59}"/>
    <cellStyle name="40% - Accent5 2 3 5 5" xfId="10473" xr:uid="{F0B48F95-F396-435F-8136-E2C43D36326F}"/>
    <cellStyle name="40% - Accent5 2 3 6" xfId="2348" xr:uid="{00000000-0005-0000-0000-00007C060000}"/>
    <cellStyle name="40% - Accent5 2 3 6 2" xfId="6654" xr:uid="{00000000-0005-0000-0000-00007D060000}"/>
    <cellStyle name="40% - Accent5 2 3 6 2 2" xfId="23552" xr:uid="{AB3B26E3-4317-472C-9030-B62A60788628}"/>
    <cellStyle name="40% - Accent5 2 3 6 2 3" xfId="15104" xr:uid="{7047B35C-FF12-4C7F-A51A-1F200D56C1D1}"/>
    <cellStyle name="40% - Accent5 2 3 6 3" xfId="19334" xr:uid="{49B1E95B-756B-4A08-B10F-AEC981B34E08}"/>
    <cellStyle name="40% - Accent5 2 3 6 4" xfId="10886" xr:uid="{AE794A5C-E32C-4DCE-9E65-824B0CA02E03}"/>
    <cellStyle name="40% - Accent5 2 3 7" xfId="4588" xr:uid="{00000000-0005-0000-0000-00007E060000}"/>
    <cellStyle name="40% - Accent5 2 3 7 2" xfId="21486" xr:uid="{2BDB23FF-D955-4BC9-8B32-59A1C5BF6858}"/>
    <cellStyle name="40% - Accent5 2 3 7 3" xfId="13038" xr:uid="{5351FAD8-9DAF-4899-A88B-12176F9053DB}"/>
    <cellStyle name="40% - Accent5 2 3 8" xfId="17268" xr:uid="{CFA5A198-7077-4286-B310-2831FE896114}"/>
    <cellStyle name="40% - Accent5 2 3 9" xfId="8820" xr:uid="{1AE1C027-4010-4DAC-BB88-57877C42F1A5}"/>
    <cellStyle name="40% - Accent5 2 4" xfId="651" xr:uid="{00000000-0005-0000-0000-00007F060000}"/>
    <cellStyle name="40% - Accent5 2 4 2" xfId="2922" xr:uid="{00000000-0005-0000-0000-000080060000}"/>
    <cellStyle name="40% - Accent5 2 4 2 2" xfId="7144" xr:uid="{00000000-0005-0000-0000-000081060000}"/>
    <cellStyle name="40% - Accent5 2 4 2 2 2" xfId="24042" xr:uid="{8C5FA395-F045-4169-866E-445B4FE8BD53}"/>
    <cellStyle name="40% - Accent5 2 4 2 2 3" xfId="15594" xr:uid="{00F62801-1F38-43A3-A807-EEDF39DD627A}"/>
    <cellStyle name="40% - Accent5 2 4 2 3" xfId="19824" xr:uid="{759A3C0C-17C2-4F74-856D-1F4F7F60BD2B}"/>
    <cellStyle name="40% - Accent5 2 4 2 4" xfId="11376" xr:uid="{02739F55-D1A3-4069-88B1-ECBF1EFADD45}"/>
    <cellStyle name="40% - Accent5 2 4 3" xfId="4999" xr:uid="{00000000-0005-0000-0000-000082060000}"/>
    <cellStyle name="40% - Accent5 2 4 3 2" xfId="21897" xr:uid="{DB1A2193-9A29-4454-991A-3DBEEDE4DEBE}"/>
    <cellStyle name="40% - Accent5 2 4 3 3" xfId="13449" xr:uid="{972D5E97-0639-4ABD-A289-0289432C4714}"/>
    <cellStyle name="40% - Accent5 2 4 4" xfId="17679" xr:uid="{7A0A3A9A-5C44-46BF-8E5C-B3C6F4979302}"/>
    <cellStyle name="40% - Accent5 2 4 5" xfId="9231" xr:uid="{A14333F9-FFF5-47F6-9474-C7EEE3B5BE89}"/>
    <cellStyle name="40% - Accent5 2 5" xfId="1104" xr:uid="{00000000-0005-0000-0000-000083060000}"/>
    <cellStyle name="40% - Accent5 2 5 2" xfId="3335" xr:uid="{00000000-0005-0000-0000-000084060000}"/>
    <cellStyle name="40% - Accent5 2 5 2 2" xfId="7557" xr:uid="{00000000-0005-0000-0000-000085060000}"/>
    <cellStyle name="40% - Accent5 2 5 2 2 2" xfId="24455" xr:uid="{A7F02286-FD76-4874-9C12-0F363D0803A2}"/>
    <cellStyle name="40% - Accent5 2 5 2 2 3" xfId="16007" xr:uid="{0A2189CA-26B3-4676-9EA3-FD93E4ACBC8F}"/>
    <cellStyle name="40% - Accent5 2 5 2 3" xfId="20237" xr:uid="{328DC156-6D78-49F2-BE0E-A45961ABB83F}"/>
    <cellStyle name="40% - Accent5 2 5 2 4" xfId="11789" xr:uid="{96B04F1B-AB63-430A-B173-9C75412F62A4}"/>
    <cellStyle name="40% - Accent5 2 5 3" xfId="5412" xr:uid="{00000000-0005-0000-0000-000086060000}"/>
    <cellStyle name="40% - Accent5 2 5 3 2" xfId="22310" xr:uid="{A2F5A0E6-BB45-4FC7-9F9B-8C700D673EFE}"/>
    <cellStyle name="40% - Accent5 2 5 3 3" xfId="13862" xr:uid="{7DBB3574-57A8-4D01-9F89-C5CCB84D4419}"/>
    <cellStyle name="40% - Accent5 2 5 4" xfId="18092" xr:uid="{FA6D2A0C-9112-493A-A007-2775952EC326}"/>
    <cellStyle name="40% - Accent5 2 5 5" xfId="9644" xr:uid="{4B11A1F4-DD22-4A09-9BB5-A9941AA872EB}"/>
    <cellStyle name="40% - Accent5 2 6" xfId="1518" xr:uid="{00000000-0005-0000-0000-000087060000}"/>
    <cellStyle name="40% - Accent5 2 6 2" xfId="3748" xr:uid="{00000000-0005-0000-0000-000088060000}"/>
    <cellStyle name="40% - Accent5 2 6 2 2" xfId="7970" xr:uid="{00000000-0005-0000-0000-000089060000}"/>
    <cellStyle name="40% - Accent5 2 6 2 2 2" xfId="24868" xr:uid="{9A45A0DA-2FA4-4C36-A924-C8B07F197A55}"/>
    <cellStyle name="40% - Accent5 2 6 2 2 3" xfId="16420" xr:uid="{3B877A7C-5314-4876-8DEC-D901675A3018}"/>
    <cellStyle name="40% - Accent5 2 6 2 3" xfId="20650" xr:uid="{5C404975-6F91-4F42-8A96-DBE0C976525B}"/>
    <cellStyle name="40% - Accent5 2 6 2 4" xfId="12202" xr:uid="{FAA03775-BBD2-490F-B8FD-B5EF31AC2DCB}"/>
    <cellStyle name="40% - Accent5 2 6 3" xfId="5825" xr:uid="{00000000-0005-0000-0000-00008A060000}"/>
    <cellStyle name="40% - Accent5 2 6 3 2" xfId="22723" xr:uid="{D092602B-7703-42ED-AE0A-206DF302580D}"/>
    <cellStyle name="40% - Accent5 2 6 3 3" xfId="14275" xr:uid="{BFAC1F8A-259B-4CDA-8A16-CBE95BAB9C03}"/>
    <cellStyle name="40% - Accent5 2 6 4" xfId="18505" xr:uid="{2BB7DA74-3056-44C7-9574-06C917FA826B}"/>
    <cellStyle name="40% - Accent5 2 6 5" xfId="10057" xr:uid="{C1EBEE09-31C4-42C5-8AC8-8A92F7752741}"/>
    <cellStyle name="40% - Accent5 2 7" xfId="1932" xr:uid="{00000000-0005-0000-0000-00008B060000}"/>
    <cellStyle name="40% - Accent5 2 7 2" xfId="4161" xr:uid="{00000000-0005-0000-0000-00008C060000}"/>
    <cellStyle name="40% - Accent5 2 7 2 2" xfId="8383" xr:uid="{00000000-0005-0000-0000-00008D060000}"/>
    <cellStyle name="40% - Accent5 2 7 2 2 2" xfId="25281" xr:uid="{82E62E47-D659-42D3-8500-9A4FF0567F74}"/>
    <cellStyle name="40% - Accent5 2 7 2 2 3" xfId="16833" xr:uid="{10002F7E-16F8-463A-8FB1-8ADD8EA6362F}"/>
    <cellStyle name="40% - Accent5 2 7 2 3" xfId="21063" xr:uid="{C3333DCF-99B5-4135-B67F-9BE4BBF88131}"/>
    <cellStyle name="40% - Accent5 2 7 2 4" xfId="12615" xr:uid="{9051FEA5-A8CA-4509-8398-4F4F75273EE6}"/>
    <cellStyle name="40% - Accent5 2 7 3" xfId="6238" xr:uid="{00000000-0005-0000-0000-00008E060000}"/>
    <cellStyle name="40% - Accent5 2 7 3 2" xfId="23136" xr:uid="{6CC316D8-F29F-4CB6-A9FF-981AF952FE7E}"/>
    <cellStyle name="40% - Accent5 2 7 3 3" xfId="14688" xr:uid="{7D557380-03E4-4BAE-8D93-36D00A5793A2}"/>
    <cellStyle name="40% - Accent5 2 7 4" xfId="18918" xr:uid="{7B57C600-DAC0-4544-BEC0-0F18BAB652B7}"/>
    <cellStyle name="40% - Accent5 2 7 5" xfId="10470" xr:uid="{E0EB1F75-7DD8-4041-9312-F7005ABCACBE}"/>
    <cellStyle name="40% - Accent5 2 8" xfId="2345" xr:uid="{00000000-0005-0000-0000-00008F060000}"/>
    <cellStyle name="40% - Accent5 2 8 2" xfId="6651" xr:uid="{00000000-0005-0000-0000-000090060000}"/>
    <cellStyle name="40% - Accent5 2 8 2 2" xfId="23549" xr:uid="{73EA5E74-869D-4EC9-B304-2D8280FC9FDE}"/>
    <cellStyle name="40% - Accent5 2 8 2 3" xfId="15101" xr:uid="{2869104B-67BD-435F-89AE-C2B306B7FBA3}"/>
    <cellStyle name="40% - Accent5 2 8 3" xfId="19331" xr:uid="{EE7533AC-E506-4CAA-B3B3-8A4B43AC75B7}"/>
    <cellStyle name="40% - Accent5 2 8 4" xfId="10883" xr:uid="{D24C5F36-BF1A-4FE8-9140-F12564FAD163}"/>
    <cellStyle name="40% - Accent5 2 9" xfId="4585" xr:uid="{00000000-0005-0000-0000-000091060000}"/>
    <cellStyle name="40% - Accent5 2 9 2" xfId="21483" xr:uid="{333BEFCB-AD2D-4D44-A494-E67A16F8A17F}"/>
    <cellStyle name="40% - Accent5 2 9 3" xfId="13035" xr:uid="{B8AB3462-8A74-4C66-B091-6E2925462303}"/>
    <cellStyle name="40% - Accent5 3" xfId="86" xr:uid="{00000000-0005-0000-0000-000092060000}"/>
    <cellStyle name="40% - Accent5 3 10" xfId="8821" xr:uid="{5108D733-5F4B-4740-984D-D7BA7596D654}"/>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24047" xr:uid="{F741297B-CC85-4114-AF98-3810877B5E79}"/>
    <cellStyle name="40% - Accent5 3 2 2 2 2 3" xfId="15599" xr:uid="{6B8C70B2-B774-4316-89D7-E472FF023AAE}"/>
    <cellStyle name="40% - Accent5 3 2 2 2 3" xfId="19829" xr:uid="{2E5C4F3C-1B7D-4387-A070-A3BB3DDC99E8}"/>
    <cellStyle name="40% - Accent5 3 2 2 2 4" xfId="11381" xr:uid="{DB438451-0A77-42C6-8D62-1116A9B08AE2}"/>
    <cellStyle name="40% - Accent5 3 2 2 3" xfId="5004" xr:uid="{00000000-0005-0000-0000-000097060000}"/>
    <cellStyle name="40% - Accent5 3 2 2 3 2" xfId="21902" xr:uid="{7734F215-876D-49E9-ADF1-F8ACDAFBC451}"/>
    <cellStyle name="40% - Accent5 3 2 2 3 3" xfId="13454" xr:uid="{678791EF-7976-4C4F-917E-0D4F62091F03}"/>
    <cellStyle name="40% - Accent5 3 2 2 4" xfId="17684" xr:uid="{FC41E701-7F5C-4DCE-85BE-EF6780ABB1D9}"/>
    <cellStyle name="40% - Accent5 3 2 2 5" xfId="9236" xr:uid="{140690A1-5FBF-4CEF-B133-0FCBDB647DA1}"/>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24460" xr:uid="{D8EED460-DB86-4EC2-8788-C7AF09B6A68C}"/>
    <cellStyle name="40% - Accent5 3 2 3 2 2 3" xfId="16012" xr:uid="{DA3188B0-954F-427B-9D9E-EB1A6D4055A7}"/>
    <cellStyle name="40% - Accent5 3 2 3 2 3" xfId="20242" xr:uid="{D846BEA4-6D1F-4F11-9555-C2EFE67CAE80}"/>
    <cellStyle name="40% - Accent5 3 2 3 2 4" xfId="11794" xr:uid="{437A4567-ABEB-4B77-B942-6400BA6DBDA4}"/>
    <cellStyle name="40% - Accent5 3 2 3 3" xfId="5417" xr:uid="{00000000-0005-0000-0000-00009B060000}"/>
    <cellStyle name="40% - Accent5 3 2 3 3 2" xfId="22315" xr:uid="{EEE267C0-E697-4D69-94ED-7B40607DB875}"/>
    <cellStyle name="40% - Accent5 3 2 3 3 3" xfId="13867" xr:uid="{186A560D-537C-4D8A-9E75-170118ACBD5E}"/>
    <cellStyle name="40% - Accent5 3 2 3 4" xfId="18097" xr:uid="{A62EB050-B6DF-4ECA-A4DD-08290BFE8FAD}"/>
    <cellStyle name="40% - Accent5 3 2 3 5" xfId="9649" xr:uid="{48683FE1-051E-4276-BE40-62995342DEA9}"/>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24873" xr:uid="{AA01BA6A-7F42-48C6-94A6-55A9F1CA2358}"/>
    <cellStyle name="40% - Accent5 3 2 4 2 2 3" xfId="16425" xr:uid="{FD03E551-2EEC-436E-A320-38534EE70654}"/>
    <cellStyle name="40% - Accent5 3 2 4 2 3" xfId="20655" xr:uid="{5251E1E2-3C83-4EEC-9852-3E9B803BBD54}"/>
    <cellStyle name="40% - Accent5 3 2 4 2 4" xfId="12207" xr:uid="{527740A7-40BE-4541-AAE4-4301C0B4EEB4}"/>
    <cellStyle name="40% - Accent5 3 2 4 3" xfId="5830" xr:uid="{00000000-0005-0000-0000-00009F060000}"/>
    <cellStyle name="40% - Accent5 3 2 4 3 2" xfId="22728" xr:uid="{E47D2FA7-F78E-4EE5-B5DE-ADC6B8E38163}"/>
    <cellStyle name="40% - Accent5 3 2 4 3 3" xfId="14280" xr:uid="{91B228BF-F434-4837-91E3-8C73CD5CBDA3}"/>
    <cellStyle name="40% - Accent5 3 2 4 4" xfId="18510" xr:uid="{7ECF8B15-FE43-412E-A34D-2BDBCD3EB31B}"/>
    <cellStyle name="40% - Accent5 3 2 4 5" xfId="10062" xr:uid="{9CD8675B-28F6-4B7F-92A9-053235C137A9}"/>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25286" xr:uid="{6F3A3BDE-3A49-477D-857F-27DA49BE23D1}"/>
    <cellStyle name="40% - Accent5 3 2 5 2 2 3" xfId="16838" xr:uid="{7CAF0247-A7A1-401E-AA3B-5D753EF89063}"/>
    <cellStyle name="40% - Accent5 3 2 5 2 3" xfId="21068" xr:uid="{AF39D3F4-7BE7-41D2-966B-42DCFF8A3F44}"/>
    <cellStyle name="40% - Accent5 3 2 5 2 4" xfId="12620" xr:uid="{F0A14762-6C4B-46E5-A48F-2FE2144AA21C}"/>
    <cellStyle name="40% - Accent5 3 2 5 3" xfId="6243" xr:uid="{00000000-0005-0000-0000-0000A3060000}"/>
    <cellStyle name="40% - Accent5 3 2 5 3 2" xfId="23141" xr:uid="{D82B7452-CF96-42AA-AC79-AC9AC3AD4609}"/>
    <cellStyle name="40% - Accent5 3 2 5 3 3" xfId="14693" xr:uid="{CE82B472-81A5-451D-947C-3FD3388DEC9E}"/>
    <cellStyle name="40% - Accent5 3 2 5 4" xfId="18923" xr:uid="{49BAF8AB-63FD-4A82-9405-29FD63CE328B}"/>
    <cellStyle name="40% - Accent5 3 2 5 5" xfId="10475" xr:uid="{E51C0B14-128F-465A-9AFA-E5BDC9525ECF}"/>
    <cellStyle name="40% - Accent5 3 2 6" xfId="2350" xr:uid="{00000000-0005-0000-0000-0000A4060000}"/>
    <cellStyle name="40% - Accent5 3 2 6 2" xfId="6656" xr:uid="{00000000-0005-0000-0000-0000A5060000}"/>
    <cellStyle name="40% - Accent5 3 2 6 2 2" xfId="23554" xr:uid="{3CD88B4C-1586-4490-9E50-7C326D5CDE18}"/>
    <cellStyle name="40% - Accent5 3 2 6 2 3" xfId="15106" xr:uid="{CDEBD50D-A4F0-486B-842A-A4A04C9649D1}"/>
    <cellStyle name="40% - Accent5 3 2 6 3" xfId="19336" xr:uid="{0B97E600-1E83-43E4-BE32-3C6746FD7346}"/>
    <cellStyle name="40% - Accent5 3 2 6 4" xfId="10888" xr:uid="{3C8EDB0B-21F3-4427-9D23-962CBCA84A42}"/>
    <cellStyle name="40% - Accent5 3 2 7" xfId="4590" xr:uid="{00000000-0005-0000-0000-0000A6060000}"/>
    <cellStyle name="40% - Accent5 3 2 7 2" xfId="21488" xr:uid="{212BBCDA-1C3C-4389-ACB2-298A7D73C23A}"/>
    <cellStyle name="40% - Accent5 3 2 7 3" xfId="13040" xr:uid="{7930F2AD-48C7-4E3A-816D-E6935C13CE56}"/>
    <cellStyle name="40% - Accent5 3 2 8" xfId="17270" xr:uid="{87E09027-8FF3-422A-893C-3001AAA189F5}"/>
    <cellStyle name="40% - Accent5 3 2 9" xfId="8822" xr:uid="{690A8BCC-248C-4C86-AA5F-9444E1CDF3C6}"/>
    <cellStyle name="40% - Accent5 3 3" xfId="655" xr:uid="{00000000-0005-0000-0000-0000A7060000}"/>
    <cellStyle name="40% - Accent5 3 3 2" xfId="2926" xr:uid="{00000000-0005-0000-0000-0000A8060000}"/>
    <cellStyle name="40% - Accent5 3 3 2 2" xfId="7148" xr:uid="{00000000-0005-0000-0000-0000A9060000}"/>
    <cellStyle name="40% - Accent5 3 3 2 2 2" xfId="24046" xr:uid="{5DAD83F0-F5E2-4526-9782-E233F7167E9A}"/>
    <cellStyle name="40% - Accent5 3 3 2 2 3" xfId="15598" xr:uid="{0F035586-515E-4CF1-9E76-7A1461099CD6}"/>
    <cellStyle name="40% - Accent5 3 3 2 3" xfId="19828" xr:uid="{3C7EC995-80FF-4E31-95D0-056E39C1688A}"/>
    <cellStyle name="40% - Accent5 3 3 2 4" xfId="11380" xr:uid="{B7104B7A-AC11-43E9-9940-A61258AFE177}"/>
    <cellStyle name="40% - Accent5 3 3 3" xfId="5003" xr:uid="{00000000-0005-0000-0000-0000AA060000}"/>
    <cellStyle name="40% - Accent5 3 3 3 2" xfId="21901" xr:uid="{1658F906-7726-4FD7-A6CF-168C5A88AB4B}"/>
    <cellStyle name="40% - Accent5 3 3 3 3" xfId="13453" xr:uid="{4CE82DA5-229E-409C-BB9D-9985933CFA4E}"/>
    <cellStyle name="40% - Accent5 3 3 4" xfId="17683" xr:uid="{F3EE3157-5DC0-41CD-AA6F-C4FFF5DFE5DC}"/>
    <cellStyle name="40% - Accent5 3 3 5" xfId="9235" xr:uid="{D272DC02-E162-4DC5-B122-AD92A3ED0737}"/>
    <cellStyle name="40% - Accent5 3 4" xfId="1108" xr:uid="{00000000-0005-0000-0000-0000AB060000}"/>
    <cellStyle name="40% - Accent5 3 4 2" xfId="3339" xr:uid="{00000000-0005-0000-0000-0000AC060000}"/>
    <cellStyle name="40% - Accent5 3 4 2 2" xfId="7561" xr:uid="{00000000-0005-0000-0000-0000AD060000}"/>
    <cellStyle name="40% - Accent5 3 4 2 2 2" xfId="24459" xr:uid="{7458AF29-16BF-40A4-96C1-28D0B7BE2BC9}"/>
    <cellStyle name="40% - Accent5 3 4 2 2 3" xfId="16011" xr:uid="{90A87CE6-521D-4F4A-991E-A1610E58C5BA}"/>
    <cellStyle name="40% - Accent5 3 4 2 3" xfId="20241" xr:uid="{F35B5C78-6AA9-400C-B019-73DD55D26D49}"/>
    <cellStyle name="40% - Accent5 3 4 2 4" xfId="11793" xr:uid="{4164F9F0-FC24-483E-B262-313374F5870E}"/>
    <cellStyle name="40% - Accent5 3 4 3" xfId="5416" xr:uid="{00000000-0005-0000-0000-0000AE060000}"/>
    <cellStyle name="40% - Accent5 3 4 3 2" xfId="22314" xr:uid="{BC03C120-C719-4104-9AAE-E1C4B0BD2433}"/>
    <cellStyle name="40% - Accent5 3 4 3 3" xfId="13866" xr:uid="{BEC1B011-0007-4B31-B375-3EC8A359C5CF}"/>
    <cellStyle name="40% - Accent5 3 4 4" xfId="18096" xr:uid="{469FFE1F-ABD8-4ADB-9036-29C236F200C1}"/>
    <cellStyle name="40% - Accent5 3 4 5" xfId="9648" xr:uid="{4530AE2E-649E-446F-B41E-0AB3CE2CB2DC}"/>
    <cellStyle name="40% - Accent5 3 5" xfId="1522" xr:uid="{00000000-0005-0000-0000-0000AF060000}"/>
    <cellStyle name="40% - Accent5 3 5 2" xfId="3752" xr:uid="{00000000-0005-0000-0000-0000B0060000}"/>
    <cellStyle name="40% - Accent5 3 5 2 2" xfId="7974" xr:uid="{00000000-0005-0000-0000-0000B1060000}"/>
    <cellStyle name="40% - Accent5 3 5 2 2 2" xfId="24872" xr:uid="{3BC93A13-A6AC-43C4-9F8C-30BBD00BE280}"/>
    <cellStyle name="40% - Accent5 3 5 2 2 3" xfId="16424" xr:uid="{759A531B-BD0F-4D28-91EC-7ED715E2EEC4}"/>
    <cellStyle name="40% - Accent5 3 5 2 3" xfId="20654" xr:uid="{E2EB02C6-E3CA-4FF0-ABCD-BC738133853F}"/>
    <cellStyle name="40% - Accent5 3 5 2 4" xfId="12206" xr:uid="{B37B2C80-9EAD-479F-96BB-EB66BBB9C906}"/>
    <cellStyle name="40% - Accent5 3 5 3" xfId="5829" xr:uid="{00000000-0005-0000-0000-0000B2060000}"/>
    <cellStyle name="40% - Accent5 3 5 3 2" xfId="22727" xr:uid="{A4D0188A-1B0B-41AD-84FA-AB8DD24A0F10}"/>
    <cellStyle name="40% - Accent5 3 5 3 3" xfId="14279" xr:uid="{3029A7B4-9EAF-4FF4-8AAA-EBC7D01C9E0C}"/>
    <cellStyle name="40% - Accent5 3 5 4" xfId="18509" xr:uid="{9E040856-D406-4613-AC5C-D17E743A7104}"/>
    <cellStyle name="40% - Accent5 3 5 5" xfId="10061" xr:uid="{F834C3E0-B10D-46A6-8611-1F9C63936FE2}"/>
    <cellStyle name="40% - Accent5 3 6" xfId="1936" xr:uid="{00000000-0005-0000-0000-0000B3060000}"/>
    <cellStyle name="40% - Accent5 3 6 2" xfId="4165" xr:uid="{00000000-0005-0000-0000-0000B4060000}"/>
    <cellStyle name="40% - Accent5 3 6 2 2" xfId="8387" xr:uid="{00000000-0005-0000-0000-0000B5060000}"/>
    <cellStyle name="40% - Accent5 3 6 2 2 2" xfId="25285" xr:uid="{CD1A0F56-B5FB-4DA5-94C3-8E92DD16B2EA}"/>
    <cellStyle name="40% - Accent5 3 6 2 2 3" xfId="16837" xr:uid="{7ED812FF-615D-4E45-83F1-63CE77DE22B6}"/>
    <cellStyle name="40% - Accent5 3 6 2 3" xfId="21067" xr:uid="{4F04AD48-D53E-4C29-BB67-82485784F9B0}"/>
    <cellStyle name="40% - Accent5 3 6 2 4" xfId="12619" xr:uid="{3FE1D332-7922-4871-9259-5B49F41A84B6}"/>
    <cellStyle name="40% - Accent5 3 6 3" xfId="6242" xr:uid="{00000000-0005-0000-0000-0000B6060000}"/>
    <cellStyle name="40% - Accent5 3 6 3 2" xfId="23140" xr:uid="{DA3AF406-AE6B-4A49-8151-E6D300AD3143}"/>
    <cellStyle name="40% - Accent5 3 6 3 3" xfId="14692" xr:uid="{5BC8386B-B636-4142-915E-897DB7F6B375}"/>
    <cellStyle name="40% - Accent5 3 6 4" xfId="18922" xr:uid="{D943A314-E994-4441-92AA-9894F8D626A9}"/>
    <cellStyle name="40% - Accent5 3 6 5" xfId="10474" xr:uid="{8C14C373-D166-4A58-955A-F2820B9FBE14}"/>
    <cellStyle name="40% - Accent5 3 7" xfId="2349" xr:uid="{00000000-0005-0000-0000-0000B7060000}"/>
    <cellStyle name="40% - Accent5 3 7 2" xfId="6655" xr:uid="{00000000-0005-0000-0000-0000B8060000}"/>
    <cellStyle name="40% - Accent5 3 7 2 2" xfId="23553" xr:uid="{C41B56F5-53C2-41E9-9C07-302186B8BA46}"/>
    <cellStyle name="40% - Accent5 3 7 2 3" xfId="15105" xr:uid="{5C23EDFF-BAB0-4A90-89F7-FF8C8EF0F7B3}"/>
    <cellStyle name="40% - Accent5 3 7 3" xfId="19335" xr:uid="{3485F9FB-9712-4FFA-9206-C08D5C5EF045}"/>
    <cellStyle name="40% - Accent5 3 7 4" xfId="10887" xr:uid="{2AB6CF61-AA49-4543-AC27-BFCF64F41270}"/>
    <cellStyle name="40% - Accent5 3 8" xfId="4589" xr:uid="{00000000-0005-0000-0000-0000B9060000}"/>
    <cellStyle name="40% - Accent5 3 8 2" xfId="21487" xr:uid="{6BB0867D-7019-4DE5-A1FB-D40CC66126A8}"/>
    <cellStyle name="40% - Accent5 3 8 3" xfId="13039" xr:uid="{AE86197E-B8E8-499E-AE0A-8BC994B5387C}"/>
    <cellStyle name="40% - Accent5 3 9" xfId="17269" xr:uid="{27550CEF-7ED4-4258-8804-3B695122ACF2}"/>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2 2 2" xfId="24048" xr:uid="{459A74F8-1E73-42B0-A35C-C43724CCFDAD}"/>
    <cellStyle name="40% - Accent5 4 2 2 2 3" xfId="15600" xr:uid="{9A1AFEDB-0A41-4D20-BB93-DF610DD09B65}"/>
    <cellStyle name="40% - Accent5 4 2 2 3" xfId="19830" xr:uid="{758DCD04-B48C-44BF-900C-26BCB358839A}"/>
    <cellStyle name="40% - Accent5 4 2 2 4" xfId="11382" xr:uid="{6370133B-FBE0-4B90-B30E-11DC27CDEEBB}"/>
    <cellStyle name="40% - Accent5 4 2 3" xfId="5005" xr:uid="{00000000-0005-0000-0000-0000BE060000}"/>
    <cellStyle name="40% - Accent5 4 2 3 2" xfId="21903" xr:uid="{A53CEC86-300A-44A3-BDDA-A9782381A40D}"/>
    <cellStyle name="40% - Accent5 4 2 3 3" xfId="13455" xr:uid="{160F0F08-79A8-461E-8068-F644C722DE52}"/>
    <cellStyle name="40% - Accent5 4 2 4" xfId="17685" xr:uid="{3DEE1EB0-6309-49DC-A176-FEA72F99AC7D}"/>
    <cellStyle name="40% - Accent5 4 2 5" xfId="9237" xr:uid="{9B3D605D-9479-432C-BF74-671ADF883644}"/>
    <cellStyle name="40% - Accent5 4 3" xfId="1110" xr:uid="{00000000-0005-0000-0000-0000BF060000}"/>
    <cellStyle name="40% - Accent5 4 3 2" xfId="3341" xr:uid="{00000000-0005-0000-0000-0000C0060000}"/>
    <cellStyle name="40% - Accent5 4 3 2 2" xfId="7563" xr:uid="{00000000-0005-0000-0000-0000C1060000}"/>
    <cellStyle name="40% - Accent5 4 3 2 2 2" xfId="24461" xr:uid="{97D7D086-A2BD-483F-AD35-B48895AF99BD}"/>
    <cellStyle name="40% - Accent5 4 3 2 2 3" xfId="16013" xr:uid="{E0059655-F93D-43D4-955F-5633D50C5CB8}"/>
    <cellStyle name="40% - Accent5 4 3 2 3" xfId="20243" xr:uid="{528DFC2F-D4E7-4E9F-8EEC-5ABFE18360A5}"/>
    <cellStyle name="40% - Accent5 4 3 2 4" xfId="11795" xr:uid="{EDD1B631-BA9C-483B-BE6E-59FAA4B84131}"/>
    <cellStyle name="40% - Accent5 4 3 3" xfId="5418" xr:uid="{00000000-0005-0000-0000-0000C2060000}"/>
    <cellStyle name="40% - Accent5 4 3 3 2" xfId="22316" xr:uid="{B5B12D88-FD53-42CB-9B3D-EF8793AF9732}"/>
    <cellStyle name="40% - Accent5 4 3 3 3" xfId="13868" xr:uid="{2B106C6D-891C-466E-90AC-23EE3A9E5E7E}"/>
    <cellStyle name="40% - Accent5 4 3 4" xfId="18098" xr:uid="{6122AEE9-D205-4713-8165-6C2876D714A5}"/>
    <cellStyle name="40% - Accent5 4 3 5" xfId="9650" xr:uid="{4F20961C-B229-4EE1-A5FB-88DE80941AFC}"/>
    <cellStyle name="40% - Accent5 4 4" xfId="1524" xr:uid="{00000000-0005-0000-0000-0000C3060000}"/>
    <cellStyle name="40% - Accent5 4 4 2" xfId="3754" xr:uid="{00000000-0005-0000-0000-0000C4060000}"/>
    <cellStyle name="40% - Accent5 4 4 2 2" xfId="7976" xr:uid="{00000000-0005-0000-0000-0000C5060000}"/>
    <cellStyle name="40% - Accent5 4 4 2 2 2" xfId="24874" xr:uid="{3BDF5620-B120-47FE-96A5-8B6042A3639C}"/>
    <cellStyle name="40% - Accent5 4 4 2 2 3" xfId="16426" xr:uid="{541FEC45-011A-41FE-99CA-6FB925F2E4AB}"/>
    <cellStyle name="40% - Accent5 4 4 2 3" xfId="20656" xr:uid="{507BA05E-315C-4AC8-A6DB-D689D5F57B64}"/>
    <cellStyle name="40% - Accent5 4 4 2 4" xfId="12208" xr:uid="{5C979BFC-4274-42D7-A1E7-99FE924CAD0E}"/>
    <cellStyle name="40% - Accent5 4 4 3" xfId="5831" xr:uid="{00000000-0005-0000-0000-0000C6060000}"/>
    <cellStyle name="40% - Accent5 4 4 3 2" xfId="22729" xr:uid="{CF720475-02FF-4152-9A1A-90BB532A4346}"/>
    <cellStyle name="40% - Accent5 4 4 3 3" xfId="14281" xr:uid="{89DF4F28-FF66-4FF5-815D-E45BB2439A66}"/>
    <cellStyle name="40% - Accent5 4 4 4" xfId="18511" xr:uid="{60E3F40C-FA65-46E9-A3C4-7FAC96968BB1}"/>
    <cellStyle name="40% - Accent5 4 4 5" xfId="10063" xr:uid="{ECCDD42A-AD94-4F09-8363-5B1D1CA13D29}"/>
    <cellStyle name="40% - Accent5 4 5" xfId="1938" xr:uid="{00000000-0005-0000-0000-0000C7060000}"/>
    <cellStyle name="40% - Accent5 4 5 2" xfId="4167" xr:uid="{00000000-0005-0000-0000-0000C8060000}"/>
    <cellStyle name="40% - Accent5 4 5 2 2" xfId="8389" xr:uid="{00000000-0005-0000-0000-0000C9060000}"/>
    <cellStyle name="40% - Accent5 4 5 2 2 2" xfId="25287" xr:uid="{B1EAFC74-BEC2-4BC8-B3E4-0BF09AB628F7}"/>
    <cellStyle name="40% - Accent5 4 5 2 2 3" xfId="16839" xr:uid="{B3437CD7-80F1-4D2A-A4EC-06D5DD5E6381}"/>
    <cellStyle name="40% - Accent5 4 5 2 3" xfId="21069" xr:uid="{600FA3DD-6086-4B56-A982-4E4E93049DA3}"/>
    <cellStyle name="40% - Accent5 4 5 2 4" xfId="12621" xr:uid="{FCB01956-F0A0-463A-947E-6E0A7CE8C5C4}"/>
    <cellStyle name="40% - Accent5 4 5 3" xfId="6244" xr:uid="{00000000-0005-0000-0000-0000CA060000}"/>
    <cellStyle name="40% - Accent5 4 5 3 2" xfId="23142" xr:uid="{D043D837-3205-4B9B-862A-6F7E10038ABC}"/>
    <cellStyle name="40% - Accent5 4 5 3 3" xfId="14694" xr:uid="{3763BD7E-B4F6-4B11-8BDC-0D100B20FD69}"/>
    <cellStyle name="40% - Accent5 4 5 4" xfId="18924" xr:uid="{24E58C7C-0631-42A4-AB7F-9479E5135884}"/>
    <cellStyle name="40% - Accent5 4 5 5" xfId="10476" xr:uid="{32CE05BE-4C11-4851-8F92-73AEB7D1DC7D}"/>
    <cellStyle name="40% - Accent5 4 6" xfId="2351" xr:uid="{00000000-0005-0000-0000-0000CB060000}"/>
    <cellStyle name="40% - Accent5 4 6 2" xfId="6657" xr:uid="{00000000-0005-0000-0000-0000CC060000}"/>
    <cellStyle name="40% - Accent5 4 6 2 2" xfId="23555" xr:uid="{E38DB473-EF95-4A9F-980E-4EDF27565CF7}"/>
    <cellStyle name="40% - Accent5 4 6 2 3" xfId="15107" xr:uid="{9A222D45-5519-4503-8D64-8C99190FC8B9}"/>
    <cellStyle name="40% - Accent5 4 6 3" xfId="19337" xr:uid="{F85FBC7D-5973-41C2-9627-E6A35E33A9B7}"/>
    <cellStyle name="40% - Accent5 4 6 4" xfId="10889" xr:uid="{619DFB0F-4B31-4721-8391-A178863D890C}"/>
    <cellStyle name="40% - Accent5 4 7" xfId="4591" xr:uid="{00000000-0005-0000-0000-0000CD060000}"/>
    <cellStyle name="40% - Accent5 4 7 2" xfId="21489" xr:uid="{A6F3FF49-FD0F-4FA7-8049-FE6BBD2FC5AE}"/>
    <cellStyle name="40% - Accent5 4 7 3" xfId="13041" xr:uid="{012D8F5D-F19B-4F7F-96AF-433A617A0714}"/>
    <cellStyle name="40% - Accent5 4 8" xfId="17271" xr:uid="{6C7FCAEA-8B3C-4C4B-9E13-3F17465C6AC2}"/>
    <cellStyle name="40% - Accent5 4 9" xfId="8823" xr:uid="{03E2DDE2-0AFD-4D16-BD8C-B8B4F8C6DE2C}"/>
    <cellStyle name="40% - Accent5 5" xfId="650" xr:uid="{00000000-0005-0000-0000-0000CE060000}"/>
    <cellStyle name="40% - Accent5 5 2" xfId="2921" xr:uid="{00000000-0005-0000-0000-0000CF060000}"/>
    <cellStyle name="40% - Accent5 5 2 2" xfId="7143" xr:uid="{00000000-0005-0000-0000-0000D0060000}"/>
    <cellStyle name="40% - Accent5 5 2 2 2" xfId="24041" xr:uid="{0E59DA67-4E38-4848-B114-4B15B19FA732}"/>
    <cellStyle name="40% - Accent5 5 2 2 3" xfId="15593" xr:uid="{EB5DF958-4F06-43F1-A7FB-328CA8A59541}"/>
    <cellStyle name="40% - Accent5 5 2 3" xfId="19823" xr:uid="{86B4FFB1-F422-4B34-A809-C93554F15C1B}"/>
    <cellStyle name="40% - Accent5 5 2 4" xfId="11375" xr:uid="{58181FE9-ECD8-4B16-A81F-0033DB72B860}"/>
    <cellStyle name="40% - Accent5 5 3" xfId="4998" xr:uid="{00000000-0005-0000-0000-0000D1060000}"/>
    <cellStyle name="40% - Accent5 5 3 2" xfId="21896" xr:uid="{BE412C40-DC7D-4872-B7FF-CB9F298622E5}"/>
    <cellStyle name="40% - Accent5 5 3 3" xfId="13448" xr:uid="{73B1D731-56FD-4596-AC8D-ECA4FA08E8A7}"/>
    <cellStyle name="40% - Accent5 5 4" xfId="17678" xr:uid="{8D1F7DC7-D401-4604-85E1-60CFDAEC1010}"/>
    <cellStyle name="40% - Accent5 5 5" xfId="9230" xr:uid="{8752A580-B24D-43C2-B19F-93795DD5F3E4}"/>
    <cellStyle name="40% - Accent5 6" xfId="1103" xr:uid="{00000000-0005-0000-0000-0000D2060000}"/>
    <cellStyle name="40% - Accent5 6 2" xfId="3334" xr:uid="{00000000-0005-0000-0000-0000D3060000}"/>
    <cellStyle name="40% - Accent5 6 2 2" xfId="7556" xr:uid="{00000000-0005-0000-0000-0000D4060000}"/>
    <cellStyle name="40% - Accent5 6 2 2 2" xfId="24454" xr:uid="{D6DBD74F-A39B-4F31-A067-6096173F1EDB}"/>
    <cellStyle name="40% - Accent5 6 2 2 3" xfId="16006" xr:uid="{6A3BF723-9F61-40EE-AB3E-E6AEDD6EC2C6}"/>
    <cellStyle name="40% - Accent5 6 2 3" xfId="20236" xr:uid="{B8E299B9-E81D-4CD4-B45C-E4956529D145}"/>
    <cellStyle name="40% - Accent5 6 2 4" xfId="11788" xr:uid="{EE86E11E-5312-4D3D-AB51-BF323F6C9A9B}"/>
    <cellStyle name="40% - Accent5 6 3" xfId="5411" xr:uid="{00000000-0005-0000-0000-0000D5060000}"/>
    <cellStyle name="40% - Accent5 6 3 2" xfId="22309" xr:uid="{306208E3-8D99-49F0-9462-18AD53473A81}"/>
    <cellStyle name="40% - Accent5 6 3 3" xfId="13861" xr:uid="{A7923548-7B92-457F-873A-2E45EEF1BD8E}"/>
    <cellStyle name="40% - Accent5 6 4" xfId="18091" xr:uid="{2AD37E82-D0D0-493D-9083-111A93AEDF12}"/>
    <cellStyle name="40% - Accent5 6 5" xfId="9643" xr:uid="{6E4AB86E-7208-4C84-BEA0-A0E6C4961B3D}"/>
    <cellStyle name="40% - Accent5 7" xfId="1517" xr:uid="{00000000-0005-0000-0000-0000D6060000}"/>
    <cellStyle name="40% - Accent5 7 2" xfId="3747" xr:uid="{00000000-0005-0000-0000-0000D7060000}"/>
    <cellStyle name="40% - Accent5 7 2 2" xfId="7969" xr:uid="{00000000-0005-0000-0000-0000D8060000}"/>
    <cellStyle name="40% - Accent5 7 2 2 2" xfId="24867" xr:uid="{A53ECE97-C64C-46A5-8A51-4F9DB2BA5266}"/>
    <cellStyle name="40% - Accent5 7 2 2 3" xfId="16419" xr:uid="{B8B20843-CCFB-4473-BF50-2A7C6B989FFC}"/>
    <cellStyle name="40% - Accent5 7 2 3" xfId="20649" xr:uid="{7D23D52B-6858-4F00-AAFD-E298EFB53CBE}"/>
    <cellStyle name="40% - Accent5 7 2 4" xfId="12201" xr:uid="{78A34A62-5FFE-47FD-963E-017EA8ABE649}"/>
    <cellStyle name="40% - Accent5 7 3" xfId="5824" xr:uid="{00000000-0005-0000-0000-0000D9060000}"/>
    <cellStyle name="40% - Accent5 7 3 2" xfId="22722" xr:uid="{60E5CCD6-8004-4119-AA36-53A920B7FBEF}"/>
    <cellStyle name="40% - Accent5 7 3 3" xfId="14274" xr:uid="{9C3D13DF-AB30-4A40-B1C2-311072B91C15}"/>
    <cellStyle name="40% - Accent5 7 4" xfId="18504" xr:uid="{E597B9CE-E7DE-4899-96A8-70A15800DEC1}"/>
    <cellStyle name="40% - Accent5 7 5" xfId="10056" xr:uid="{2426D6E9-A6BF-4A28-A74C-E27C135DCB1C}"/>
    <cellStyle name="40% - Accent5 8" xfId="1931" xr:uid="{00000000-0005-0000-0000-0000DA060000}"/>
    <cellStyle name="40% - Accent5 8 2" xfId="4160" xr:uid="{00000000-0005-0000-0000-0000DB060000}"/>
    <cellStyle name="40% - Accent5 8 2 2" xfId="8382" xr:uid="{00000000-0005-0000-0000-0000DC060000}"/>
    <cellStyle name="40% - Accent5 8 2 2 2" xfId="25280" xr:uid="{9BFB38E5-D11A-4EDE-B056-2E40191D9AF9}"/>
    <cellStyle name="40% - Accent5 8 2 2 3" xfId="16832" xr:uid="{3BA3DBFA-ABB6-437C-B7F7-FA4454EEC9AF}"/>
    <cellStyle name="40% - Accent5 8 2 3" xfId="21062" xr:uid="{B87D3D92-5125-4583-8E00-42FC40DF9F19}"/>
    <cellStyle name="40% - Accent5 8 2 4" xfId="12614" xr:uid="{AE2E968D-6F22-4650-9EF3-E1123402A79F}"/>
    <cellStyle name="40% - Accent5 8 3" xfId="6237" xr:uid="{00000000-0005-0000-0000-0000DD060000}"/>
    <cellStyle name="40% - Accent5 8 3 2" xfId="23135" xr:uid="{2A152E22-2826-47D1-B01B-BF8AF46535DC}"/>
    <cellStyle name="40% - Accent5 8 3 3" xfId="14687" xr:uid="{7CED7EB9-D911-4EA0-8032-6505DDCFEF55}"/>
    <cellStyle name="40% - Accent5 8 4" xfId="18917" xr:uid="{D982F6D3-C6D8-4D35-8862-8DF12FAB8652}"/>
    <cellStyle name="40% - Accent5 8 5" xfId="10469" xr:uid="{0F8CC07F-0C0C-407F-BBD7-91093D34C476}"/>
    <cellStyle name="40% - Accent5 9" xfId="2344" xr:uid="{00000000-0005-0000-0000-0000DE060000}"/>
    <cellStyle name="40% - Accent5 9 2" xfId="6650" xr:uid="{00000000-0005-0000-0000-0000DF060000}"/>
    <cellStyle name="40% - Accent5 9 2 2" xfId="23548" xr:uid="{705CC46B-4CD4-4E6F-B9CB-36BD11223D29}"/>
    <cellStyle name="40% - Accent5 9 2 3" xfId="15100" xr:uid="{F5DB7A3E-AC18-4F68-9E43-0FEE5FCA3B45}"/>
    <cellStyle name="40% - Accent5 9 3" xfId="19330" xr:uid="{91C3039B-68F2-4625-9AEE-3E487C67FACE}"/>
    <cellStyle name="40% - Accent5 9 4" xfId="10882" xr:uid="{03FF63AC-E9C1-4BD1-9891-42EAA27CC2EA}"/>
    <cellStyle name="40% - Accent6" xfId="89" builtinId="51" customBuiltin="1"/>
    <cellStyle name="40% - Accent6 10" xfId="4592" xr:uid="{00000000-0005-0000-0000-0000E1060000}"/>
    <cellStyle name="40% - Accent6 10 2" xfId="21490" xr:uid="{A6D09026-4BAB-459B-A8A0-5DBB8674CCB9}"/>
    <cellStyle name="40% - Accent6 10 3" xfId="13042" xr:uid="{98CC80E1-047B-4096-BC50-94ACEE890FFE}"/>
    <cellStyle name="40% - Accent6 11" xfId="17272" xr:uid="{71BF06A7-5D70-4A61-ADD3-E560A9DFC684}"/>
    <cellStyle name="40% - Accent6 12" xfId="8824" xr:uid="{84C37B67-5CCD-4E81-BFEE-1B7E6780EA23}"/>
    <cellStyle name="40% - Accent6 2" xfId="90" xr:uid="{00000000-0005-0000-0000-0000E2060000}"/>
    <cellStyle name="40% - Accent6 2 10" xfId="17273" xr:uid="{470266AD-09AA-44B4-9700-DF66AD45E23E}"/>
    <cellStyle name="40% - Accent6 2 11" xfId="8825" xr:uid="{103CDA1C-1917-4CD0-9320-C0A3F34480B0}"/>
    <cellStyle name="40% - Accent6 2 2" xfId="91" xr:uid="{00000000-0005-0000-0000-0000E3060000}"/>
    <cellStyle name="40% - Accent6 2 2 10" xfId="8826" xr:uid="{4941906B-745C-4DAC-A452-BBDB1E623E13}"/>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24052" xr:uid="{02F21A43-AF77-4DB2-9421-CB9AC02F70CF}"/>
    <cellStyle name="40% - Accent6 2 2 2 2 2 2 3" xfId="15604" xr:uid="{1DF0883B-A1B3-4FC5-8988-EEB171FA7AE8}"/>
    <cellStyle name="40% - Accent6 2 2 2 2 2 3" xfId="19834" xr:uid="{4C306D45-F95E-4311-B2CD-D25F6FA6A6A5}"/>
    <cellStyle name="40% - Accent6 2 2 2 2 2 4" xfId="11386" xr:uid="{D9752A32-EED7-459C-AAC9-D8BC9BC88592}"/>
    <cellStyle name="40% - Accent6 2 2 2 2 3" xfId="5009" xr:uid="{00000000-0005-0000-0000-0000E8060000}"/>
    <cellStyle name="40% - Accent6 2 2 2 2 3 2" xfId="21907" xr:uid="{680E8DF7-4308-47AE-ADCF-F876F9A68057}"/>
    <cellStyle name="40% - Accent6 2 2 2 2 3 3" xfId="13459" xr:uid="{2A53355F-7DA8-49ED-829A-242E1475A9A5}"/>
    <cellStyle name="40% - Accent6 2 2 2 2 4" xfId="17689" xr:uid="{51BD1D2B-2457-4CD9-99A2-6E6C55E4ED17}"/>
    <cellStyle name="40% - Accent6 2 2 2 2 5" xfId="9241" xr:uid="{AF43633C-9DE1-4B5D-AD7B-DA106456DA69}"/>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24465" xr:uid="{A6B52F2F-799D-4E11-885E-96FA525FBE19}"/>
    <cellStyle name="40% - Accent6 2 2 2 3 2 2 3" xfId="16017" xr:uid="{2991334D-FD11-4A23-B5C1-FB012C98330B}"/>
    <cellStyle name="40% - Accent6 2 2 2 3 2 3" xfId="20247" xr:uid="{C58F5488-6104-437E-B8F2-CFA46FB7CEA5}"/>
    <cellStyle name="40% - Accent6 2 2 2 3 2 4" xfId="11799" xr:uid="{91FAF0E9-4011-4EE2-9B10-00EC13E27974}"/>
    <cellStyle name="40% - Accent6 2 2 2 3 3" xfId="5422" xr:uid="{00000000-0005-0000-0000-0000EC060000}"/>
    <cellStyle name="40% - Accent6 2 2 2 3 3 2" xfId="22320" xr:uid="{DBA323E4-6AD6-4B29-9038-86D38F645BA9}"/>
    <cellStyle name="40% - Accent6 2 2 2 3 3 3" xfId="13872" xr:uid="{8CA28EEA-5812-44F1-8F48-C7F409CC6D9E}"/>
    <cellStyle name="40% - Accent6 2 2 2 3 4" xfId="18102" xr:uid="{3D7A2FA4-A6B6-4592-B355-0283FD88389F}"/>
    <cellStyle name="40% - Accent6 2 2 2 3 5" xfId="9654" xr:uid="{66B60F95-87E1-4E32-8E15-5CFB9A545FDB}"/>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24878" xr:uid="{016D30A9-7919-4970-80A7-0FF088DA89FE}"/>
    <cellStyle name="40% - Accent6 2 2 2 4 2 2 3" xfId="16430" xr:uid="{EE569F8C-F52B-40BA-80C9-9B4509675534}"/>
    <cellStyle name="40% - Accent6 2 2 2 4 2 3" xfId="20660" xr:uid="{C2E14E36-1F34-4C2E-A810-A4868A50E011}"/>
    <cellStyle name="40% - Accent6 2 2 2 4 2 4" xfId="12212" xr:uid="{7424E06D-E2FC-4528-BA89-53A80EF652C3}"/>
    <cellStyle name="40% - Accent6 2 2 2 4 3" xfId="5835" xr:uid="{00000000-0005-0000-0000-0000F0060000}"/>
    <cellStyle name="40% - Accent6 2 2 2 4 3 2" xfId="22733" xr:uid="{05CC5419-A727-4904-865C-A2017C3B38E6}"/>
    <cellStyle name="40% - Accent6 2 2 2 4 3 3" xfId="14285" xr:uid="{BA89120B-624A-40A1-8586-EDA377444C91}"/>
    <cellStyle name="40% - Accent6 2 2 2 4 4" xfId="18515" xr:uid="{6E4C9FAC-6609-4111-BDB6-FAB1ADB8D149}"/>
    <cellStyle name="40% - Accent6 2 2 2 4 5" xfId="10067" xr:uid="{B5A0F61F-B338-4EBE-A345-999923C0DE12}"/>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25291" xr:uid="{44A54D6E-47F0-4FC1-879A-43ED3346178C}"/>
    <cellStyle name="40% - Accent6 2 2 2 5 2 2 3" xfId="16843" xr:uid="{79C44B01-2407-440F-B74B-EB881658DD12}"/>
    <cellStyle name="40% - Accent6 2 2 2 5 2 3" xfId="21073" xr:uid="{5968700F-3195-47CC-948B-37E9DA395E6D}"/>
    <cellStyle name="40% - Accent6 2 2 2 5 2 4" xfId="12625" xr:uid="{55D46BDC-FD37-484B-8B08-BE3668EB5223}"/>
    <cellStyle name="40% - Accent6 2 2 2 5 3" xfId="6248" xr:uid="{00000000-0005-0000-0000-0000F4060000}"/>
    <cellStyle name="40% - Accent6 2 2 2 5 3 2" xfId="23146" xr:uid="{13766568-6EDF-4511-9818-2BBAD44827BE}"/>
    <cellStyle name="40% - Accent6 2 2 2 5 3 3" xfId="14698" xr:uid="{644A65E3-9A23-4D7D-95D0-2775CF4D57A3}"/>
    <cellStyle name="40% - Accent6 2 2 2 5 4" xfId="18928" xr:uid="{5986CC56-A2AD-4AAA-A27F-D69F5F6EAA10}"/>
    <cellStyle name="40% - Accent6 2 2 2 5 5" xfId="10480" xr:uid="{F4D1C727-F3F3-48B2-817C-DD0542C539F3}"/>
    <cellStyle name="40% - Accent6 2 2 2 6" xfId="2355" xr:uid="{00000000-0005-0000-0000-0000F5060000}"/>
    <cellStyle name="40% - Accent6 2 2 2 6 2" xfId="6661" xr:uid="{00000000-0005-0000-0000-0000F6060000}"/>
    <cellStyle name="40% - Accent6 2 2 2 6 2 2" xfId="23559" xr:uid="{7AAD5196-47D1-4D87-95E9-51A2A23B64F2}"/>
    <cellStyle name="40% - Accent6 2 2 2 6 2 3" xfId="15111" xr:uid="{9A677559-BE38-4586-903B-EC712B8D4002}"/>
    <cellStyle name="40% - Accent6 2 2 2 6 3" xfId="19341" xr:uid="{C6D4ECFA-BDBC-4959-8569-668B167ED7CE}"/>
    <cellStyle name="40% - Accent6 2 2 2 6 4" xfId="10893" xr:uid="{056EC1F7-03B5-4A55-B637-EC635275ACC9}"/>
    <cellStyle name="40% - Accent6 2 2 2 7" xfId="4595" xr:uid="{00000000-0005-0000-0000-0000F7060000}"/>
    <cellStyle name="40% - Accent6 2 2 2 7 2" xfId="21493" xr:uid="{963F406C-2281-43E2-A6DA-B73DA7CE9C07}"/>
    <cellStyle name="40% - Accent6 2 2 2 7 3" xfId="13045" xr:uid="{E0CA70EC-EEE0-40CB-BB92-0F684E76F749}"/>
    <cellStyle name="40% - Accent6 2 2 2 8" xfId="17275" xr:uid="{8F982A24-835B-44F2-B1D4-0B96F7DD60A2}"/>
    <cellStyle name="40% - Accent6 2 2 2 9" xfId="8827" xr:uid="{E6F14EFB-C347-4530-BA82-541F4ADDC138}"/>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24051" xr:uid="{4B34918C-AE37-4A31-920C-05A0286A2DA9}"/>
    <cellStyle name="40% - Accent6 2 2 3 2 2 3" xfId="15603" xr:uid="{CE0AAB6C-DD06-4377-8D3C-DA3766B30E2B}"/>
    <cellStyle name="40% - Accent6 2 2 3 2 3" xfId="19833" xr:uid="{FE63BC99-B034-4291-B546-60DE17540757}"/>
    <cellStyle name="40% - Accent6 2 2 3 2 4" xfId="11385" xr:uid="{3A506E53-2350-4446-8916-B4A24ADDCBDA}"/>
    <cellStyle name="40% - Accent6 2 2 3 3" xfId="5008" xr:uid="{00000000-0005-0000-0000-0000FB060000}"/>
    <cellStyle name="40% - Accent6 2 2 3 3 2" xfId="21906" xr:uid="{547AD16D-171B-43ED-ABBE-E9F7118B4C59}"/>
    <cellStyle name="40% - Accent6 2 2 3 3 3" xfId="13458" xr:uid="{D6340A8F-A4E0-4A7B-9FFE-7C09AE923A6E}"/>
    <cellStyle name="40% - Accent6 2 2 3 4" xfId="17688" xr:uid="{95BD9C9F-00FF-42BF-BF0F-0ECE64F53420}"/>
    <cellStyle name="40% - Accent6 2 2 3 5" xfId="9240" xr:uid="{E32C9DB6-8493-4B8D-872A-601550AC53A4}"/>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24464" xr:uid="{D49BFC42-0327-4CDA-82A5-50A1C6A39C16}"/>
    <cellStyle name="40% - Accent6 2 2 4 2 2 3" xfId="16016" xr:uid="{6730484A-8878-49DC-836D-BC98711FDE72}"/>
    <cellStyle name="40% - Accent6 2 2 4 2 3" xfId="20246" xr:uid="{D0F2D886-CD33-406C-9D4F-58E0CE2A11D2}"/>
    <cellStyle name="40% - Accent6 2 2 4 2 4" xfId="11798" xr:uid="{FC1F85E3-C1BC-43CF-8B45-FC788D34891F}"/>
    <cellStyle name="40% - Accent6 2 2 4 3" xfId="5421" xr:uid="{00000000-0005-0000-0000-0000FF060000}"/>
    <cellStyle name="40% - Accent6 2 2 4 3 2" xfId="22319" xr:uid="{14368A2E-E257-42D8-BD02-0036AD9C91CB}"/>
    <cellStyle name="40% - Accent6 2 2 4 3 3" xfId="13871" xr:uid="{A5AF9AE3-538D-4138-8A3E-9DF9CE908D18}"/>
    <cellStyle name="40% - Accent6 2 2 4 4" xfId="18101" xr:uid="{3AA7BC6D-7062-4AAD-B407-5551910790F5}"/>
    <cellStyle name="40% - Accent6 2 2 4 5" xfId="9653" xr:uid="{4201ADFC-BE0B-4341-8119-841AC27D6297}"/>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24877" xr:uid="{32A0B241-9624-411C-B9E6-CDABE03515FD}"/>
    <cellStyle name="40% - Accent6 2 2 5 2 2 3" xfId="16429" xr:uid="{701CB802-4603-45C0-B6F2-A50669317BE1}"/>
    <cellStyle name="40% - Accent6 2 2 5 2 3" xfId="20659" xr:uid="{95CCFA82-C1B5-41A0-85C9-6699E52C4A30}"/>
    <cellStyle name="40% - Accent6 2 2 5 2 4" xfId="12211" xr:uid="{F291ACD9-677D-4579-87FA-02DD8FBB3213}"/>
    <cellStyle name="40% - Accent6 2 2 5 3" xfId="5834" xr:uid="{00000000-0005-0000-0000-000003070000}"/>
    <cellStyle name="40% - Accent6 2 2 5 3 2" xfId="22732" xr:uid="{603A3B63-7BFD-4DDC-A65B-8496FD6A530D}"/>
    <cellStyle name="40% - Accent6 2 2 5 3 3" xfId="14284" xr:uid="{1A707638-2115-49DF-A7B0-653530DADCC4}"/>
    <cellStyle name="40% - Accent6 2 2 5 4" xfId="18514" xr:uid="{CB6178F3-163E-4713-8BE2-5E7FD21B6307}"/>
    <cellStyle name="40% - Accent6 2 2 5 5" xfId="10066" xr:uid="{2E98133B-1FAB-4893-A078-7C3F1F560D80}"/>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25290" xr:uid="{1471B956-BC82-4C54-B761-7221C0C3D820}"/>
    <cellStyle name="40% - Accent6 2 2 6 2 2 3" xfId="16842" xr:uid="{26F3942E-472E-404E-940F-159DA4E16938}"/>
    <cellStyle name="40% - Accent6 2 2 6 2 3" xfId="21072" xr:uid="{F879AFAC-EC04-416E-A77A-DC55A84B5586}"/>
    <cellStyle name="40% - Accent6 2 2 6 2 4" xfId="12624" xr:uid="{43514C4F-1542-4284-A149-6D3685EFE815}"/>
    <cellStyle name="40% - Accent6 2 2 6 3" xfId="6247" xr:uid="{00000000-0005-0000-0000-000007070000}"/>
    <cellStyle name="40% - Accent6 2 2 6 3 2" xfId="23145" xr:uid="{5DF969F7-BCD3-41C7-B526-FF0352FC6A6A}"/>
    <cellStyle name="40% - Accent6 2 2 6 3 3" xfId="14697" xr:uid="{41415B6A-A8FB-477A-9D93-E1CC1C1E2513}"/>
    <cellStyle name="40% - Accent6 2 2 6 4" xfId="18927" xr:uid="{9658C78C-6CF3-4407-B8B5-26B1D666BE2B}"/>
    <cellStyle name="40% - Accent6 2 2 6 5" xfId="10479" xr:uid="{FA80AC81-5BDF-4E3C-B220-7E7E24CF8AF0}"/>
    <cellStyle name="40% - Accent6 2 2 7" xfId="2354" xr:uid="{00000000-0005-0000-0000-000008070000}"/>
    <cellStyle name="40% - Accent6 2 2 7 2" xfId="6660" xr:uid="{00000000-0005-0000-0000-000009070000}"/>
    <cellStyle name="40% - Accent6 2 2 7 2 2" xfId="23558" xr:uid="{C6BBFB74-D170-4300-9345-D7166AF8D8D4}"/>
    <cellStyle name="40% - Accent6 2 2 7 2 3" xfId="15110" xr:uid="{B559F0F9-C8D5-4DD8-BB08-995AD6F1655F}"/>
    <cellStyle name="40% - Accent6 2 2 7 3" xfId="19340" xr:uid="{BD3682E9-145F-490E-951C-C47A3FF12632}"/>
    <cellStyle name="40% - Accent6 2 2 7 4" xfId="10892" xr:uid="{F574002E-B818-4342-BF66-1BE285E2676C}"/>
    <cellStyle name="40% - Accent6 2 2 8" xfId="4594" xr:uid="{00000000-0005-0000-0000-00000A070000}"/>
    <cellStyle name="40% - Accent6 2 2 8 2" xfId="21492" xr:uid="{3707FFA3-415F-4E33-A390-39E31A347D51}"/>
    <cellStyle name="40% - Accent6 2 2 8 3" xfId="13044" xr:uid="{2BBC7FE8-9815-497C-89D0-ECD2B7F3F83E}"/>
    <cellStyle name="40% - Accent6 2 2 9" xfId="17274" xr:uid="{51F4B641-3AFC-48C8-A093-80DED2444999}"/>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24053" xr:uid="{C7389907-FF77-4552-9812-B41552F5B545}"/>
    <cellStyle name="40% - Accent6 2 3 2 2 2 3" xfId="15605" xr:uid="{01566302-B65F-4FC1-BAAB-AF7B3F52A5B2}"/>
    <cellStyle name="40% - Accent6 2 3 2 2 3" xfId="19835" xr:uid="{C174BA7E-ACDF-4325-9012-7D00489D2785}"/>
    <cellStyle name="40% - Accent6 2 3 2 2 4" xfId="11387" xr:uid="{E7D53E5F-A42A-4936-9F67-7EDEEC0398AA}"/>
    <cellStyle name="40% - Accent6 2 3 2 3" xfId="5010" xr:uid="{00000000-0005-0000-0000-00000F070000}"/>
    <cellStyle name="40% - Accent6 2 3 2 3 2" xfId="21908" xr:uid="{679E80DA-FCC3-4140-BF20-A27F9A37F793}"/>
    <cellStyle name="40% - Accent6 2 3 2 3 3" xfId="13460" xr:uid="{5C1D2401-BFFE-4863-89FA-4C73D6384CFE}"/>
    <cellStyle name="40% - Accent6 2 3 2 4" xfId="17690" xr:uid="{90C8CB29-9D79-4BB4-AF58-DB3B210C3126}"/>
    <cellStyle name="40% - Accent6 2 3 2 5" xfId="9242" xr:uid="{CA19C501-870F-4F44-9550-8613A074E648}"/>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24466" xr:uid="{5E8F1585-7CFB-4AFF-8046-4214885AF03F}"/>
    <cellStyle name="40% - Accent6 2 3 3 2 2 3" xfId="16018" xr:uid="{93D19726-30A2-4D8A-B643-9BD05F5B18C8}"/>
    <cellStyle name="40% - Accent6 2 3 3 2 3" xfId="20248" xr:uid="{86B70304-2977-4053-A1EA-5483E5438B7C}"/>
    <cellStyle name="40% - Accent6 2 3 3 2 4" xfId="11800" xr:uid="{1CAA82EF-60BB-430A-9DF9-6A59690EBB3C}"/>
    <cellStyle name="40% - Accent6 2 3 3 3" xfId="5423" xr:uid="{00000000-0005-0000-0000-000013070000}"/>
    <cellStyle name="40% - Accent6 2 3 3 3 2" xfId="22321" xr:uid="{4ABE2B82-564B-4369-91B4-D14CBA583280}"/>
    <cellStyle name="40% - Accent6 2 3 3 3 3" xfId="13873" xr:uid="{1564B8FA-64BB-4C4C-8DC3-56D02CA4BE5C}"/>
    <cellStyle name="40% - Accent6 2 3 3 4" xfId="18103" xr:uid="{4DE55CAC-E245-4E0B-AE58-E1FE6B1E1709}"/>
    <cellStyle name="40% - Accent6 2 3 3 5" xfId="9655" xr:uid="{5A128E80-C744-4553-88A3-BF65FA114362}"/>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24879" xr:uid="{E3710150-BEB4-470E-B017-9B0C5D80AF5A}"/>
    <cellStyle name="40% - Accent6 2 3 4 2 2 3" xfId="16431" xr:uid="{04600866-1AC3-494C-AA99-7883409C465A}"/>
    <cellStyle name="40% - Accent6 2 3 4 2 3" xfId="20661" xr:uid="{D56FAFAF-C617-4FCC-A2D3-6504A6C01259}"/>
    <cellStyle name="40% - Accent6 2 3 4 2 4" xfId="12213" xr:uid="{2CCB46C0-5F6E-4D34-B9F9-9CE690DD3FC9}"/>
    <cellStyle name="40% - Accent6 2 3 4 3" xfId="5836" xr:uid="{00000000-0005-0000-0000-000017070000}"/>
    <cellStyle name="40% - Accent6 2 3 4 3 2" xfId="22734" xr:uid="{65F1CE35-DBEE-42DF-8F19-A1CAFD35D2BD}"/>
    <cellStyle name="40% - Accent6 2 3 4 3 3" xfId="14286" xr:uid="{6FDCDB0D-83FF-4B6D-8168-A8A686528C6C}"/>
    <cellStyle name="40% - Accent6 2 3 4 4" xfId="18516" xr:uid="{C09CEA7C-5711-46B4-96FA-D9B146D9AEC2}"/>
    <cellStyle name="40% - Accent6 2 3 4 5" xfId="10068" xr:uid="{52E6F6BF-16F2-4E06-8C67-495741DDB108}"/>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25292" xr:uid="{017B5FB6-DA2B-4080-87A8-A6F383741B57}"/>
    <cellStyle name="40% - Accent6 2 3 5 2 2 3" xfId="16844" xr:uid="{EFCCB48C-E38D-4EAD-8858-878172982072}"/>
    <cellStyle name="40% - Accent6 2 3 5 2 3" xfId="21074" xr:uid="{AD491BAD-34A6-46D5-86E6-903DDEFB8181}"/>
    <cellStyle name="40% - Accent6 2 3 5 2 4" xfId="12626" xr:uid="{EB164ECB-486E-4976-9511-CAA80A8B0499}"/>
    <cellStyle name="40% - Accent6 2 3 5 3" xfId="6249" xr:uid="{00000000-0005-0000-0000-00001B070000}"/>
    <cellStyle name="40% - Accent6 2 3 5 3 2" xfId="23147" xr:uid="{A0E40CEA-BEDE-4804-A05C-DF5383DDEEA5}"/>
    <cellStyle name="40% - Accent6 2 3 5 3 3" xfId="14699" xr:uid="{DB6FD07E-FC79-4D91-BDFB-B8F97871AF49}"/>
    <cellStyle name="40% - Accent6 2 3 5 4" xfId="18929" xr:uid="{54D981C3-43D1-4322-BDD6-378B41712490}"/>
    <cellStyle name="40% - Accent6 2 3 5 5" xfId="10481" xr:uid="{3841FFA7-2108-42F8-BE25-0A63579B2FAE}"/>
    <cellStyle name="40% - Accent6 2 3 6" xfId="2356" xr:uid="{00000000-0005-0000-0000-00001C070000}"/>
    <cellStyle name="40% - Accent6 2 3 6 2" xfId="6662" xr:uid="{00000000-0005-0000-0000-00001D070000}"/>
    <cellStyle name="40% - Accent6 2 3 6 2 2" xfId="23560" xr:uid="{6B1D9D84-447F-4FB2-A140-6AC0743D7558}"/>
    <cellStyle name="40% - Accent6 2 3 6 2 3" xfId="15112" xr:uid="{6D193A45-223A-46B6-83F0-BE8502351A77}"/>
    <cellStyle name="40% - Accent6 2 3 6 3" xfId="19342" xr:uid="{4730A60E-B6B6-49E1-A4AC-A3F7FC070D1A}"/>
    <cellStyle name="40% - Accent6 2 3 6 4" xfId="10894" xr:uid="{308734F0-A742-444C-B88B-3F66DF83AC5E}"/>
    <cellStyle name="40% - Accent6 2 3 7" xfId="4596" xr:uid="{00000000-0005-0000-0000-00001E070000}"/>
    <cellStyle name="40% - Accent6 2 3 7 2" xfId="21494" xr:uid="{35584C01-A256-405B-AF52-7D89032B386C}"/>
    <cellStyle name="40% - Accent6 2 3 7 3" xfId="13046" xr:uid="{A31B60BA-85A6-4F77-86E1-77FA29609CB6}"/>
    <cellStyle name="40% - Accent6 2 3 8" xfId="17276" xr:uid="{428A8E65-3D4F-4EEF-88F1-49AECFB6E6EF}"/>
    <cellStyle name="40% - Accent6 2 3 9" xfId="8828" xr:uid="{A550A05F-E3F1-443E-8FD3-358132E95E56}"/>
    <cellStyle name="40% - Accent6 2 4" xfId="659" xr:uid="{00000000-0005-0000-0000-00001F070000}"/>
    <cellStyle name="40% - Accent6 2 4 2" xfId="2930" xr:uid="{00000000-0005-0000-0000-000020070000}"/>
    <cellStyle name="40% - Accent6 2 4 2 2" xfId="7152" xr:uid="{00000000-0005-0000-0000-000021070000}"/>
    <cellStyle name="40% - Accent6 2 4 2 2 2" xfId="24050" xr:uid="{4052BBC2-49B6-489B-B268-74439995F84C}"/>
    <cellStyle name="40% - Accent6 2 4 2 2 3" xfId="15602" xr:uid="{74334EEA-85CD-490B-BF98-4EC44E03CF45}"/>
    <cellStyle name="40% - Accent6 2 4 2 3" xfId="19832" xr:uid="{FCF5DA73-CF88-4DD3-9288-1097A1B80068}"/>
    <cellStyle name="40% - Accent6 2 4 2 4" xfId="11384" xr:uid="{5F3229F0-132C-4840-BD86-9F0337D26BCF}"/>
    <cellStyle name="40% - Accent6 2 4 3" xfId="5007" xr:uid="{00000000-0005-0000-0000-000022070000}"/>
    <cellStyle name="40% - Accent6 2 4 3 2" xfId="21905" xr:uid="{D6B196DE-AD3E-4E5F-9AC2-2532C2ED2F73}"/>
    <cellStyle name="40% - Accent6 2 4 3 3" xfId="13457" xr:uid="{CD42E283-9A76-48F8-8E8F-9E46AC6D8A66}"/>
    <cellStyle name="40% - Accent6 2 4 4" xfId="17687" xr:uid="{9391559E-2B4E-4E77-982D-326352B4D75B}"/>
    <cellStyle name="40% - Accent6 2 4 5" xfId="9239" xr:uid="{E29B1C77-6213-408D-AA73-73B8B0006D4F}"/>
    <cellStyle name="40% - Accent6 2 5" xfId="1112" xr:uid="{00000000-0005-0000-0000-000023070000}"/>
    <cellStyle name="40% - Accent6 2 5 2" xfId="3343" xr:uid="{00000000-0005-0000-0000-000024070000}"/>
    <cellStyle name="40% - Accent6 2 5 2 2" xfId="7565" xr:uid="{00000000-0005-0000-0000-000025070000}"/>
    <cellStyle name="40% - Accent6 2 5 2 2 2" xfId="24463" xr:uid="{AFA3D5E3-21BA-48D8-AC48-6DE6FD20181C}"/>
    <cellStyle name="40% - Accent6 2 5 2 2 3" xfId="16015" xr:uid="{F6B2787E-8427-44FC-BDA9-7678256076B6}"/>
    <cellStyle name="40% - Accent6 2 5 2 3" xfId="20245" xr:uid="{3746E695-B592-434A-A094-6315017FDD18}"/>
    <cellStyle name="40% - Accent6 2 5 2 4" xfId="11797" xr:uid="{F34BEB9C-F4F9-428F-804A-4C171E84E51D}"/>
    <cellStyle name="40% - Accent6 2 5 3" xfId="5420" xr:uid="{00000000-0005-0000-0000-000026070000}"/>
    <cellStyle name="40% - Accent6 2 5 3 2" xfId="22318" xr:uid="{55925386-192D-43F0-9D31-ED3256726EC4}"/>
    <cellStyle name="40% - Accent6 2 5 3 3" xfId="13870" xr:uid="{8F33A076-6D92-4648-A253-4886EB3ACACC}"/>
    <cellStyle name="40% - Accent6 2 5 4" xfId="18100" xr:uid="{B12CDAE8-425F-43F3-9CBD-D167750BF3A8}"/>
    <cellStyle name="40% - Accent6 2 5 5" xfId="9652" xr:uid="{1D94AAC4-0951-4293-BAFB-00D6203D981C}"/>
    <cellStyle name="40% - Accent6 2 6" xfId="1526" xr:uid="{00000000-0005-0000-0000-000027070000}"/>
    <cellStyle name="40% - Accent6 2 6 2" xfId="3756" xr:uid="{00000000-0005-0000-0000-000028070000}"/>
    <cellStyle name="40% - Accent6 2 6 2 2" xfId="7978" xr:uid="{00000000-0005-0000-0000-000029070000}"/>
    <cellStyle name="40% - Accent6 2 6 2 2 2" xfId="24876" xr:uid="{20ADE082-EB0D-4FAF-A641-C4B7BBA99D43}"/>
    <cellStyle name="40% - Accent6 2 6 2 2 3" xfId="16428" xr:uid="{9234F955-680A-44FE-BDDA-6664AAE95D59}"/>
    <cellStyle name="40% - Accent6 2 6 2 3" xfId="20658" xr:uid="{A6ABEE0F-69FB-4BA1-9B95-16221FCE7136}"/>
    <cellStyle name="40% - Accent6 2 6 2 4" xfId="12210" xr:uid="{C0D64CCB-EAB9-4E09-B5DB-0247B9F318DA}"/>
    <cellStyle name="40% - Accent6 2 6 3" xfId="5833" xr:uid="{00000000-0005-0000-0000-00002A070000}"/>
    <cellStyle name="40% - Accent6 2 6 3 2" xfId="22731" xr:uid="{134B611B-CAB5-4C30-862A-60031EE27D6E}"/>
    <cellStyle name="40% - Accent6 2 6 3 3" xfId="14283" xr:uid="{4AAE7F10-4083-4369-922B-AD3B8EF9E02A}"/>
    <cellStyle name="40% - Accent6 2 6 4" xfId="18513" xr:uid="{30764955-05C8-4906-9446-B248C5F2CD1A}"/>
    <cellStyle name="40% - Accent6 2 6 5" xfId="10065" xr:uid="{3B009543-2013-4081-92DA-0D2B3393ACA2}"/>
    <cellStyle name="40% - Accent6 2 7" xfId="1940" xr:uid="{00000000-0005-0000-0000-00002B070000}"/>
    <cellStyle name="40% - Accent6 2 7 2" xfId="4169" xr:uid="{00000000-0005-0000-0000-00002C070000}"/>
    <cellStyle name="40% - Accent6 2 7 2 2" xfId="8391" xr:uid="{00000000-0005-0000-0000-00002D070000}"/>
    <cellStyle name="40% - Accent6 2 7 2 2 2" xfId="25289" xr:uid="{E6C0D1E2-9DDB-496B-912F-9AF7EEDF1904}"/>
    <cellStyle name="40% - Accent6 2 7 2 2 3" xfId="16841" xr:uid="{DBD2A547-5D13-4EAC-AEF1-F08F30F4C302}"/>
    <cellStyle name="40% - Accent6 2 7 2 3" xfId="21071" xr:uid="{4CE206CF-0E50-4724-9D40-D9CD5F204B2D}"/>
    <cellStyle name="40% - Accent6 2 7 2 4" xfId="12623" xr:uid="{04A646E7-6A86-4D9B-A0E3-2A869B714FF4}"/>
    <cellStyle name="40% - Accent6 2 7 3" xfId="6246" xr:uid="{00000000-0005-0000-0000-00002E070000}"/>
    <cellStyle name="40% - Accent6 2 7 3 2" xfId="23144" xr:uid="{4CC4C27E-5FBA-41D4-B9F7-455F8546E501}"/>
    <cellStyle name="40% - Accent6 2 7 3 3" xfId="14696" xr:uid="{E8FA4C1B-877A-4112-9862-754B27A60F53}"/>
    <cellStyle name="40% - Accent6 2 7 4" xfId="18926" xr:uid="{0250485C-7A3D-4303-8D46-6345B34EADDF}"/>
    <cellStyle name="40% - Accent6 2 7 5" xfId="10478" xr:uid="{0808F397-A5E7-403B-A6E5-7E1BFA0A0D88}"/>
    <cellStyle name="40% - Accent6 2 8" xfId="2353" xr:uid="{00000000-0005-0000-0000-00002F070000}"/>
    <cellStyle name="40% - Accent6 2 8 2" xfId="6659" xr:uid="{00000000-0005-0000-0000-000030070000}"/>
    <cellStyle name="40% - Accent6 2 8 2 2" xfId="23557" xr:uid="{325E600A-A32E-4791-9E36-917F74E77E54}"/>
    <cellStyle name="40% - Accent6 2 8 2 3" xfId="15109" xr:uid="{FEDD09A8-330A-4919-9F89-D55AFFE9DADC}"/>
    <cellStyle name="40% - Accent6 2 8 3" xfId="19339" xr:uid="{6F2230B6-D935-4CDA-BAD7-7C7E3A4C3445}"/>
    <cellStyle name="40% - Accent6 2 8 4" xfId="10891" xr:uid="{1EF3DECB-DE0B-4179-ACA0-685D418BC19C}"/>
    <cellStyle name="40% - Accent6 2 9" xfId="4593" xr:uid="{00000000-0005-0000-0000-000031070000}"/>
    <cellStyle name="40% - Accent6 2 9 2" xfId="21491" xr:uid="{34815FAB-0C02-4BF5-92D4-2F020D041BDB}"/>
    <cellStyle name="40% - Accent6 2 9 3" xfId="13043" xr:uid="{B4BF94F0-8A87-4B4B-8AB4-76DC469F5BCD}"/>
    <cellStyle name="40% - Accent6 3" xfId="94" xr:uid="{00000000-0005-0000-0000-000032070000}"/>
    <cellStyle name="40% - Accent6 3 10" xfId="8829" xr:uid="{01D225B5-D43E-4999-A4E0-521FC79D82C6}"/>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24055" xr:uid="{E0F261E8-22F0-46B6-B529-EC0E54137D9B}"/>
    <cellStyle name="40% - Accent6 3 2 2 2 2 3" xfId="15607" xr:uid="{B1A848D7-1519-4D7A-B0C5-FAE1098C7A00}"/>
    <cellStyle name="40% - Accent6 3 2 2 2 3" xfId="19837" xr:uid="{7BCC221D-20FB-45E0-AEF0-F05012182236}"/>
    <cellStyle name="40% - Accent6 3 2 2 2 4" xfId="11389" xr:uid="{B84C9D54-27F5-4773-A832-B2954F15DBDF}"/>
    <cellStyle name="40% - Accent6 3 2 2 3" xfId="5012" xr:uid="{00000000-0005-0000-0000-000037070000}"/>
    <cellStyle name="40% - Accent6 3 2 2 3 2" xfId="21910" xr:uid="{885E6547-4D8E-4927-9AB1-4444652F6583}"/>
    <cellStyle name="40% - Accent6 3 2 2 3 3" xfId="13462" xr:uid="{D6236CCC-A8AF-4383-9C47-F3BA0868834D}"/>
    <cellStyle name="40% - Accent6 3 2 2 4" xfId="17692" xr:uid="{45A2112B-99C6-46CA-B139-2D98A4764FF7}"/>
    <cellStyle name="40% - Accent6 3 2 2 5" xfId="9244" xr:uid="{AE51FD2A-A5C7-42A1-977D-E6DFAEE7686C}"/>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24468" xr:uid="{C82607A2-66B6-4354-96F3-4556BE4D0584}"/>
    <cellStyle name="40% - Accent6 3 2 3 2 2 3" xfId="16020" xr:uid="{19125B76-35DE-4D9E-846E-CD1ADC805236}"/>
    <cellStyle name="40% - Accent6 3 2 3 2 3" xfId="20250" xr:uid="{4D0B4FD8-1DA2-4FBC-A460-55654523CF10}"/>
    <cellStyle name="40% - Accent6 3 2 3 2 4" xfId="11802" xr:uid="{60A9958B-9C85-4650-84AA-7BCB842FDB35}"/>
    <cellStyle name="40% - Accent6 3 2 3 3" xfId="5425" xr:uid="{00000000-0005-0000-0000-00003B070000}"/>
    <cellStyle name="40% - Accent6 3 2 3 3 2" xfId="22323" xr:uid="{188D4551-4B86-4115-A25E-BE643255D8D2}"/>
    <cellStyle name="40% - Accent6 3 2 3 3 3" xfId="13875" xr:uid="{02EEA344-ECDB-49DA-93CD-0DA7FE004B3B}"/>
    <cellStyle name="40% - Accent6 3 2 3 4" xfId="18105" xr:uid="{087FE7F0-ACAF-49A9-A449-ECEF184C5F8E}"/>
    <cellStyle name="40% - Accent6 3 2 3 5" xfId="9657" xr:uid="{480CB5F3-C3CF-4C11-8B3F-F1B8B6BF49BD}"/>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24881" xr:uid="{2149BAB2-D4BC-4342-95E2-C44FF75AA156}"/>
    <cellStyle name="40% - Accent6 3 2 4 2 2 3" xfId="16433" xr:uid="{BBEB2D44-CDBB-45A0-A9E5-113F2A68A58D}"/>
    <cellStyle name="40% - Accent6 3 2 4 2 3" xfId="20663" xr:uid="{4B30768E-5478-4BD8-8AC7-F22FF9A98679}"/>
    <cellStyle name="40% - Accent6 3 2 4 2 4" xfId="12215" xr:uid="{BB437275-CE7C-4EDC-B1B7-572FA160BD21}"/>
    <cellStyle name="40% - Accent6 3 2 4 3" xfId="5838" xr:uid="{00000000-0005-0000-0000-00003F070000}"/>
    <cellStyle name="40% - Accent6 3 2 4 3 2" xfId="22736" xr:uid="{929A6594-E053-4837-893C-6B2A02980D98}"/>
    <cellStyle name="40% - Accent6 3 2 4 3 3" xfId="14288" xr:uid="{C15F62A2-B139-4E81-AB3D-FB4C64592D09}"/>
    <cellStyle name="40% - Accent6 3 2 4 4" xfId="18518" xr:uid="{9AE2215F-1B79-4FC7-965D-D9CB54D95D48}"/>
    <cellStyle name="40% - Accent6 3 2 4 5" xfId="10070" xr:uid="{AFF0A471-FDA9-4879-A2E0-66FEB583F16F}"/>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25294" xr:uid="{8813B241-8B73-4FCD-9C4A-E077757E97C9}"/>
    <cellStyle name="40% - Accent6 3 2 5 2 2 3" xfId="16846" xr:uid="{527F98EA-DC0D-4484-A390-8CA637C01F67}"/>
    <cellStyle name="40% - Accent6 3 2 5 2 3" xfId="21076" xr:uid="{1D049D19-8680-4496-A69D-850D29F2372B}"/>
    <cellStyle name="40% - Accent6 3 2 5 2 4" xfId="12628" xr:uid="{3B5BFFD7-6273-4F26-9250-8C49CBAA1A7B}"/>
    <cellStyle name="40% - Accent6 3 2 5 3" xfId="6251" xr:uid="{00000000-0005-0000-0000-000043070000}"/>
    <cellStyle name="40% - Accent6 3 2 5 3 2" xfId="23149" xr:uid="{06E7C234-2C10-4919-9623-C504C641F4DD}"/>
    <cellStyle name="40% - Accent6 3 2 5 3 3" xfId="14701" xr:uid="{59DB052C-DA4A-4080-9983-65F5D532F8C7}"/>
    <cellStyle name="40% - Accent6 3 2 5 4" xfId="18931" xr:uid="{F94F35FB-559E-4D55-84C7-93EC4D05F9CC}"/>
    <cellStyle name="40% - Accent6 3 2 5 5" xfId="10483" xr:uid="{3AC320DC-941D-4A9F-9D68-9769E0CF99CE}"/>
    <cellStyle name="40% - Accent6 3 2 6" xfId="2358" xr:uid="{00000000-0005-0000-0000-000044070000}"/>
    <cellStyle name="40% - Accent6 3 2 6 2" xfId="6664" xr:uid="{00000000-0005-0000-0000-000045070000}"/>
    <cellStyle name="40% - Accent6 3 2 6 2 2" xfId="23562" xr:uid="{AB26F789-F4B0-47AA-9D41-806184C5B55C}"/>
    <cellStyle name="40% - Accent6 3 2 6 2 3" xfId="15114" xr:uid="{BFC88620-4F7B-46FB-ACFF-6E048023E77E}"/>
    <cellStyle name="40% - Accent6 3 2 6 3" xfId="19344" xr:uid="{D50E6D82-FC3D-4268-ABCF-7021256B57F5}"/>
    <cellStyle name="40% - Accent6 3 2 6 4" xfId="10896" xr:uid="{36014D04-D5C7-4843-B3C4-80C5D74C52D3}"/>
    <cellStyle name="40% - Accent6 3 2 7" xfId="4598" xr:uid="{00000000-0005-0000-0000-000046070000}"/>
    <cellStyle name="40% - Accent6 3 2 7 2" xfId="21496" xr:uid="{B894D600-A96B-40D8-884E-C88ACF681104}"/>
    <cellStyle name="40% - Accent6 3 2 7 3" xfId="13048" xr:uid="{C4C6F9F3-9318-45F7-8355-F96C378732CA}"/>
    <cellStyle name="40% - Accent6 3 2 8" xfId="17278" xr:uid="{7BACD890-5462-4DF6-9DF2-CA06FE57F727}"/>
    <cellStyle name="40% - Accent6 3 2 9" xfId="8830" xr:uid="{278B1544-AD3E-4D66-BD99-24360BEF204A}"/>
    <cellStyle name="40% - Accent6 3 3" xfId="663" xr:uid="{00000000-0005-0000-0000-000047070000}"/>
    <cellStyle name="40% - Accent6 3 3 2" xfId="2934" xr:uid="{00000000-0005-0000-0000-000048070000}"/>
    <cellStyle name="40% - Accent6 3 3 2 2" xfId="7156" xr:uid="{00000000-0005-0000-0000-000049070000}"/>
    <cellStyle name="40% - Accent6 3 3 2 2 2" xfId="24054" xr:uid="{8BB6BAA6-3FB8-433E-A5EB-8816650D4C16}"/>
    <cellStyle name="40% - Accent6 3 3 2 2 3" xfId="15606" xr:uid="{074E3D17-AEDD-4468-A0EC-34D6E8B05126}"/>
    <cellStyle name="40% - Accent6 3 3 2 3" xfId="19836" xr:uid="{66074452-92A4-46A9-8B79-4EA6BB113312}"/>
    <cellStyle name="40% - Accent6 3 3 2 4" xfId="11388" xr:uid="{1FF39A1A-47E4-4731-B211-02494FDAE43B}"/>
    <cellStyle name="40% - Accent6 3 3 3" xfId="5011" xr:uid="{00000000-0005-0000-0000-00004A070000}"/>
    <cellStyle name="40% - Accent6 3 3 3 2" xfId="21909" xr:uid="{AE73FC77-D805-4D32-9DDD-68BCF7AA16A7}"/>
    <cellStyle name="40% - Accent6 3 3 3 3" xfId="13461" xr:uid="{9B8181D7-AC07-4057-AD35-05C2D25B5238}"/>
    <cellStyle name="40% - Accent6 3 3 4" xfId="17691" xr:uid="{69391CA0-B833-48A0-B639-7C93D916E5D7}"/>
    <cellStyle name="40% - Accent6 3 3 5" xfId="9243" xr:uid="{8E72AE8E-94A1-495C-AD3E-07ABF1ABE36B}"/>
    <cellStyle name="40% - Accent6 3 4" xfId="1116" xr:uid="{00000000-0005-0000-0000-00004B070000}"/>
    <cellStyle name="40% - Accent6 3 4 2" xfId="3347" xr:uid="{00000000-0005-0000-0000-00004C070000}"/>
    <cellStyle name="40% - Accent6 3 4 2 2" xfId="7569" xr:uid="{00000000-0005-0000-0000-00004D070000}"/>
    <cellStyle name="40% - Accent6 3 4 2 2 2" xfId="24467" xr:uid="{5C647B51-916C-4FC0-B97D-6D225C44E461}"/>
    <cellStyle name="40% - Accent6 3 4 2 2 3" xfId="16019" xr:uid="{3C93C739-EC22-49B4-AA5E-154CC54FEC27}"/>
    <cellStyle name="40% - Accent6 3 4 2 3" xfId="20249" xr:uid="{AB13D582-34B5-4581-9C6C-8BD70F2E91A7}"/>
    <cellStyle name="40% - Accent6 3 4 2 4" xfId="11801" xr:uid="{0C0BADE9-3748-4E1E-84BF-BCB1594380F1}"/>
    <cellStyle name="40% - Accent6 3 4 3" xfId="5424" xr:uid="{00000000-0005-0000-0000-00004E070000}"/>
    <cellStyle name="40% - Accent6 3 4 3 2" xfId="22322" xr:uid="{9FF1063E-9F2C-467B-A24D-94E47C68E8E5}"/>
    <cellStyle name="40% - Accent6 3 4 3 3" xfId="13874" xr:uid="{F041A8BC-EB9A-48EE-B8DA-E1EB23F63311}"/>
    <cellStyle name="40% - Accent6 3 4 4" xfId="18104" xr:uid="{9A247688-B719-44B0-8E21-3BD87B016341}"/>
    <cellStyle name="40% - Accent6 3 4 5" xfId="9656" xr:uid="{4C326A3B-B419-4468-B15D-59C9F7F5D4FB}"/>
    <cellStyle name="40% - Accent6 3 5" xfId="1530" xr:uid="{00000000-0005-0000-0000-00004F070000}"/>
    <cellStyle name="40% - Accent6 3 5 2" xfId="3760" xr:uid="{00000000-0005-0000-0000-000050070000}"/>
    <cellStyle name="40% - Accent6 3 5 2 2" xfId="7982" xr:uid="{00000000-0005-0000-0000-000051070000}"/>
    <cellStyle name="40% - Accent6 3 5 2 2 2" xfId="24880" xr:uid="{A5B88C8E-F73F-4B39-87EA-55A10BCF27D2}"/>
    <cellStyle name="40% - Accent6 3 5 2 2 3" xfId="16432" xr:uid="{D02E3755-502F-44F1-BA23-79AD744EC4EF}"/>
    <cellStyle name="40% - Accent6 3 5 2 3" xfId="20662" xr:uid="{1A03914B-218E-45A0-B163-745CE9B68D63}"/>
    <cellStyle name="40% - Accent6 3 5 2 4" xfId="12214" xr:uid="{55E83DE3-076A-46F5-AABC-110CFC2D9028}"/>
    <cellStyle name="40% - Accent6 3 5 3" xfId="5837" xr:uid="{00000000-0005-0000-0000-000052070000}"/>
    <cellStyle name="40% - Accent6 3 5 3 2" xfId="22735" xr:uid="{A5E7BCC5-60E1-4EE8-ACD4-0B718CB5071F}"/>
    <cellStyle name="40% - Accent6 3 5 3 3" xfId="14287" xr:uid="{3D10CC3D-E1AB-4F66-B769-C9B6BF6B6E25}"/>
    <cellStyle name="40% - Accent6 3 5 4" xfId="18517" xr:uid="{96C4F34B-71DA-41C5-A763-5167FF93479C}"/>
    <cellStyle name="40% - Accent6 3 5 5" xfId="10069" xr:uid="{2A4C467F-ECB4-4281-B46F-A2A92B23DDF2}"/>
    <cellStyle name="40% - Accent6 3 6" xfId="1944" xr:uid="{00000000-0005-0000-0000-000053070000}"/>
    <cellStyle name="40% - Accent6 3 6 2" xfId="4173" xr:uid="{00000000-0005-0000-0000-000054070000}"/>
    <cellStyle name="40% - Accent6 3 6 2 2" xfId="8395" xr:uid="{00000000-0005-0000-0000-000055070000}"/>
    <cellStyle name="40% - Accent6 3 6 2 2 2" xfId="25293" xr:uid="{AD7FB14C-8E3D-4990-BED5-BB043256C81F}"/>
    <cellStyle name="40% - Accent6 3 6 2 2 3" xfId="16845" xr:uid="{83FC4FC2-8658-4A9C-9698-8940BF97C421}"/>
    <cellStyle name="40% - Accent6 3 6 2 3" xfId="21075" xr:uid="{8008CD51-6D37-4F0C-9473-EFE712B65327}"/>
    <cellStyle name="40% - Accent6 3 6 2 4" xfId="12627" xr:uid="{DDF15B3B-5B95-4079-9CAF-423185EB9F89}"/>
    <cellStyle name="40% - Accent6 3 6 3" xfId="6250" xr:uid="{00000000-0005-0000-0000-000056070000}"/>
    <cellStyle name="40% - Accent6 3 6 3 2" xfId="23148" xr:uid="{B87B66AF-8A6F-4ADD-BDDD-D3F2F7CECE6D}"/>
    <cellStyle name="40% - Accent6 3 6 3 3" xfId="14700" xr:uid="{69797EF2-E7B0-4C77-ADCE-CE22B71E8E90}"/>
    <cellStyle name="40% - Accent6 3 6 4" xfId="18930" xr:uid="{BCE0CF91-FEEA-4CDF-9A4D-1A80F49EDDA2}"/>
    <cellStyle name="40% - Accent6 3 6 5" xfId="10482" xr:uid="{585B9CA0-7939-4377-9718-3471337DB4F7}"/>
    <cellStyle name="40% - Accent6 3 7" xfId="2357" xr:uid="{00000000-0005-0000-0000-000057070000}"/>
    <cellStyle name="40% - Accent6 3 7 2" xfId="6663" xr:uid="{00000000-0005-0000-0000-000058070000}"/>
    <cellStyle name="40% - Accent6 3 7 2 2" xfId="23561" xr:uid="{C4BD86AF-CC1F-4CD6-A5F4-B829943B475D}"/>
    <cellStyle name="40% - Accent6 3 7 2 3" xfId="15113" xr:uid="{36B5E445-BDF8-4723-B7C4-D071084B34D0}"/>
    <cellStyle name="40% - Accent6 3 7 3" xfId="19343" xr:uid="{74BC1AA3-3223-4501-8796-7369C3743C2B}"/>
    <cellStyle name="40% - Accent6 3 7 4" xfId="10895" xr:uid="{0A472D6A-41E6-4887-B29B-B9357055180A}"/>
    <cellStyle name="40% - Accent6 3 8" xfId="4597" xr:uid="{00000000-0005-0000-0000-000059070000}"/>
    <cellStyle name="40% - Accent6 3 8 2" xfId="21495" xr:uid="{8218D8B9-1DAD-4EC4-9F08-C5594AF0B7B2}"/>
    <cellStyle name="40% - Accent6 3 8 3" xfId="13047" xr:uid="{CA7A6595-F768-44BA-AEC0-C3711232D0A1}"/>
    <cellStyle name="40% - Accent6 3 9" xfId="17277" xr:uid="{8AC740B9-3E89-4260-8D5E-692968E5BBCB}"/>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2 2 2" xfId="24056" xr:uid="{B14D17CD-1D16-4F3D-A438-B887067553FC}"/>
    <cellStyle name="40% - Accent6 4 2 2 2 3" xfId="15608" xr:uid="{D112C8BD-992E-44C9-8D2A-5F5D488F34BD}"/>
    <cellStyle name="40% - Accent6 4 2 2 3" xfId="19838" xr:uid="{C2D12DE2-1C0D-415F-8B21-A50A17347C0B}"/>
    <cellStyle name="40% - Accent6 4 2 2 4" xfId="11390" xr:uid="{D6F015F4-E853-436A-9EB9-F871D3D3C669}"/>
    <cellStyle name="40% - Accent6 4 2 3" xfId="5013" xr:uid="{00000000-0005-0000-0000-00005E070000}"/>
    <cellStyle name="40% - Accent6 4 2 3 2" xfId="21911" xr:uid="{1916B544-2F19-4105-951E-6270C0BA3C43}"/>
    <cellStyle name="40% - Accent6 4 2 3 3" xfId="13463" xr:uid="{BB1DB53D-A226-44A4-B2F8-2AB40106C791}"/>
    <cellStyle name="40% - Accent6 4 2 4" xfId="17693" xr:uid="{15ED1F34-4C59-4EEA-8323-6F8820C0D252}"/>
    <cellStyle name="40% - Accent6 4 2 5" xfId="9245" xr:uid="{4467C632-DCD7-4C18-9E92-4B240B5FDC2A}"/>
    <cellStyle name="40% - Accent6 4 3" xfId="1118" xr:uid="{00000000-0005-0000-0000-00005F070000}"/>
    <cellStyle name="40% - Accent6 4 3 2" xfId="3349" xr:uid="{00000000-0005-0000-0000-000060070000}"/>
    <cellStyle name="40% - Accent6 4 3 2 2" xfId="7571" xr:uid="{00000000-0005-0000-0000-000061070000}"/>
    <cellStyle name="40% - Accent6 4 3 2 2 2" xfId="24469" xr:uid="{E18F8148-EB59-4F33-99B3-05589C3FB748}"/>
    <cellStyle name="40% - Accent6 4 3 2 2 3" xfId="16021" xr:uid="{8D776CDF-063F-407B-A52F-EFAC4A4BCD9A}"/>
    <cellStyle name="40% - Accent6 4 3 2 3" xfId="20251" xr:uid="{2CF9F5F7-0FC1-482A-BCF4-1CADB25677F9}"/>
    <cellStyle name="40% - Accent6 4 3 2 4" xfId="11803" xr:uid="{2187236D-BB8B-479F-88E3-E2E1F2516197}"/>
    <cellStyle name="40% - Accent6 4 3 3" xfId="5426" xr:uid="{00000000-0005-0000-0000-000062070000}"/>
    <cellStyle name="40% - Accent6 4 3 3 2" xfId="22324" xr:uid="{613942F4-8E61-45D7-A07E-5FF7CE833704}"/>
    <cellStyle name="40% - Accent6 4 3 3 3" xfId="13876" xr:uid="{67B09A53-49B9-4F67-806A-A659F9876B85}"/>
    <cellStyle name="40% - Accent6 4 3 4" xfId="18106" xr:uid="{D9562F65-6AD3-46F4-AFC6-99B9F5872076}"/>
    <cellStyle name="40% - Accent6 4 3 5" xfId="9658" xr:uid="{855908D5-BD2D-476E-8EA6-A073648681E1}"/>
    <cellStyle name="40% - Accent6 4 4" xfId="1532" xr:uid="{00000000-0005-0000-0000-000063070000}"/>
    <cellStyle name="40% - Accent6 4 4 2" xfId="3762" xr:uid="{00000000-0005-0000-0000-000064070000}"/>
    <cellStyle name="40% - Accent6 4 4 2 2" xfId="7984" xr:uid="{00000000-0005-0000-0000-000065070000}"/>
    <cellStyle name="40% - Accent6 4 4 2 2 2" xfId="24882" xr:uid="{EBEE8AE4-004D-46CE-B82D-4128DAD96780}"/>
    <cellStyle name="40% - Accent6 4 4 2 2 3" xfId="16434" xr:uid="{CD519C07-0AB9-4821-8EE0-68154C91E833}"/>
    <cellStyle name="40% - Accent6 4 4 2 3" xfId="20664" xr:uid="{23F61095-0B41-47AC-BD0F-5D4C62E99EAE}"/>
    <cellStyle name="40% - Accent6 4 4 2 4" xfId="12216" xr:uid="{6B390DB9-F197-4CCA-8A33-91F56C246B18}"/>
    <cellStyle name="40% - Accent6 4 4 3" xfId="5839" xr:uid="{00000000-0005-0000-0000-000066070000}"/>
    <cellStyle name="40% - Accent6 4 4 3 2" xfId="22737" xr:uid="{96F692F3-E9FE-479A-B559-00BF39AFDBE1}"/>
    <cellStyle name="40% - Accent6 4 4 3 3" xfId="14289" xr:uid="{B7D829E7-9471-49EA-A7E0-9B56D69E131D}"/>
    <cellStyle name="40% - Accent6 4 4 4" xfId="18519" xr:uid="{0819572D-8BC8-4F8C-AA37-2CF909EAF5F4}"/>
    <cellStyle name="40% - Accent6 4 4 5" xfId="10071" xr:uid="{97DC1880-574D-440D-B513-78FE97CDD6D9}"/>
    <cellStyle name="40% - Accent6 4 5" xfId="1946" xr:uid="{00000000-0005-0000-0000-000067070000}"/>
    <cellStyle name="40% - Accent6 4 5 2" xfId="4175" xr:uid="{00000000-0005-0000-0000-000068070000}"/>
    <cellStyle name="40% - Accent6 4 5 2 2" xfId="8397" xr:uid="{00000000-0005-0000-0000-000069070000}"/>
    <cellStyle name="40% - Accent6 4 5 2 2 2" xfId="25295" xr:uid="{50C63CB1-F6DB-44CB-8D13-04D0D389F100}"/>
    <cellStyle name="40% - Accent6 4 5 2 2 3" xfId="16847" xr:uid="{E2F3F9D3-93F3-4404-ACB4-0FE23D08E520}"/>
    <cellStyle name="40% - Accent6 4 5 2 3" xfId="21077" xr:uid="{1984EA46-B2CC-4DA0-8446-713C456C2DA3}"/>
    <cellStyle name="40% - Accent6 4 5 2 4" xfId="12629" xr:uid="{653BF199-42B1-4FCE-94D8-09C1100668E6}"/>
    <cellStyle name="40% - Accent6 4 5 3" xfId="6252" xr:uid="{00000000-0005-0000-0000-00006A070000}"/>
    <cellStyle name="40% - Accent6 4 5 3 2" xfId="23150" xr:uid="{25A1A15A-1E62-427B-9660-6B7513B1AB4F}"/>
    <cellStyle name="40% - Accent6 4 5 3 3" xfId="14702" xr:uid="{D7CB0915-FE16-4AE1-9A5E-D451DB681FCC}"/>
    <cellStyle name="40% - Accent6 4 5 4" xfId="18932" xr:uid="{B9BCC804-9867-4CAD-B506-4D0C718CC867}"/>
    <cellStyle name="40% - Accent6 4 5 5" xfId="10484" xr:uid="{21506588-E193-433D-9436-DFC4AE0585FF}"/>
    <cellStyle name="40% - Accent6 4 6" xfId="2359" xr:uid="{00000000-0005-0000-0000-00006B070000}"/>
    <cellStyle name="40% - Accent6 4 6 2" xfId="6665" xr:uid="{00000000-0005-0000-0000-00006C070000}"/>
    <cellStyle name="40% - Accent6 4 6 2 2" xfId="23563" xr:uid="{9E46A8E8-EB5C-4429-9D0B-C57C789AA013}"/>
    <cellStyle name="40% - Accent6 4 6 2 3" xfId="15115" xr:uid="{9133E8FB-7A6A-4357-AEA0-32BB900FF9F0}"/>
    <cellStyle name="40% - Accent6 4 6 3" xfId="19345" xr:uid="{F2883528-FD99-4F2F-80F5-048CD3250A0E}"/>
    <cellStyle name="40% - Accent6 4 6 4" xfId="10897" xr:uid="{C602F5E3-BFCC-4020-BC2F-4969151E2D6D}"/>
    <cellStyle name="40% - Accent6 4 7" xfId="4599" xr:uid="{00000000-0005-0000-0000-00006D070000}"/>
    <cellStyle name="40% - Accent6 4 7 2" xfId="21497" xr:uid="{4A99574A-AC98-49E0-B182-DA6D363E9947}"/>
    <cellStyle name="40% - Accent6 4 7 3" xfId="13049" xr:uid="{2511AC65-D140-4933-BC76-76F77231C4C9}"/>
    <cellStyle name="40% - Accent6 4 8" xfId="17279" xr:uid="{690DC45A-1663-45A1-A442-819E2665F099}"/>
    <cellStyle name="40% - Accent6 4 9" xfId="8831" xr:uid="{C041C4AC-305B-4B99-864B-B3F5A6A24A86}"/>
    <cellStyle name="40% - Accent6 5" xfId="658" xr:uid="{00000000-0005-0000-0000-00006E070000}"/>
    <cellStyle name="40% - Accent6 5 2" xfId="2929" xr:uid="{00000000-0005-0000-0000-00006F070000}"/>
    <cellStyle name="40% - Accent6 5 2 2" xfId="7151" xr:uid="{00000000-0005-0000-0000-000070070000}"/>
    <cellStyle name="40% - Accent6 5 2 2 2" xfId="24049" xr:uid="{7A60BE75-6536-4B7D-AEC7-0A33DD2ECCB0}"/>
    <cellStyle name="40% - Accent6 5 2 2 3" xfId="15601" xr:uid="{C516139A-3248-4D27-97F0-F558113DC0B7}"/>
    <cellStyle name="40% - Accent6 5 2 3" xfId="19831" xr:uid="{865F9D70-B9AC-4EAA-902E-5B3407914E03}"/>
    <cellStyle name="40% - Accent6 5 2 4" xfId="11383" xr:uid="{1EC0C6F7-F1D6-43EB-9F93-1EC737537A38}"/>
    <cellStyle name="40% - Accent6 5 3" xfId="5006" xr:uid="{00000000-0005-0000-0000-000071070000}"/>
    <cellStyle name="40% - Accent6 5 3 2" xfId="21904" xr:uid="{4C7B0BED-8AB3-4364-81D1-12AC7C1DF369}"/>
    <cellStyle name="40% - Accent6 5 3 3" xfId="13456" xr:uid="{D58DE8F1-1CA0-4779-AEAD-0C90657C65B3}"/>
    <cellStyle name="40% - Accent6 5 4" xfId="17686" xr:uid="{ABD38392-597E-4983-9F90-F549498F2AC9}"/>
    <cellStyle name="40% - Accent6 5 5" xfId="9238" xr:uid="{111731E4-B71F-4C14-BB78-728A29BF09D9}"/>
    <cellStyle name="40% - Accent6 6" xfId="1111" xr:uid="{00000000-0005-0000-0000-000072070000}"/>
    <cellStyle name="40% - Accent6 6 2" xfId="3342" xr:uid="{00000000-0005-0000-0000-000073070000}"/>
    <cellStyle name="40% - Accent6 6 2 2" xfId="7564" xr:uid="{00000000-0005-0000-0000-000074070000}"/>
    <cellStyle name="40% - Accent6 6 2 2 2" xfId="24462" xr:uid="{3E3BB58E-1D0C-4ECF-9F53-A7C168DC7459}"/>
    <cellStyle name="40% - Accent6 6 2 2 3" xfId="16014" xr:uid="{BC6EFD21-BE19-4273-823C-48CC93E25FB9}"/>
    <cellStyle name="40% - Accent6 6 2 3" xfId="20244" xr:uid="{5F5F6169-8D44-47D3-BE10-8E1CA4D111BB}"/>
    <cellStyle name="40% - Accent6 6 2 4" xfId="11796" xr:uid="{A21F0C56-386B-4A80-BDF1-5FD86C84B44D}"/>
    <cellStyle name="40% - Accent6 6 3" xfId="5419" xr:uid="{00000000-0005-0000-0000-000075070000}"/>
    <cellStyle name="40% - Accent6 6 3 2" xfId="22317" xr:uid="{B315249F-D424-41FF-A69C-AE0803C211DA}"/>
    <cellStyle name="40% - Accent6 6 3 3" xfId="13869" xr:uid="{3E6CE6A0-E973-428A-8EF8-ABC197863249}"/>
    <cellStyle name="40% - Accent6 6 4" xfId="18099" xr:uid="{8F635FD1-6C90-4BE8-8645-A9799E61C7C0}"/>
    <cellStyle name="40% - Accent6 6 5" xfId="9651" xr:uid="{5754DF5F-413E-4BE3-A5D6-DEBA7B284B9D}"/>
    <cellStyle name="40% - Accent6 7" xfId="1525" xr:uid="{00000000-0005-0000-0000-000076070000}"/>
    <cellStyle name="40% - Accent6 7 2" xfId="3755" xr:uid="{00000000-0005-0000-0000-000077070000}"/>
    <cellStyle name="40% - Accent6 7 2 2" xfId="7977" xr:uid="{00000000-0005-0000-0000-000078070000}"/>
    <cellStyle name="40% - Accent6 7 2 2 2" xfId="24875" xr:uid="{DAFCF0CE-AE56-4D01-AE7E-7B52A1B2AD38}"/>
    <cellStyle name="40% - Accent6 7 2 2 3" xfId="16427" xr:uid="{52110E88-96AC-4C22-8094-7A81ECA0F021}"/>
    <cellStyle name="40% - Accent6 7 2 3" xfId="20657" xr:uid="{F5867310-AF37-4A46-8D5C-4885EE0ADE3E}"/>
    <cellStyle name="40% - Accent6 7 2 4" xfId="12209" xr:uid="{80E2B9BB-84EB-4586-B592-DFF207A4DFBE}"/>
    <cellStyle name="40% - Accent6 7 3" xfId="5832" xr:uid="{00000000-0005-0000-0000-000079070000}"/>
    <cellStyle name="40% - Accent6 7 3 2" xfId="22730" xr:uid="{E04A3274-342F-4211-AC1A-0352FAEA72BD}"/>
    <cellStyle name="40% - Accent6 7 3 3" xfId="14282" xr:uid="{6CEAAD2F-452F-4F56-B661-217A3FC55176}"/>
    <cellStyle name="40% - Accent6 7 4" xfId="18512" xr:uid="{D224D8EE-38C1-4583-AE21-3019CE0287FD}"/>
    <cellStyle name="40% - Accent6 7 5" xfId="10064" xr:uid="{8BD551FD-245B-413D-B5C8-556C7BF705E4}"/>
    <cellStyle name="40% - Accent6 8" xfId="1939" xr:uid="{00000000-0005-0000-0000-00007A070000}"/>
    <cellStyle name="40% - Accent6 8 2" xfId="4168" xr:uid="{00000000-0005-0000-0000-00007B070000}"/>
    <cellStyle name="40% - Accent6 8 2 2" xfId="8390" xr:uid="{00000000-0005-0000-0000-00007C070000}"/>
    <cellStyle name="40% - Accent6 8 2 2 2" xfId="25288" xr:uid="{BD482168-7564-4B50-BCB3-341B9CF04870}"/>
    <cellStyle name="40% - Accent6 8 2 2 3" xfId="16840" xr:uid="{A9A11D44-F71F-4475-860E-FF140E4CB9A2}"/>
    <cellStyle name="40% - Accent6 8 2 3" xfId="21070" xr:uid="{4F9A8BE9-5DF5-4A29-A8EB-B1A2B0557060}"/>
    <cellStyle name="40% - Accent6 8 2 4" xfId="12622" xr:uid="{E1D914D3-4185-4AA8-9D8A-EC3462D110C0}"/>
    <cellStyle name="40% - Accent6 8 3" xfId="6245" xr:uid="{00000000-0005-0000-0000-00007D070000}"/>
    <cellStyle name="40% - Accent6 8 3 2" xfId="23143" xr:uid="{3E33A626-F6C1-4FB0-B04D-C982C307D479}"/>
    <cellStyle name="40% - Accent6 8 3 3" xfId="14695" xr:uid="{349A0A19-8CD8-49B4-A204-33DE5EDFB0C1}"/>
    <cellStyle name="40% - Accent6 8 4" xfId="18925" xr:uid="{776682A3-24F3-4C99-A70C-31BB998843AD}"/>
    <cellStyle name="40% - Accent6 8 5" xfId="10477" xr:uid="{EF498705-0BAB-46B7-ACBD-92BEEE892758}"/>
    <cellStyle name="40% - Accent6 9" xfId="2352" xr:uid="{00000000-0005-0000-0000-00007E070000}"/>
    <cellStyle name="40% - Accent6 9 2" xfId="6658" xr:uid="{00000000-0005-0000-0000-00007F070000}"/>
    <cellStyle name="40% - Accent6 9 2 2" xfId="23556" xr:uid="{E077883D-82D3-4C40-B26B-794D8E2BE8BD}"/>
    <cellStyle name="40% - Accent6 9 2 3" xfId="15108" xr:uid="{56591391-EA46-4CD5-B59B-028298C6EB67}"/>
    <cellStyle name="40% - Accent6 9 3" xfId="19338" xr:uid="{B5986684-CE34-4641-8280-38297CAB3C89}"/>
    <cellStyle name="40% - Accent6 9 4" xfId="10890" xr:uid="{8F83471D-85AD-4895-940E-6B157E5BA1D7}"/>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23881" xr:uid="{32213A0D-3254-4A34-9530-273B0D0DC3D5}"/>
    <cellStyle name="Comma 4 2 2 2 10 2 3" xfId="15433" xr:uid="{E68CD09C-63E0-432D-AD99-0417C3463CA2}"/>
    <cellStyle name="Comma 4 2 2 2 10 3" xfId="19663" xr:uid="{AC155EF8-9ADB-434C-A668-723D3FB36FFF}"/>
    <cellStyle name="Comma 4 2 2 2 10 4" xfId="11215" xr:uid="{F0F484E3-EE59-4127-A6AD-3E2516EBD968}"/>
    <cellStyle name="Comma 4 2 2 2 11" xfId="4600" xr:uid="{00000000-0005-0000-0000-0000A3070000}"/>
    <cellStyle name="Comma 4 2 2 2 11 2" xfId="21498" xr:uid="{AC1366C9-F8CF-40FC-9A8A-233EC0873714}"/>
    <cellStyle name="Comma 4 2 2 2 11 3" xfId="13050" xr:uid="{A41B0A2F-BCDF-4E85-B1E0-4D803E6BA66B}"/>
    <cellStyle name="Comma 4 2 2 2 12" xfId="17280" xr:uid="{F73CCA05-CC68-4615-A592-E7845FF5065E}"/>
    <cellStyle name="Comma 4 2 2 2 13" xfId="8832" xr:uid="{274D1527-1999-4589-B9A0-AA584C40A7B3}"/>
    <cellStyle name="Comma 4 2 2 2 2" xfId="129" xr:uid="{00000000-0005-0000-0000-0000A4070000}"/>
    <cellStyle name="Comma 4 2 2 2 2 10" xfId="4601" xr:uid="{00000000-0005-0000-0000-0000A5070000}"/>
    <cellStyle name="Comma 4 2 2 2 2 10 2" xfId="21499" xr:uid="{BFC13CA9-9AD3-42FB-A7D6-C4E187D28F1B}"/>
    <cellStyle name="Comma 4 2 2 2 2 10 3" xfId="13051" xr:uid="{55289CA7-4D67-44A1-BC67-1C937FB2FA04}"/>
    <cellStyle name="Comma 4 2 2 2 2 11" xfId="17281" xr:uid="{39F72839-8EEF-4271-897F-768B8F3453FF}"/>
    <cellStyle name="Comma 4 2 2 2 2 12" xfId="8833" xr:uid="{5A14F684-F3E9-475F-9B11-95B1B783A7C0}"/>
    <cellStyle name="Comma 4 2 2 2 2 2" xfId="130" xr:uid="{00000000-0005-0000-0000-0000A6070000}"/>
    <cellStyle name="Comma 4 2 2 2 2 2 10" xfId="17282" xr:uid="{90F1520D-8E43-4F47-8CFD-626A28D0ADB7}"/>
    <cellStyle name="Comma 4 2 2 2 2 2 11" xfId="8834" xr:uid="{45A96BD1-E678-4EA6-9DD9-0985B8C0D878}"/>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24059" xr:uid="{A57C0202-896F-45F4-A079-B4C7A0B0265F}"/>
    <cellStyle name="Comma 4 2 2 2 2 2 2 2 2 3" xfId="15611" xr:uid="{8868D31F-A4F4-4971-AD01-C0859D123B4E}"/>
    <cellStyle name="Comma 4 2 2 2 2 2 2 2 3" xfId="19841" xr:uid="{C6161E94-CCD6-4BAA-A736-2301FD5023FC}"/>
    <cellStyle name="Comma 4 2 2 2 2 2 2 2 4" xfId="11393" xr:uid="{7F40FABD-4239-4C0A-AFD4-25988045F0AE}"/>
    <cellStyle name="Comma 4 2 2 2 2 2 2 3" xfId="5016" xr:uid="{00000000-0005-0000-0000-0000AA070000}"/>
    <cellStyle name="Comma 4 2 2 2 2 2 2 3 2" xfId="21914" xr:uid="{8CFCD0B8-A114-48F7-8EAC-7B012CCA81BC}"/>
    <cellStyle name="Comma 4 2 2 2 2 2 2 3 3" xfId="13466" xr:uid="{1CE55C48-5811-47CD-BBA7-8146C3F5C424}"/>
    <cellStyle name="Comma 4 2 2 2 2 2 2 4" xfId="17696" xr:uid="{6347A190-C8E2-46D6-A812-3E7E5F0180DD}"/>
    <cellStyle name="Comma 4 2 2 2 2 2 2 5" xfId="9248" xr:uid="{3B6A9239-F127-4C1C-A51A-4F2AA68313E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24472" xr:uid="{B0785383-5FC2-49E4-B4DE-FA7AE27E6BAB}"/>
    <cellStyle name="Comma 4 2 2 2 2 2 3 2 2 3" xfId="16024" xr:uid="{1A1BF25B-520A-45BC-BD8C-8DFDE17E9F74}"/>
    <cellStyle name="Comma 4 2 2 2 2 2 3 2 3" xfId="20254" xr:uid="{6888BD71-2B0A-4ED8-BDD9-B785021192E2}"/>
    <cellStyle name="Comma 4 2 2 2 2 2 3 2 4" xfId="11806" xr:uid="{9BD7B1C9-E2A1-4347-926A-4B5E2CCA24CF}"/>
    <cellStyle name="Comma 4 2 2 2 2 2 3 3" xfId="5429" xr:uid="{00000000-0005-0000-0000-0000AE070000}"/>
    <cellStyle name="Comma 4 2 2 2 2 2 3 3 2" xfId="22327" xr:uid="{AAEC9FA2-E687-467C-85FE-1BE13E737B27}"/>
    <cellStyle name="Comma 4 2 2 2 2 2 3 3 3" xfId="13879" xr:uid="{76B614E9-537A-4392-96E6-9B658CDD8CC2}"/>
    <cellStyle name="Comma 4 2 2 2 2 2 3 4" xfId="18109" xr:uid="{E27F1650-C5BB-4514-9CE1-B26DAA4513C2}"/>
    <cellStyle name="Comma 4 2 2 2 2 2 3 5" xfId="9661" xr:uid="{37D349C6-D7BF-42BC-B5E8-1B93D6CF4A3E}"/>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24885" xr:uid="{18F33855-91CB-4BCE-95C9-2CE63589225A}"/>
    <cellStyle name="Comma 4 2 2 2 2 2 4 2 2 3" xfId="16437" xr:uid="{2C4B035D-1758-448A-8DCE-FC1C663C68F4}"/>
    <cellStyle name="Comma 4 2 2 2 2 2 4 2 3" xfId="20667" xr:uid="{E867D78C-F86C-4266-84CC-07D518C9F3C6}"/>
    <cellStyle name="Comma 4 2 2 2 2 2 4 2 4" xfId="12219" xr:uid="{6A650CD1-E1CE-48AC-9C92-B53A56FA415D}"/>
    <cellStyle name="Comma 4 2 2 2 2 2 4 3" xfId="5842" xr:uid="{00000000-0005-0000-0000-0000B2070000}"/>
    <cellStyle name="Comma 4 2 2 2 2 2 4 3 2" xfId="22740" xr:uid="{6F8D8A0A-4A01-40F4-8378-F3BD8F25A9D8}"/>
    <cellStyle name="Comma 4 2 2 2 2 2 4 3 3" xfId="14292" xr:uid="{65E082D5-3999-4C6E-BFCB-9AC484FE6383}"/>
    <cellStyle name="Comma 4 2 2 2 2 2 4 4" xfId="18522" xr:uid="{9E8DEAA0-B59F-46F8-B405-5F14C34DD372}"/>
    <cellStyle name="Comma 4 2 2 2 2 2 4 5" xfId="10074" xr:uid="{2F765945-72EF-4E6C-937F-0A9DB51EDCDC}"/>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25298" xr:uid="{26F121CB-2206-4BD0-8F57-4400BF5E72E6}"/>
    <cellStyle name="Comma 4 2 2 2 2 2 5 2 2 3" xfId="16850" xr:uid="{3DAEEAE5-FAC3-431D-AD21-643AA29BB20F}"/>
    <cellStyle name="Comma 4 2 2 2 2 2 5 2 3" xfId="21080" xr:uid="{58113DB1-76FA-40E6-B8FB-7332B26AED68}"/>
    <cellStyle name="Comma 4 2 2 2 2 2 5 2 4" xfId="12632" xr:uid="{93936D94-B732-4F6E-86F8-79D01ABD0B5B}"/>
    <cellStyle name="Comma 4 2 2 2 2 2 5 3" xfId="6255" xr:uid="{00000000-0005-0000-0000-0000B6070000}"/>
    <cellStyle name="Comma 4 2 2 2 2 2 5 3 2" xfId="23153" xr:uid="{2EA8AA49-B022-48F8-AFB6-1344E1FED197}"/>
    <cellStyle name="Comma 4 2 2 2 2 2 5 3 3" xfId="14705" xr:uid="{AD09EAF3-5315-44B2-AD89-B7455440AE02}"/>
    <cellStyle name="Comma 4 2 2 2 2 2 5 4" xfId="18935" xr:uid="{6E3E9604-D4AD-4336-8B0B-3C24B673CB1F}"/>
    <cellStyle name="Comma 4 2 2 2 2 2 5 5" xfId="10487" xr:uid="{2A89E152-5383-4216-AD51-3E51811FEC90}"/>
    <cellStyle name="Comma 4 2 2 2 2 2 6" xfId="2384" xr:uid="{00000000-0005-0000-0000-0000B7070000}"/>
    <cellStyle name="Comma 4 2 2 2 2 2 6 2" xfId="6668" xr:uid="{00000000-0005-0000-0000-0000B8070000}"/>
    <cellStyle name="Comma 4 2 2 2 2 2 6 2 2" xfId="23566" xr:uid="{05ECCD24-0730-4826-AC21-4CBF6846F564}"/>
    <cellStyle name="Comma 4 2 2 2 2 2 6 2 3" xfId="15118" xr:uid="{CF3B251F-F662-44CB-95A3-3EDFBFE63E4E}"/>
    <cellStyle name="Comma 4 2 2 2 2 2 6 3" xfId="19348" xr:uid="{913BF582-FBE6-4335-9403-9DFBB5AAAA8B}"/>
    <cellStyle name="Comma 4 2 2 2 2 2 6 4" xfId="10900" xr:uid="{4BA660FE-1A3F-46AB-BBC9-868793145BD4}"/>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23883" xr:uid="{B336D875-D511-4911-B8FE-0C943AE8A6D1}"/>
    <cellStyle name="Comma 4 2 2 2 2 2 8 2 3" xfId="15435" xr:uid="{35C496C7-3783-4FA4-950A-CB802EA3C110}"/>
    <cellStyle name="Comma 4 2 2 2 2 2 8 3" xfId="19665" xr:uid="{E15F0787-3AE8-4019-9D19-B12FF65CE76B}"/>
    <cellStyle name="Comma 4 2 2 2 2 2 8 4" xfId="11217" xr:uid="{C378F2AD-BDF9-4175-923A-48B45F75339F}"/>
    <cellStyle name="Comma 4 2 2 2 2 2 9" xfId="4602" xr:uid="{00000000-0005-0000-0000-0000BC070000}"/>
    <cellStyle name="Comma 4 2 2 2 2 2 9 2" xfId="21500" xr:uid="{C67DFB1B-804F-41FC-AC75-B0213E67FA3A}"/>
    <cellStyle name="Comma 4 2 2 2 2 2 9 3" xfId="13052" xr:uid="{674697D3-CA42-4E9B-B761-04C9C588019C}"/>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24058" xr:uid="{754CBE7D-7ACF-410B-B9C6-C07AEDCE2BA0}"/>
    <cellStyle name="Comma 4 2 2 2 2 3 2 2 3" xfId="15610" xr:uid="{248B6EAD-6D45-4516-8480-E2CD59CC8EE6}"/>
    <cellStyle name="Comma 4 2 2 2 2 3 2 3" xfId="19840" xr:uid="{1233B4A8-EF80-46E9-A048-A3B8C7C1E77D}"/>
    <cellStyle name="Comma 4 2 2 2 2 3 2 4" xfId="11392" xr:uid="{0FBD8F44-C4EE-4F00-9C36-CB3AC3BD9AA8}"/>
    <cellStyle name="Comma 4 2 2 2 2 3 3" xfId="5015" xr:uid="{00000000-0005-0000-0000-0000C0070000}"/>
    <cellStyle name="Comma 4 2 2 2 2 3 3 2" xfId="21913" xr:uid="{F39C0A1E-67E8-49D3-B9A6-6FDC4FEB17A1}"/>
    <cellStyle name="Comma 4 2 2 2 2 3 3 3" xfId="13465" xr:uid="{C9AAB510-F46C-4091-9844-1F13A47A4292}"/>
    <cellStyle name="Comma 4 2 2 2 2 3 4" xfId="17695" xr:uid="{BA09C6DA-5315-46C9-BFB3-FF69738D7B50}"/>
    <cellStyle name="Comma 4 2 2 2 2 3 5" xfId="9247" xr:uid="{29E5BFA2-396F-4F93-A790-315B6A94E253}"/>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24471" xr:uid="{81311346-8041-400E-954D-40D02C321648}"/>
    <cellStyle name="Comma 4 2 2 2 2 4 2 2 3" xfId="16023" xr:uid="{84E423DC-F283-49FC-BF82-E39BF876B532}"/>
    <cellStyle name="Comma 4 2 2 2 2 4 2 3" xfId="20253" xr:uid="{6519C0AB-2410-4AEC-831B-F26301452BE1}"/>
    <cellStyle name="Comma 4 2 2 2 2 4 2 4" xfId="11805" xr:uid="{FA6BA7DA-20DB-4339-A0D9-A08A59E38C01}"/>
    <cellStyle name="Comma 4 2 2 2 2 4 3" xfId="5428" xr:uid="{00000000-0005-0000-0000-0000C4070000}"/>
    <cellStyle name="Comma 4 2 2 2 2 4 3 2" xfId="22326" xr:uid="{895F04B1-594F-40CA-9C4F-1BBDD4D0884B}"/>
    <cellStyle name="Comma 4 2 2 2 2 4 3 3" xfId="13878" xr:uid="{9DE99E1C-2A5F-40A0-9C0D-442CB0AC330C}"/>
    <cellStyle name="Comma 4 2 2 2 2 4 4" xfId="18108" xr:uid="{C6F7D14E-FB59-4DF9-8560-FE7AFFD5DB3E}"/>
    <cellStyle name="Comma 4 2 2 2 2 4 5" xfId="9660" xr:uid="{EA5932A5-51B7-4163-9FDD-21C413A37C6D}"/>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24884" xr:uid="{7916B14C-0F22-43AE-9777-3C916350167C}"/>
    <cellStyle name="Comma 4 2 2 2 2 5 2 2 3" xfId="16436" xr:uid="{293C16D9-DF02-4105-9B81-2FEFBCBA4A7B}"/>
    <cellStyle name="Comma 4 2 2 2 2 5 2 3" xfId="20666" xr:uid="{0D936B61-7881-4C55-8239-AC011BE679A6}"/>
    <cellStyle name="Comma 4 2 2 2 2 5 2 4" xfId="12218" xr:uid="{EB435417-811F-42A9-9DFA-E0752C1A40F4}"/>
    <cellStyle name="Comma 4 2 2 2 2 5 3" xfId="5841" xr:uid="{00000000-0005-0000-0000-0000C8070000}"/>
    <cellStyle name="Comma 4 2 2 2 2 5 3 2" xfId="22739" xr:uid="{C9203221-E806-4C26-9FF4-DCE397ACF3BA}"/>
    <cellStyle name="Comma 4 2 2 2 2 5 3 3" xfId="14291" xr:uid="{2C2AAE8F-5AA2-4D80-8C0C-562855C85220}"/>
    <cellStyle name="Comma 4 2 2 2 2 5 4" xfId="18521" xr:uid="{FC405F33-1F2F-4511-A3C8-1B14EC6D27EA}"/>
    <cellStyle name="Comma 4 2 2 2 2 5 5" xfId="10073" xr:uid="{503BC68B-0310-4ACF-BCAF-4E85480926C1}"/>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25297" xr:uid="{08B9BF00-57E3-4B5C-989D-FEBB9A583204}"/>
    <cellStyle name="Comma 4 2 2 2 2 6 2 2 3" xfId="16849" xr:uid="{A428051C-66E0-40A3-916E-E202CDA7F80D}"/>
    <cellStyle name="Comma 4 2 2 2 2 6 2 3" xfId="21079" xr:uid="{F82ED5F6-C25E-412C-851F-A2DBCFB2BBBE}"/>
    <cellStyle name="Comma 4 2 2 2 2 6 2 4" xfId="12631" xr:uid="{92A6D52D-B1DD-4C55-85B6-9C1754045CD2}"/>
    <cellStyle name="Comma 4 2 2 2 2 6 3" xfId="6254" xr:uid="{00000000-0005-0000-0000-0000CC070000}"/>
    <cellStyle name="Comma 4 2 2 2 2 6 3 2" xfId="23152" xr:uid="{D6CAE16C-E47C-4B5E-A61E-311088430AD3}"/>
    <cellStyle name="Comma 4 2 2 2 2 6 3 3" xfId="14704" xr:uid="{184A03CB-887E-460B-9186-BBE63B9BAD16}"/>
    <cellStyle name="Comma 4 2 2 2 2 6 4" xfId="18934" xr:uid="{77F3EB16-DF9B-4DF8-BB89-DA413B0093B0}"/>
    <cellStyle name="Comma 4 2 2 2 2 6 5" xfId="10486" xr:uid="{01ABA4B7-70CD-4C6F-A501-D5F7417BB5DF}"/>
    <cellStyle name="Comma 4 2 2 2 2 7" xfId="2383" xr:uid="{00000000-0005-0000-0000-0000CD070000}"/>
    <cellStyle name="Comma 4 2 2 2 2 7 2" xfId="6667" xr:uid="{00000000-0005-0000-0000-0000CE070000}"/>
    <cellStyle name="Comma 4 2 2 2 2 7 2 2" xfId="23565" xr:uid="{6A544473-18BA-408E-99EB-A09338363B99}"/>
    <cellStyle name="Comma 4 2 2 2 2 7 2 3" xfId="15117" xr:uid="{8A437480-48F1-47AF-8625-B4F00AEEE188}"/>
    <cellStyle name="Comma 4 2 2 2 2 7 3" xfId="19347" xr:uid="{031999A0-36CE-45E6-AE97-40C08600487F}"/>
    <cellStyle name="Comma 4 2 2 2 2 7 4" xfId="10899" xr:uid="{B8C033DF-6CF5-408B-AB4C-6B9D85BB6CE9}"/>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23882" xr:uid="{D37988A9-391A-42A4-BF68-1E8D688D7F81}"/>
    <cellStyle name="Comma 4 2 2 2 2 9 2 3" xfId="15434" xr:uid="{44DDE3F9-AC3A-4E02-B678-E5B666EB6554}"/>
    <cellStyle name="Comma 4 2 2 2 2 9 3" xfId="19664" xr:uid="{56C93090-C9A0-46F6-ABF6-E540F86EBC2F}"/>
    <cellStyle name="Comma 4 2 2 2 2 9 4" xfId="11216" xr:uid="{469D3298-E756-4B73-9D6E-B3DC4A880DD4}"/>
    <cellStyle name="Comma 4 2 2 2 3" xfId="131" xr:uid="{00000000-0005-0000-0000-0000D2070000}"/>
    <cellStyle name="Comma 4 2 2 2 3 10" xfId="17283" xr:uid="{BB2463E5-1931-4351-AE5F-3C606B2381B6}"/>
    <cellStyle name="Comma 4 2 2 2 3 11" xfId="8835" xr:uid="{9B14247C-68F3-43A0-9F5D-67F3C3660118}"/>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24060" xr:uid="{147AE991-41A1-43FD-A4A4-6C37B32BE4BA}"/>
    <cellStyle name="Comma 4 2 2 2 3 2 2 2 3" xfId="15612" xr:uid="{9840EB85-07C4-40AE-8FC9-AE4B07B2CE05}"/>
    <cellStyle name="Comma 4 2 2 2 3 2 2 3" xfId="19842" xr:uid="{3FA03BFF-9346-4F55-AE80-7CEDE401F165}"/>
    <cellStyle name="Comma 4 2 2 2 3 2 2 4" xfId="11394" xr:uid="{E26344F4-734B-4B2A-969A-3BF3F001CFC6}"/>
    <cellStyle name="Comma 4 2 2 2 3 2 3" xfId="5017" xr:uid="{00000000-0005-0000-0000-0000D6070000}"/>
    <cellStyle name="Comma 4 2 2 2 3 2 3 2" xfId="21915" xr:uid="{733CE858-1CA9-4B21-83E6-F4AE2E058B39}"/>
    <cellStyle name="Comma 4 2 2 2 3 2 3 3" xfId="13467" xr:uid="{513BB9F7-895F-48A7-BBB5-A8182C093F1B}"/>
    <cellStyle name="Comma 4 2 2 2 3 2 4" xfId="17697" xr:uid="{98AAF262-C800-47A4-AB3F-D612BF3EC62B}"/>
    <cellStyle name="Comma 4 2 2 2 3 2 5" xfId="9249" xr:uid="{08262884-5359-42BB-9551-9E1EBCFECEA6}"/>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24473" xr:uid="{84A76999-2F25-4D51-8031-FB520A8FEDF1}"/>
    <cellStyle name="Comma 4 2 2 2 3 3 2 2 3" xfId="16025" xr:uid="{8AF9B3D7-D39F-4704-A55F-193106DAD37C}"/>
    <cellStyle name="Comma 4 2 2 2 3 3 2 3" xfId="20255" xr:uid="{6ABB21EE-0B9A-44C5-A8B8-2B3AA366A48F}"/>
    <cellStyle name="Comma 4 2 2 2 3 3 2 4" xfId="11807" xr:uid="{78E58037-CD06-4EB0-A6B5-CC344E3F81AB}"/>
    <cellStyle name="Comma 4 2 2 2 3 3 3" xfId="5430" xr:uid="{00000000-0005-0000-0000-0000DA070000}"/>
    <cellStyle name="Comma 4 2 2 2 3 3 3 2" xfId="22328" xr:uid="{76AABFB1-F4A2-4B17-9D81-A15F61925767}"/>
    <cellStyle name="Comma 4 2 2 2 3 3 3 3" xfId="13880" xr:uid="{86F71BB2-1B66-4807-BE1D-8936156A5422}"/>
    <cellStyle name="Comma 4 2 2 2 3 3 4" xfId="18110" xr:uid="{5E70C78B-FAB6-4FB3-B50C-918EE0B6C2F4}"/>
    <cellStyle name="Comma 4 2 2 2 3 3 5" xfId="9662" xr:uid="{98CA8941-3F07-4A81-9153-5C043BA55F3D}"/>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24886" xr:uid="{AFF639D5-5321-4EFC-AD2D-1EC0A063C707}"/>
    <cellStyle name="Comma 4 2 2 2 3 4 2 2 3" xfId="16438" xr:uid="{944D7BD1-B144-4188-A885-77FE5A10EE0C}"/>
    <cellStyle name="Comma 4 2 2 2 3 4 2 3" xfId="20668" xr:uid="{8FCA989F-9677-42F9-8AB8-7230DE808F01}"/>
    <cellStyle name="Comma 4 2 2 2 3 4 2 4" xfId="12220" xr:uid="{5A692A72-AF56-4AD1-AD8F-FBA3D61DFD71}"/>
    <cellStyle name="Comma 4 2 2 2 3 4 3" xfId="5843" xr:uid="{00000000-0005-0000-0000-0000DE070000}"/>
    <cellStyle name="Comma 4 2 2 2 3 4 3 2" xfId="22741" xr:uid="{982D712D-520A-4BAB-8D4D-46F275A62F3B}"/>
    <cellStyle name="Comma 4 2 2 2 3 4 3 3" xfId="14293" xr:uid="{D32B51C6-87F5-427C-A746-C531C1473703}"/>
    <cellStyle name="Comma 4 2 2 2 3 4 4" xfId="18523" xr:uid="{3D59B44F-8C75-4D71-B327-2512C39A8466}"/>
    <cellStyle name="Comma 4 2 2 2 3 4 5" xfId="10075" xr:uid="{CA9B5A29-E8F0-4FEB-8332-675D3639E862}"/>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25299" xr:uid="{5D25BFE8-0593-4EBC-9009-9EB742F705D0}"/>
    <cellStyle name="Comma 4 2 2 2 3 5 2 2 3" xfId="16851" xr:uid="{486ED72C-6234-445D-9065-AF5763775381}"/>
    <cellStyle name="Comma 4 2 2 2 3 5 2 3" xfId="21081" xr:uid="{4850A866-49B2-4990-A84C-4178E74D2177}"/>
    <cellStyle name="Comma 4 2 2 2 3 5 2 4" xfId="12633" xr:uid="{FEE5681E-1456-4BC4-91C4-C4364B7236ED}"/>
    <cellStyle name="Comma 4 2 2 2 3 5 3" xfId="6256" xr:uid="{00000000-0005-0000-0000-0000E2070000}"/>
    <cellStyle name="Comma 4 2 2 2 3 5 3 2" xfId="23154" xr:uid="{DE3E61C8-C6F9-4EAD-840B-AC7441B7A982}"/>
    <cellStyle name="Comma 4 2 2 2 3 5 3 3" xfId="14706" xr:uid="{C15555D0-198C-4B04-8C58-29B25586903F}"/>
    <cellStyle name="Comma 4 2 2 2 3 5 4" xfId="18936" xr:uid="{90B8E8D5-D124-47C9-B32D-60396AFED67D}"/>
    <cellStyle name="Comma 4 2 2 2 3 5 5" xfId="10488" xr:uid="{2FBEAD87-C3E5-459D-8489-395EEC8B3281}"/>
    <cellStyle name="Comma 4 2 2 2 3 6" xfId="2385" xr:uid="{00000000-0005-0000-0000-0000E3070000}"/>
    <cellStyle name="Comma 4 2 2 2 3 6 2" xfId="6669" xr:uid="{00000000-0005-0000-0000-0000E4070000}"/>
    <cellStyle name="Comma 4 2 2 2 3 6 2 2" xfId="23567" xr:uid="{D71CD285-D32E-4D2B-970E-AF6A3BAF2128}"/>
    <cellStyle name="Comma 4 2 2 2 3 6 2 3" xfId="15119" xr:uid="{F9825976-D57B-454E-9420-2E7E68DDE10D}"/>
    <cellStyle name="Comma 4 2 2 2 3 6 3" xfId="19349" xr:uid="{BB4CD245-5037-41C5-9E65-7D6BE0C18767}"/>
    <cellStyle name="Comma 4 2 2 2 3 6 4" xfId="10901" xr:uid="{68CDB755-D052-48F8-9526-2FDC4B4C7C0E}"/>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23884" xr:uid="{0CEF01A7-C66F-4F99-A66B-6A9AE2D100EF}"/>
    <cellStyle name="Comma 4 2 2 2 3 8 2 3" xfId="15436" xr:uid="{64FC6FAB-E802-41F8-AF2C-01F5CA7AE6AA}"/>
    <cellStyle name="Comma 4 2 2 2 3 8 3" xfId="19666" xr:uid="{72DDBDC4-6C6F-43BF-B66F-CAF55BC526CA}"/>
    <cellStyle name="Comma 4 2 2 2 3 8 4" xfId="11218" xr:uid="{4A8FB53F-E5EF-424B-9761-853BD685215D}"/>
    <cellStyle name="Comma 4 2 2 2 3 9" xfId="4603" xr:uid="{00000000-0005-0000-0000-0000E8070000}"/>
    <cellStyle name="Comma 4 2 2 2 3 9 2" xfId="21501" xr:uid="{3D0F79FA-0C9B-456F-AB0F-3E8D4CDA06DE}"/>
    <cellStyle name="Comma 4 2 2 2 3 9 3" xfId="13053" xr:uid="{A62E497C-3D8D-43D3-9739-231FB125ECD1}"/>
    <cellStyle name="Comma 4 2 2 2 4" xfId="666" xr:uid="{00000000-0005-0000-0000-0000E9070000}"/>
    <cellStyle name="Comma 4 2 2 2 4 2" xfId="2937" xr:uid="{00000000-0005-0000-0000-0000EA070000}"/>
    <cellStyle name="Comma 4 2 2 2 4 2 2" xfId="7159" xr:uid="{00000000-0005-0000-0000-0000EB070000}"/>
    <cellStyle name="Comma 4 2 2 2 4 2 2 2" xfId="24057" xr:uid="{C950F67C-3929-4FE9-AF96-7E937FEAC3F2}"/>
    <cellStyle name="Comma 4 2 2 2 4 2 2 3" xfId="15609" xr:uid="{BC0D4C4E-25BA-4176-A1CD-A4970CEDE3D2}"/>
    <cellStyle name="Comma 4 2 2 2 4 2 3" xfId="19839" xr:uid="{B2613929-5F76-44E4-9BBD-3558F503C2A2}"/>
    <cellStyle name="Comma 4 2 2 2 4 2 4" xfId="11391" xr:uid="{8D1D38C5-752A-4D3A-867E-EC809D7EA38A}"/>
    <cellStyle name="Comma 4 2 2 2 4 3" xfId="5014" xr:uid="{00000000-0005-0000-0000-0000EC070000}"/>
    <cellStyle name="Comma 4 2 2 2 4 3 2" xfId="21912" xr:uid="{B94B8A69-D855-4FEF-BEE7-10C9F2B63373}"/>
    <cellStyle name="Comma 4 2 2 2 4 3 3" xfId="13464" xr:uid="{C1EC425A-4E36-4760-B074-DB7B3A54E103}"/>
    <cellStyle name="Comma 4 2 2 2 4 4" xfId="17694" xr:uid="{ADD4F381-F0A7-4001-8AD5-29712A19EB54}"/>
    <cellStyle name="Comma 4 2 2 2 4 5" xfId="9246" xr:uid="{D7B26E62-95B4-4CCF-8E8B-37588EB9C93C}"/>
    <cellStyle name="Comma 4 2 2 2 5" xfId="1119" xr:uid="{00000000-0005-0000-0000-0000ED070000}"/>
    <cellStyle name="Comma 4 2 2 2 5 2" xfId="3350" xr:uid="{00000000-0005-0000-0000-0000EE070000}"/>
    <cellStyle name="Comma 4 2 2 2 5 2 2" xfId="7572" xr:uid="{00000000-0005-0000-0000-0000EF070000}"/>
    <cellStyle name="Comma 4 2 2 2 5 2 2 2" xfId="24470" xr:uid="{BB899232-9469-4477-BDBF-4AF60A71D204}"/>
    <cellStyle name="Comma 4 2 2 2 5 2 2 3" xfId="16022" xr:uid="{DEA6B0AF-47B0-4110-B886-CB78C3706359}"/>
    <cellStyle name="Comma 4 2 2 2 5 2 3" xfId="20252" xr:uid="{D2AE5203-30D4-452A-B023-AC23E2AD11CB}"/>
    <cellStyle name="Comma 4 2 2 2 5 2 4" xfId="11804" xr:uid="{5468A47A-1B25-47E6-8C09-C2CE71764FB0}"/>
    <cellStyle name="Comma 4 2 2 2 5 3" xfId="5427" xr:uid="{00000000-0005-0000-0000-0000F0070000}"/>
    <cellStyle name="Comma 4 2 2 2 5 3 2" xfId="22325" xr:uid="{D159574B-4ACB-4E14-8F09-D78E5C3B34E8}"/>
    <cellStyle name="Comma 4 2 2 2 5 3 3" xfId="13877" xr:uid="{24F3FC13-365D-44C6-8D6A-D4781CA31D3C}"/>
    <cellStyle name="Comma 4 2 2 2 5 4" xfId="18107" xr:uid="{0FC685B5-C012-4883-A3E5-89E1FAE7E211}"/>
    <cellStyle name="Comma 4 2 2 2 5 5" xfId="9659" xr:uid="{7E04DBD8-FAA4-47B0-AB31-15B398EBFBB1}"/>
    <cellStyle name="Comma 4 2 2 2 6" xfId="1533" xr:uid="{00000000-0005-0000-0000-0000F1070000}"/>
    <cellStyle name="Comma 4 2 2 2 6 2" xfId="3763" xr:uid="{00000000-0005-0000-0000-0000F2070000}"/>
    <cellStyle name="Comma 4 2 2 2 6 2 2" xfId="7985" xr:uid="{00000000-0005-0000-0000-0000F3070000}"/>
    <cellStyle name="Comma 4 2 2 2 6 2 2 2" xfId="24883" xr:uid="{0A4D4D64-86B9-41E4-A13A-28E4F590998E}"/>
    <cellStyle name="Comma 4 2 2 2 6 2 2 3" xfId="16435" xr:uid="{C8B91D33-580E-40D2-932A-2EB07AD5E43D}"/>
    <cellStyle name="Comma 4 2 2 2 6 2 3" xfId="20665" xr:uid="{7DFDE9E5-F250-4B21-A847-A94AA845574D}"/>
    <cellStyle name="Comma 4 2 2 2 6 2 4" xfId="12217" xr:uid="{A33AC7BF-6FBB-44A9-9534-14EFFD987A4F}"/>
    <cellStyle name="Comma 4 2 2 2 6 3" xfId="5840" xr:uid="{00000000-0005-0000-0000-0000F4070000}"/>
    <cellStyle name="Comma 4 2 2 2 6 3 2" xfId="22738" xr:uid="{282A9BBF-0791-4C0D-BB2B-266BC765FA54}"/>
    <cellStyle name="Comma 4 2 2 2 6 3 3" xfId="14290" xr:uid="{33A0A12F-4B35-41B9-A07C-1CB8DC6FA513}"/>
    <cellStyle name="Comma 4 2 2 2 6 4" xfId="18520" xr:uid="{9918BD2F-9A5D-41CA-945C-93E1735070ED}"/>
    <cellStyle name="Comma 4 2 2 2 6 5" xfId="10072" xr:uid="{7168A19A-C6B6-48F4-95FB-75D6878A020D}"/>
    <cellStyle name="Comma 4 2 2 2 7" xfId="1947" xr:uid="{00000000-0005-0000-0000-0000F5070000}"/>
    <cellStyle name="Comma 4 2 2 2 7 2" xfId="4176" xr:uid="{00000000-0005-0000-0000-0000F6070000}"/>
    <cellStyle name="Comma 4 2 2 2 7 2 2" xfId="8398" xr:uid="{00000000-0005-0000-0000-0000F7070000}"/>
    <cellStyle name="Comma 4 2 2 2 7 2 2 2" xfId="25296" xr:uid="{770EB6BB-CDEF-4B8F-ABF7-C608F9FB3A26}"/>
    <cellStyle name="Comma 4 2 2 2 7 2 2 3" xfId="16848" xr:uid="{4EA7630B-B5C8-47CF-8BE7-6995C563ABE9}"/>
    <cellStyle name="Comma 4 2 2 2 7 2 3" xfId="21078" xr:uid="{B31CC7C5-AAEA-41E5-B349-B745AB114777}"/>
    <cellStyle name="Comma 4 2 2 2 7 2 4" xfId="12630" xr:uid="{45BC39DC-63A4-4B7B-B035-E9E1A471A4CB}"/>
    <cellStyle name="Comma 4 2 2 2 7 3" xfId="6253" xr:uid="{00000000-0005-0000-0000-0000F8070000}"/>
    <cellStyle name="Comma 4 2 2 2 7 3 2" xfId="23151" xr:uid="{53813742-6CC1-4CD6-A161-E4A13379EAB2}"/>
    <cellStyle name="Comma 4 2 2 2 7 3 3" xfId="14703" xr:uid="{87DF80EF-636E-4E6C-8AB5-696D5AE47717}"/>
    <cellStyle name="Comma 4 2 2 2 7 4" xfId="18933" xr:uid="{A502A93D-84D2-4075-8ED5-0A89E6510FE1}"/>
    <cellStyle name="Comma 4 2 2 2 7 5" xfId="10485" xr:uid="{0BE19368-B59F-4E1F-86AF-1900837837CA}"/>
    <cellStyle name="Comma 4 2 2 2 8" xfId="2382" xr:uid="{00000000-0005-0000-0000-0000F9070000}"/>
    <cellStyle name="Comma 4 2 2 2 8 2" xfId="6666" xr:uid="{00000000-0005-0000-0000-0000FA070000}"/>
    <cellStyle name="Comma 4 2 2 2 8 2 2" xfId="23564" xr:uid="{E6FDE76F-10C9-404F-918E-FBF354299B34}"/>
    <cellStyle name="Comma 4 2 2 2 8 2 3" xfId="15116" xr:uid="{A92045E4-6F7B-438C-A5B4-B1B0E7BF2BB3}"/>
    <cellStyle name="Comma 4 2 2 2 8 3" xfId="19346" xr:uid="{B080563D-AF4F-473C-AFE2-F7884A32FD4A}"/>
    <cellStyle name="Comma 4 2 2 2 8 4" xfId="10898" xr:uid="{D389670F-4284-407E-974C-AF0A6A1B8E79}"/>
    <cellStyle name="Comma 4 2 2 2 9" xfId="2381" xr:uid="{00000000-0005-0000-0000-0000FB070000}"/>
    <cellStyle name="Comma 4 2 2 3" xfId="132" xr:uid="{00000000-0005-0000-0000-0000FC070000}"/>
    <cellStyle name="Comma 4 2 2 3 10" xfId="4604" xr:uid="{00000000-0005-0000-0000-0000FD070000}"/>
    <cellStyle name="Comma 4 2 2 3 10 2" xfId="21502" xr:uid="{4A8B1D08-431B-4AC6-8DFD-E41DC54C49A9}"/>
    <cellStyle name="Comma 4 2 2 3 10 3" xfId="13054" xr:uid="{AAB68764-AC98-4F4A-9E16-9B4801B23D74}"/>
    <cellStyle name="Comma 4 2 2 3 11" xfId="17284" xr:uid="{724B643A-9854-4D86-8023-84E6FDD58339}"/>
    <cellStyle name="Comma 4 2 2 3 12" xfId="8836" xr:uid="{ECBC4C53-3952-4D2F-8BC9-A73E6DA049C9}"/>
    <cellStyle name="Comma 4 2 2 3 2" xfId="133" xr:uid="{00000000-0005-0000-0000-0000FE070000}"/>
    <cellStyle name="Comma 4 2 2 3 2 10" xfId="17285" xr:uid="{583968EF-77FB-4BC2-9F7F-8D240D0E94D3}"/>
    <cellStyle name="Comma 4 2 2 3 2 11" xfId="8837" xr:uid="{8BCA778E-8B84-44A8-A4AD-B22BC2B95D35}"/>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24062" xr:uid="{3456EBE9-AA39-4B9D-9721-E9BCB9BB2A86}"/>
    <cellStyle name="Comma 4 2 2 3 2 2 2 2 3" xfId="15614" xr:uid="{FFFBB749-1DD2-4EDD-911F-94545AECC621}"/>
    <cellStyle name="Comma 4 2 2 3 2 2 2 3" xfId="19844" xr:uid="{5AE9544C-5534-4D51-8B2E-93C6692FF3C8}"/>
    <cellStyle name="Comma 4 2 2 3 2 2 2 4" xfId="11396" xr:uid="{6DE4C79C-327A-435F-8F23-86D3067172B1}"/>
    <cellStyle name="Comma 4 2 2 3 2 2 3" xfId="5019" xr:uid="{00000000-0005-0000-0000-000002080000}"/>
    <cellStyle name="Comma 4 2 2 3 2 2 3 2" xfId="21917" xr:uid="{B7CBF05A-D2B0-433D-BC2F-565805876E97}"/>
    <cellStyle name="Comma 4 2 2 3 2 2 3 3" xfId="13469" xr:uid="{6B922124-DC70-459C-86C8-E0E95BBD6C42}"/>
    <cellStyle name="Comma 4 2 2 3 2 2 4" xfId="17699" xr:uid="{7E1D44C3-9703-44BC-88D5-62680E530DC3}"/>
    <cellStyle name="Comma 4 2 2 3 2 2 5" xfId="9251" xr:uid="{BE483C1B-F3F1-4377-990A-97F442A9303A}"/>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24475" xr:uid="{80134D06-E3FA-40D7-A86A-4929536F3820}"/>
    <cellStyle name="Comma 4 2 2 3 2 3 2 2 3" xfId="16027" xr:uid="{0D19AB66-2F76-488D-9B21-847EEED8D7F9}"/>
    <cellStyle name="Comma 4 2 2 3 2 3 2 3" xfId="20257" xr:uid="{FB659815-4CDC-4B3D-8118-170CDD9365C6}"/>
    <cellStyle name="Comma 4 2 2 3 2 3 2 4" xfId="11809" xr:uid="{77DAB595-FA73-4A8A-BC78-F2FAFB3A1955}"/>
    <cellStyle name="Comma 4 2 2 3 2 3 3" xfId="5432" xr:uid="{00000000-0005-0000-0000-000006080000}"/>
    <cellStyle name="Comma 4 2 2 3 2 3 3 2" xfId="22330" xr:uid="{5937DEFE-262E-46FC-8C08-45822C1C544E}"/>
    <cellStyle name="Comma 4 2 2 3 2 3 3 3" xfId="13882" xr:uid="{9CBCD8A2-C3DC-4D98-B7E9-4C2E37E662BC}"/>
    <cellStyle name="Comma 4 2 2 3 2 3 4" xfId="18112" xr:uid="{2C5CF6FB-2885-4A00-93E8-2EB48E71DD0C}"/>
    <cellStyle name="Comma 4 2 2 3 2 3 5" xfId="9664" xr:uid="{A46066DF-88B5-46A5-B003-2D06E58C08D2}"/>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24888" xr:uid="{14DAE9A5-154D-4906-B209-51C8A3AF16FB}"/>
    <cellStyle name="Comma 4 2 2 3 2 4 2 2 3" xfId="16440" xr:uid="{5155A8EF-263A-42FF-B49D-D1023DCBC771}"/>
    <cellStyle name="Comma 4 2 2 3 2 4 2 3" xfId="20670" xr:uid="{BE62D01D-CC74-4E42-97E3-FC8FDA7F759E}"/>
    <cellStyle name="Comma 4 2 2 3 2 4 2 4" xfId="12222" xr:uid="{E838EE7A-C667-4BD0-956A-B2CBE833167F}"/>
    <cellStyle name="Comma 4 2 2 3 2 4 3" xfId="5845" xr:uid="{00000000-0005-0000-0000-00000A080000}"/>
    <cellStyle name="Comma 4 2 2 3 2 4 3 2" xfId="22743" xr:uid="{A70C542A-9989-4888-90A0-A5F67B5E1000}"/>
    <cellStyle name="Comma 4 2 2 3 2 4 3 3" xfId="14295" xr:uid="{3849B312-7603-4C53-80C6-F1A20CB2A405}"/>
    <cellStyle name="Comma 4 2 2 3 2 4 4" xfId="18525" xr:uid="{382B499C-41D5-45BA-A30B-48E57F2890B6}"/>
    <cellStyle name="Comma 4 2 2 3 2 4 5" xfId="10077" xr:uid="{DE178E81-D4A1-4508-A76B-DC486A62F722}"/>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25301" xr:uid="{E9026BAD-DF50-4287-8B54-08853C772507}"/>
    <cellStyle name="Comma 4 2 2 3 2 5 2 2 3" xfId="16853" xr:uid="{1256AE5A-191C-4243-8057-3D25A2B8E977}"/>
    <cellStyle name="Comma 4 2 2 3 2 5 2 3" xfId="21083" xr:uid="{08D3C02C-DBCF-4418-83A4-E92D9FDEA06C}"/>
    <cellStyle name="Comma 4 2 2 3 2 5 2 4" xfId="12635" xr:uid="{13B2416F-DF7C-4C1A-92D6-A38B1374E472}"/>
    <cellStyle name="Comma 4 2 2 3 2 5 3" xfId="6258" xr:uid="{00000000-0005-0000-0000-00000E080000}"/>
    <cellStyle name="Comma 4 2 2 3 2 5 3 2" xfId="23156" xr:uid="{A872EEA1-F8C1-415C-9A8E-6BA40D2A123B}"/>
    <cellStyle name="Comma 4 2 2 3 2 5 3 3" xfId="14708" xr:uid="{951E5A83-B0FC-47B1-A58C-17A732F673DD}"/>
    <cellStyle name="Comma 4 2 2 3 2 5 4" xfId="18938" xr:uid="{DA3C4156-FE8C-4127-B4AB-94F664FEB656}"/>
    <cellStyle name="Comma 4 2 2 3 2 5 5" xfId="10490" xr:uid="{1623CC0A-D6C5-43CA-AD26-5DC9A838B10E}"/>
    <cellStyle name="Comma 4 2 2 3 2 6" xfId="2387" xr:uid="{00000000-0005-0000-0000-00000F080000}"/>
    <cellStyle name="Comma 4 2 2 3 2 6 2" xfId="6671" xr:uid="{00000000-0005-0000-0000-000010080000}"/>
    <cellStyle name="Comma 4 2 2 3 2 6 2 2" xfId="23569" xr:uid="{BC2D7A52-9D0A-4DD9-A497-BA854DD30611}"/>
    <cellStyle name="Comma 4 2 2 3 2 6 2 3" xfId="15121" xr:uid="{AE4A1752-6F12-41C1-9D4A-A0E4C2A239CC}"/>
    <cellStyle name="Comma 4 2 2 3 2 6 3" xfId="19351" xr:uid="{9190C171-B085-4DDC-B496-26E5FF285274}"/>
    <cellStyle name="Comma 4 2 2 3 2 6 4" xfId="10903" xr:uid="{034B253C-4830-472E-9DF9-4A7829BBF8CC}"/>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23886" xr:uid="{30EED1C7-8927-48F4-83ED-5111DA0F95CC}"/>
    <cellStyle name="Comma 4 2 2 3 2 8 2 3" xfId="15438" xr:uid="{E12CD4EC-4010-496A-8E18-94F448CE20EB}"/>
    <cellStyle name="Comma 4 2 2 3 2 8 3" xfId="19668" xr:uid="{E61C5558-EC3C-4315-8E1A-CA64F8D2913E}"/>
    <cellStyle name="Comma 4 2 2 3 2 8 4" xfId="11220" xr:uid="{DEEDD0AB-2F3F-4735-99B3-FB545D44E24E}"/>
    <cellStyle name="Comma 4 2 2 3 2 9" xfId="4605" xr:uid="{00000000-0005-0000-0000-000014080000}"/>
    <cellStyle name="Comma 4 2 2 3 2 9 2" xfId="21503" xr:uid="{3C62EA67-0771-4551-A833-6FC5128130C3}"/>
    <cellStyle name="Comma 4 2 2 3 2 9 3" xfId="13055" xr:uid="{836A9003-3011-46D0-8D06-1A9BCCC5922C}"/>
    <cellStyle name="Comma 4 2 2 3 3" xfId="670" xr:uid="{00000000-0005-0000-0000-000015080000}"/>
    <cellStyle name="Comma 4 2 2 3 3 2" xfId="2941" xr:uid="{00000000-0005-0000-0000-000016080000}"/>
    <cellStyle name="Comma 4 2 2 3 3 2 2" xfId="7163" xr:uid="{00000000-0005-0000-0000-000017080000}"/>
    <cellStyle name="Comma 4 2 2 3 3 2 2 2" xfId="24061" xr:uid="{EC599BF7-5DC8-4F3F-98E4-5C2B197194DD}"/>
    <cellStyle name="Comma 4 2 2 3 3 2 2 3" xfId="15613" xr:uid="{6763E44B-CB4E-4FD7-93DC-6D2971553212}"/>
    <cellStyle name="Comma 4 2 2 3 3 2 3" xfId="19843" xr:uid="{BA4D5B8C-078C-4640-B609-C057A410D36F}"/>
    <cellStyle name="Comma 4 2 2 3 3 2 4" xfId="11395" xr:uid="{0529AB1E-4004-4440-AD9C-0A3FF3646126}"/>
    <cellStyle name="Comma 4 2 2 3 3 3" xfId="5018" xr:uid="{00000000-0005-0000-0000-000018080000}"/>
    <cellStyle name="Comma 4 2 2 3 3 3 2" xfId="21916" xr:uid="{7CA5CE5F-B447-4C38-960B-8F6B5C64B9AA}"/>
    <cellStyle name="Comma 4 2 2 3 3 3 3" xfId="13468" xr:uid="{544A0476-14F4-493A-B2B4-32040B570043}"/>
    <cellStyle name="Comma 4 2 2 3 3 4" xfId="17698" xr:uid="{71E5628D-BC0E-4A1B-B097-DEB591685C22}"/>
    <cellStyle name="Comma 4 2 2 3 3 5" xfId="9250" xr:uid="{57AB3CB5-B39B-4DA6-85A6-E64D79AC9CA4}"/>
    <cellStyle name="Comma 4 2 2 3 4" xfId="1123" xr:uid="{00000000-0005-0000-0000-000019080000}"/>
    <cellStyle name="Comma 4 2 2 3 4 2" xfId="3354" xr:uid="{00000000-0005-0000-0000-00001A080000}"/>
    <cellStyle name="Comma 4 2 2 3 4 2 2" xfId="7576" xr:uid="{00000000-0005-0000-0000-00001B080000}"/>
    <cellStyle name="Comma 4 2 2 3 4 2 2 2" xfId="24474" xr:uid="{4E2A2C81-C8B2-4F87-B1CD-FD4434868A33}"/>
    <cellStyle name="Comma 4 2 2 3 4 2 2 3" xfId="16026" xr:uid="{7FDFF745-84F0-40DB-BD3E-DB967730EEF1}"/>
    <cellStyle name="Comma 4 2 2 3 4 2 3" xfId="20256" xr:uid="{10E5D342-501C-4FC4-B324-F4FEA8500B66}"/>
    <cellStyle name="Comma 4 2 2 3 4 2 4" xfId="11808" xr:uid="{34B79101-ED43-4666-8FFF-ACBE131EC9B1}"/>
    <cellStyle name="Comma 4 2 2 3 4 3" xfId="5431" xr:uid="{00000000-0005-0000-0000-00001C080000}"/>
    <cellStyle name="Comma 4 2 2 3 4 3 2" xfId="22329" xr:uid="{AFA4D342-EA6D-40D8-9F8C-46A453AE6F5A}"/>
    <cellStyle name="Comma 4 2 2 3 4 3 3" xfId="13881" xr:uid="{F241FD2F-2065-4407-B4C2-B5B046928979}"/>
    <cellStyle name="Comma 4 2 2 3 4 4" xfId="18111" xr:uid="{5E9171BB-854B-4E84-B902-B7D35351B865}"/>
    <cellStyle name="Comma 4 2 2 3 4 5" xfId="9663" xr:uid="{105E34C8-2158-4001-93D1-89A0AF8314F8}"/>
    <cellStyle name="Comma 4 2 2 3 5" xfId="1537" xr:uid="{00000000-0005-0000-0000-00001D080000}"/>
    <cellStyle name="Comma 4 2 2 3 5 2" xfId="3767" xr:uid="{00000000-0005-0000-0000-00001E080000}"/>
    <cellStyle name="Comma 4 2 2 3 5 2 2" xfId="7989" xr:uid="{00000000-0005-0000-0000-00001F080000}"/>
    <cellStyle name="Comma 4 2 2 3 5 2 2 2" xfId="24887" xr:uid="{5F91FCE9-D2F8-4778-8149-89F08C00C65A}"/>
    <cellStyle name="Comma 4 2 2 3 5 2 2 3" xfId="16439" xr:uid="{EF31C43E-0462-421A-AAEF-907DE3BB5922}"/>
    <cellStyle name="Comma 4 2 2 3 5 2 3" xfId="20669" xr:uid="{F3327E45-C63E-42D0-AB5A-B9A9FBA55BF3}"/>
    <cellStyle name="Comma 4 2 2 3 5 2 4" xfId="12221" xr:uid="{06C44AB0-723C-4325-885F-971B32FFECA0}"/>
    <cellStyle name="Comma 4 2 2 3 5 3" xfId="5844" xr:uid="{00000000-0005-0000-0000-000020080000}"/>
    <cellStyle name="Comma 4 2 2 3 5 3 2" xfId="22742" xr:uid="{535C4509-E007-4792-8E83-46D10F56F30D}"/>
    <cellStyle name="Comma 4 2 2 3 5 3 3" xfId="14294" xr:uid="{58B1906E-EE7A-42F9-9EC0-71EDCF7C798A}"/>
    <cellStyle name="Comma 4 2 2 3 5 4" xfId="18524" xr:uid="{83F1F7A0-6F70-42AA-ADDA-0AA5A6DBFD1C}"/>
    <cellStyle name="Comma 4 2 2 3 5 5" xfId="10076" xr:uid="{A5AE193F-00CF-473E-986A-22B9B9AF59E9}"/>
    <cellStyle name="Comma 4 2 2 3 6" xfId="1951" xr:uid="{00000000-0005-0000-0000-000021080000}"/>
    <cellStyle name="Comma 4 2 2 3 6 2" xfId="4180" xr:uid="{00000000-0005-0000-0000-000022080000}"/>
    <cellStyle name="Comma 4 2 2 3 6 2 2" xfId="8402" xr:uid="{00000000-0005-0000-0000-000023080000}"/>
    <cellStyle name="Comma 4 2 2 3 6 2 2 2" xfId="25300" xr:uid="{76036321-A360-4528-9E1B-97994B6EBECB}"/>
    <cellStyle name="Comma 4 2 2 3 6 2 2 3" xfId="16852" xr:uid="{4A7759F0-0D7A-40EB-B763-FE3400AAAB4E}"/>
    <cellStyle name="Comma 4 2 2 3 6 2 3" xfId="21082" xr:uid="{0D89F479-1901-4A5A-9495-5D6CD3C5B1B0}"/>
    <cellStyle name="Comma 4 2 2 3 6 2 4" xfId="12634" xr:uid="{973F8FAE-2284-4155-AE3E-8329A4B1999E}"/>
    <cellStyle name="Comma 4 2 2 3 6 3" xfId="6257" xr:uid="{00000000-0005-0000-0000-000024080000}"/>
    <cellStyle name="Comma 4 2 2 3 6 3 2" xfId="23155" xr:uid="{BE7FF8CB-F1DA-44E4-94D9-7473D78237AE}"/>
    <cellStyle name="Comma 4 2 2 3 6 3 3" xfId="14707" xr:uid="{76495180-D25C-4B9A-9A7B-91874DC1E1EE}"/>
    <cellStyle name="Comma 4 2 2 3 6 4" xfId="18937" xr:uid="{38C7A00A-2C00-4BBE-89F9-141CAC6ADC75}"/>
    <cellStyle name="Comma 4 2 2 3 6 5" xfId="10489" xr:uid="{BA614DCF-AB99-426E-AAE3-5D3BBFC9C5A9}"/>
    <cellStyle name="Comma 4 2 2 3 7" xfId="2386" xr:uid="{00000000-0005-0000-0000-000025080000}"/>
    <cellStyle name="Comma 4 2 2 3 7 2" xfId="6670" xr:uid="{00000000-0005-0000-0000-000026080000}"/>
    <cellStyle name="Comma 4 2 2 3 7 2 2" xfId="23568" xr:uid="{B5188FE5-2719-4024-B75D-B1F151E630E6}"/>
    <cellStyle name="Comma 4 2 2 3 7 2 3" xfId="15120" xr:uid="{97846F30-3312-455E-82B2-307C9E0331F8}"/>
    <cellStyle name="Comma 4 2 2 3 7 3" xfId="19350" xr:uid="{4C9D9CEA-AF73-4190-8A39-9DCE00136EC8}"/>
    <cellStyle name="Comma 4 2 2 3 7 4" xfId="10902" xr:uid="{6D1015D5-9E1F-43BE-A2B6-D2D1CF827D62}"/>
    <cellStyle name="Comma 4 2 2 3 8" xfId="2377" xr:uid="{00000000-0005-0000-0000-000027080000}"/>
    <cellStyle name="Comma 4 2 2 3 9" xfId="2764" xr:uid="{00000000-0005-0000-0000-000028080000}"/>
    <cellStyle name="Comma 4 2 2 3 9 2" xfId="6987" xr:uid="{00000000-0005-0000-0000-000029080000}"/>
    <cellStyle name="Comma 4 2 2 3 9 2 2" xfId="23885" xr:uid="{CF3B3D05-1597-419E-808D-2BEEEFF85F84}"/>
    <cellStyle name="Comma 4 2 2 3 9 2 3" xfId="15437" xr:uid="{A38AAE0E-6B1C-4476-A0F0-833F4A845F4E}"/>
    <cellStyle name="Comma 4 2 2 3 9 3" xfId="19667" xr:uid="{092B1368-140D-42DD-AF08-AEC566912151}"/>
    <cellStyle name="Comma 4 2 2 3 9 4" xfId="11219" xr:uid="{33FE7319-DA0B-40CC-BE7B-475994037FA9}"/>
    <cellStyle name="Comma 4 2 2 4" xfId="134" xr:uid="{00000000-0005-0000-0000-00002A080000}"/>
    <cellStyle name="Comma 4 2 2 4 10" xfId="17286" xr:uid="{8E4335CF-3E7E-411B-AB9E-064483F9B7AD}"/>
    <cellStyle name="Comma 4 2 2 4 11" xfId="8838" xr:uid="{3D41DDC1-2F54-44D4-9786-6A60AD63A4F8}"/>
    <cellStyle name="Comma 4 2 2 4 2" xfId="672" xr:uid="{00000000-0005-0000-0000-00002B080000}"/>
    <cellStyle name="Comma 4 2 2 4 2 2" xfId="2943" xr:uid="{00000000-0005-0000-0000-00002C080000}"/>
    <cellStyle name="Comma 4 2 2 4 2 2 2" xfId="7165" xr:uid="{00000000-0005-0000-0000-00002D080000}"/>
    <cellStyle name="Comma 4 2 2 4 2 2 2 2" xfId="24063" xr:uid="{94A5ECA8-1602-4604-9CB3-0F1B67049A7D}"/>
    <cellStyle name="Comma 4 2 2 4 2 2 2 3" xfId="15615" xr:uid="{8372801F-9DB0-49B2-BB88-3D1F5CDE045E}"/>
    <cellStyle name="Comma 4 2 2 4 2 2 3" xfId="19845" xr:uid="{7948BE7A-0D2C-4215-926C-7A32D988EDBC}"/>
    <cellStyle name="Comma 4 2 2 4 2 2 4" xfId="11397" xr:uid="{59C3B2D2-8F65-4A74-BF24-FA4399BD7CFD}"/>
    <cellStyle name="Comma 4 2 2 4 2 3" xfId="5020" xr:uid="{00000000-0005-0000-0000-00002E080000}"/>
    <cellStyle name="Comma 4 2 2 4 2 3 2" xfId="21918" xr:uid="{47894F64-D949-421D-8E42-05C8AC9546D5}"/>
    <cellStyle name="Comma 4 2 2 4 2 3 3" xfId="13470" xr:uid="{5B754269-2587-4C9B-BC38-391342E83833}"/>
    <cellStyle name="Comma 4 2 2 4 2 4" xfId="17700" xr:uid="{BB095DFA-5AC9-4F7E-9212-6AE49B18CDF8}"/>
    <cellStyle name="Comma 4 2 2 4 2 5" xfId="9252" xr:uid="{6C79E0D5-7D92-4EA2-8B0E-83E0F49ED2DE}"/>
    <cellStyle name="Comma 4 2 2 4 3" xfId="1125" xr:uid="{00000000-0005-0000-0000-00002F080000}"/>
    <cellStyle name="Comma 4 2 2 4 3 2" xfId="3356" xr:uid="{00000000-0005-0000-0000-000030080000}"/>
    <cellStyle name="Comma 4 2 2 4 3 2 2" xfId="7578" xr:uid="{00000000-0005-0000-0000-000031080000}"/>
    <cellStyle name="Comma 4 2 2 4 3 2 2 2" xfId="24476" xr:uid="{222B04A6-4509-4D07-8255-54D0BB4B4F0F}"/>
    <cellStyle name="Comma 4 2 2 4 3 2 2 3" xfId="16028" xr:uid="{06515A43-111F-48B1-B43C-451D7AD6ECD1}"/>
    <cellStyle name="Comma 4 2 2 4 3 2 3" xfId="20258" xr:uid="{E5E8F6DF-EFB5-4223-92E2-D5756C9B2BDD}"/>
    <cellStyle name="Comma 4 2 2 4 3 2 4" xfId="11810" xr:uid="{72E1CA90-7A19-46DC-AD5A-96678CD9A40F}"/>
    <cellStyle name="Comma 4 2 2 4 3 3" xfId="5433" xr:uid="{00000000-0005-0000-0000-000032080000}"/>
    <cellStyle name="Comma 4 2 2 4 3 3 2" xfId="22331" xr:uid="{CC25B435-41D3-4ED0-A58F-8B09C017E9C0}"/>
    <cellStyle name="Comma 4 2 2 4 3 3 3" xfId="13883" xr:uid="{2A5DA43A-C4A3-430E-A0BE-69408BB206CA}"/>
    <cellStyle name="Comma 4 2 2 4 3 4" xfId="18113" xr:uid="{F9639FD8-D3BE-4C2C-B81E-3CE10794F6ED}"/>
    <cellStyle name="Comma 4 2 2 4 3 5" xfId="9665" xr:uid="{22DA68A9-4E28-4787-9739-D16245A480CA}"/>
    <cellStyle name="Comma 4 2 2 4 4" xfId="1539" xr:uid="{00000000-0005-0000-0000-000033080000}"/>
    <cellStyle name="Comma 4 2 2 4 4 2" xfId="3769" xr:uid="{00000000-0005-0000-0000-000034080000}"/>
    <cellStyle name="Comma 4 2 2 4 4 2 2" xfId="7991" xr:uid="{00000000-0005-0000-0000-000035080000}"/>
    <cellStyle name="Comma 4 2 2 4 4 2 2 2" xfId="24889" xr:uid="{092C62CA-FE09-4196-862D-CF0FF4F3E9FB}"/>
    <cellStyle name="Comma 4 2 2 4 4 2 2 3" xfId="16441" xr:uid="{D43D86E1-62E6-4E6F-A11C-AA6AC11BD4DF}"/>
    <cellStyle name="Comma 4 2 2 4 4 2 3" xfId="20671" xr:uid="{8C3601F3-33E0-4FF8-9316-03946B8ABE67}"/>
    <cellStyle name="Comma 4 2 2 4 4 2 4" xfId="12223" xr:uid="{FC752A3B-9158-40A8-B378-99277E3511F6}"/>
    <cellStyle name="Comma 4 2 2 4 4 3" xfId="5846" xr:uid="{00000000-0005-0000-0000-000036080000}"/>
    <cellStyle name="Comma 4 2 2 4 4 3 2" xfId="22744" xr:uid="{02BBD031-E618-4282-ADCB-9445A71FDE8D}"/>
    <cellStyle name="Comma 4 2 2 4 4 3 3" xfId="14296" xr:uid="{A48012AD-FA10-4F0A-8A88-AD31767DD07F}"/>
    <cellStyle name="Comma 4 2 2 4 4 4" xfId="18526" xr:uid="{36FAC26F-C450-4A46-8EB4-A9817F7F89B0}"/>
    <cellStyle name="Comma 4 2 2 4 4 5" xfId="10078" xr:uid="{FECD63D5-6174-4CB7-8F58-DD87E85AB298}"/>
    <cellStyle name="Comma 4 2 2 4 5" xfId="1953" xr:uid="{00000000-0005-0000-0000-000037080000}"/>
    <cellStyle name="Comma 4 2 2 4 5 2" xfId="4182" xr:uid="{00000000-0005-0000-0000-000038080000}"/>
    <cellStyle name="Comma 4 2 2 4 5 2 2" xfId="8404" xr:uid="{00000000-0005-0000-0000-000039080000}"/>
    <cellStyle name="Comma 4 2 2 4 5 2 2 2" xfId="25302" xr:uid="{41287DF1-5E56-44C7-96B0-2544BE5A06D4}"/>
    <cellStyle name="Comma 4 2 2 4 5 2 2 3" xfId="16854" xr:uid="{F26DA6DE-3EB1-4677-A771-86E709F5E7A1}"/>
    <cellStyle name="Comma 4 2 2 4 5 2 3" xfId="21084" xr:uid="{C1DE0DB1-E728-4CFD-9C47-4AF4E0B6FDB9}"/>
    <cellStyle name="Comma 4 2 2 4 5 2 4" xfId="12636" xr:uid="{6DC03D0A-5897-4743-BA7A-BC7AE982B64E}"/>
    <cellStyle name="Comma 4 2 2 4 5 3" xfId="6259" xr:uid="{00000000-0005-0000-0000-00003A080000}"/>
    <cellStyle name="Comma 4 2 2 4 5 3 2" xfId="23157" xr:uid="{07B8E42E-AC71-491C-9450-94A3ECE09609}"/>
    <cellStyle name="Comma 4 2 2 4 5 3 3" xfId="14709" xr:uid="{8EF33666-77D2-44D5-B7BE-F4D8464DAF90}"/>
    <cellStyle name="Comma 4 2 2 4 5 4" xfId="18939" xr:uid="{9279AF3C-3837-499C-92F0-E2C2E2F09B7A}"/>
    <cellStyle name="Comma 4 2 2 4 5 5" xfId="10491" xr:uid="{75714BA4-D343-4E4E-A612-42249BECCE19}"/>
    <cellStyle name="Comma 4 2 2 4 6" xfId="2388" xr:uid="{00000000-0005-0000-0000-00003B080000}"/>
    <cellStyle name="Comma 4 2 2 4 6 2" xfId="6672" xr:uid="{00000000-0005-0000-0000-00003C080000}"/>
    <cellStyle name="Comma 4 2 2 4 6 2 2" xfId="23570" xr:uid="{03A2B6CA-75CC-4B43-B308-E6012FC67792}"/>
    <cellStyle name="Comma 4 2 2 4 6 2 3" xfId="15122" xr:uid="{253C72E4-3A31-4048-88E6-A8EF12E9C9F1}"/>
    <cellStyle name="Comma 4 2 2 4 6 3" xfId="19352" xr:uid="{4026D899-6503-46ED-BDCE-70DCCC936392}"/>
    <cellStyle name="Comma 4 2 2 4 6 4" xfId="10904" xr:uid="{6145E2C8-ECF4-48C8-A6C6-347F8E3E7C0A}"/>
    <cellStyle name="Comma 4 2 2 4 7" xfId="2375" xr:uid="{00000000-0005-0000-0000-00003D080000}"/>
    <cellStyle name="Comma 4 2 2 4 8" xfId="2766" xr:uid="{00000000-0005-0000-0000-00003E080000}"/>
    <cellStyle name="Comma 4 2 2 4 8 2" xfId="6989" xr:uid="{00000000-0005-0000-0000-00003F080000}"/>
    <cellStyle name="Comma 4 2 2 4 8 2 2" xfId="23887" xr:uid="{1C0D61AC-3FA4-46DE-B590-869D9A461656}"/>
    <cellStyle name="Comma 4 2 2 4 8 2 3" xfId="15439" xr:uid="{5382FAFC-C7FC-4E25-929E-3442F1E78CCA}"/>
    <cellStyle name="Comma 4 2 2 4 8 3" xfId="19669" xr:uid="{D4F9D648-135E-4880-8F2D-97E1D9EC5C47}"/>
    <cellStyle name="Comma 4 2 2 4 8 4" xfId="11221" xr:uid="{3BA38F13-B12F-4CBD-9182-55DF6C9FBD6C}"/>
    <cellStyle name="Comma 4 2 2 4 9" xfId="4606" xr:uid="{00000000-0005-0000-0000-000040080000}"/>
    <cellStyle name="Comma 4 2 2 4 9 2" xfId="21504" xr:uid="{213DFBDA-6CB0-44DD-8FE2-3F3AADC42648}"/>
    <cellStyle name="Comma 4 2 2 4 9 3" xfId="13056" xr:uid="{946FF2D6-816D-4A0E-AC30-0DE30627EDC3}"/>
    <cellStyle name="Comma 4 2 2 5" xfId="135" xr:uid="{00000000-0005-0000-0000-000041080000}"/>
    <cellStyle name="Comma 4 2 2 5 10" xfId="17287" xr:uid="{B4139782-7ADA-4A6E-AA9F-BB0CD63DAAD6}"/>
    <cellStyle name="Comma 4 2 2 5 11" xfId="8839" xr:uid="{02F0615D-743B-4A6B-AE56-CB738A5EEEF7}"/>
    <cellStyle name="Comma 4 2 2 5 2" xfId="673" xr:uid="{00000000-0005-0000-0000-000042080000}"/>
    <cellStyle name="Comma 4 2 2 5 2 2" xfId="2944" xr:uid="{00000000-0005-0000-0000-000043080000}"/>
    <cellStyle name="Comma 4 2 2 5 2 2 2" xfId="7166" xr:uid="{00000000-0005-0000-0000-000044080000}"/>
    <cellStyle name="Comma 4 2 2 5 2 2 2 2" xfId="24064" xr:uid="{EA0AAE18-DDA4-48C3-A5FA-B30E1EC02900}"/>
    <cellStyle name="Comma 4 2 2 5 2 2 2 3" xfId="15616" xr:uid="{8DE5A1D3-71A7-49B2-8C0E-032B6537D6AE}"/>
    <cellStyle name="Comma 4 2 2 5 2 2 3" xfId="19846" xr:uid="{75B80F97-CDB3-4025-9A48-BECB81CA2DE5}"/>
    <cellStyle name="Comma 4 2 2 5 2 2 4" xfId="11398" xr:uid="{ED784EE1-7F47-488C-8C5F-9BF7B0454613}"/>
    <cellStyle name="Comma 4 2 2 5 2 3" xfId="5021" xr:uid="{00000000-0005-0000-0000-000045080000}"/>
    <cellStyle name="Comma 4 2 2 5 2 3 2" xfId="21919" xr:uid="{90E5C61C-98BF-4696-8BD7-39E129DA5A98}"/>
    <cellStyle name="Comma 4 2 2 5 2 3 3" xfId="13471" xr:uid="{DEDC218A-35FF-4CE9-8D56-5E55484C0A81}"/>
    <cellStyle name="Comma 4 2 2 5 2 4" xfId="17701" xr:uid="{C390FE47-F203-412D-81ED-F2EAED47A212}"/>
    <cellStyle name="Comma 4 2 2 5 2 5" xfId="9253" xr:uid="{AEC721E6-B238-4DF9-8C70-4ECC7D758EB0}"/>
    <cellStyle name="Comma 4 2 2 5 3" xfId="1126" xr:uid="{00000000-0005-0000-0000-000046080000}"/>
    <cellStyle name="Comma 4 2 2 5 3 2" xfId="3357" xr:uid="{00000000-0005-0000-0000-000047080000}"/>
    <cellStyle name="Comma 4 2 2 5 3 2 2" xfId="7579" xr:uid="{00000000-0005-0000-0000-000048080000}"/>
    <cellStyle name="Comma 4 2 2 5 3 2 2 2" xfId="24477" xr:uid="{26A4A4C7-80BD-474E-9165-6A8C0A2636E2}"/>
    <cellStyle name="Comma 4 2 2 5 3 2 2 3" xfId="16029" xr:uid="{8A1E3170-542A-44D4-90BB-6AAD52D96719}"/>
    <cellStyle name="Comma 4 2 2 5 3 2 3" xfId="20259" xr:uid="{25358643-C2A4-40D8-A928-075FA80C8F39}"/>
    <cellStyle name="Comma 4 2 2 5 3 2 4" xfId="11811" xr:uid="{AA48D4CA-E96C-438E-9541-450F301600D9}"/>
    <cellStyle name="Comma 4 2 2 5 3 3" xfId="5434" xr:uid="{00000000-0005-0000-0000-000049080000}"/>
    <cellStyle name="Comma 4 2 2 5 3 3 2" xfId="22332" xr:uid="{012457EB-7607-4462-881E-BE1AA64881AA}"/>
    <cellStyle name="Comma 4 2 2 5 3 3 3" xfId="13884" xr:uid="{5E74673C-AC54-483B-9416-C0115F649B86}"/>
    <cellStyle name="Comma 4 2 2 5 3 4" xfId="18114" xr:uid="{5DCB7E79-1883-46C1-B763-1D8D9284DB35}"/>
    <cellStyle name="Comma 4 2 2 5 3 5" xfId="9666" xr:uid="{44750B5E-49C0-4BE3-A261-04C1ED9522D7}"/>
    <cellStyle name="Comma 4 2 2 5 4" xfId="1540" xr:uid="{00000000-0005-0000-0000-00004A080000}"/>
    <cellStyle name="Comma 4 2 2 5 4 2" xfId="3770" xr:uid="{00000000-0005-0000-0000-00004B080000}"/>
    <cellStyle name="Comma 4 2 2 5 4 2 2" xfId="7992" xr:uid="{00000000-0005-0000-0000-00004C080000}"/>
    <cellStyle name="Comma 4 2 2 5 4 2 2 2" xfId="24890" xr:uid="{828952A4-A28C-4BFE-BE2F-42E418231074}"/>
    <cellStyle name="Comma 4 2 2 5 4 2 2 3" xfId="16442" xr:uid="{F7AB034A-D79E-4750-B8DD-8AA37F6B5D62}"/>
    <cellStyle name="Comma 4 2 2 5 4 2 3" xfId="20672" xr:uid="{38940586-4DB9-4AAF-BD12-56EC73B0575B}"/>
    <cellStyle name="Comma 4 2 2 5 4 2 4" xfId="12224" xr:uid="{91A0A1D4-3FFF-4591-8C4D-F9653693FBBC}"/>
    <cellStyle name="Comma 4 2 2 5 4 3" xfId="5847" xr:uid="{00000000-0005-0000-0000-00004D080000}"/>
    <cellStyle name="Comma 4 2 2 5 4 3 2" xfId="22745" xr:uid="{FF3A4797-87AA-4487-ADB6-2A2E617DE301}"/>
    <cellStyle name="Comma 4 2 2 5 4 3 3" xfId="14297" xr:uid="{6B5B2A20-4899-45EF-9A6B-0AD8FEB392F2}"/>
    <cellStyle name="Comma 4 2 2 5 4 4" xfId="18527" xr:uid="{5499B05C-B00E-4A6F-A205-07E401AB41BC}"/>
    <cellStyle name="Comma 4 2 2 5 4 5" xfId="10079" xr:uid="{18BA1727-80B4-4EDB-8384-277E581827B4}"/>
    <cellStyle name="Comma 4 2 2 5 5" xfId="1954" xr:uid="{00000000-0005-0000-0000-00004E080000}"/>
    <cellStyle name="Comma 4 2 2 5 5 2" xfId="4183" xr:uid="{00000000-0005-0000-0000-00004F080000}"/>
    <cellStyle name="Comma 4 2 2 5 5 2 2" xfId="8405" xr:uid="{00000000-0005-0000-0000-000050080000}"/>
    <cellStyle name="Comma 4 2 2 5 5 2 2 2" xfId="25303" xr:uid="{6C68D204-2CA9-443F-A09E-53A29B9B22C2}"/>
    <cellStyle name="Comma 4 2 2 5 5 2 2 3" xfId="16855" xr:uid="{D5EFF3C2-05F3-4E43-82CB-A74621145312}"/>
    <cellStyle name="Comma 4 2 2 5 5 2 3" xfId="21085" xr:uid="{FFF3D940-3762-4229-845B-43FEFCF7C1A5}"/>
    <cellStyle name="Comma 4 2 2 5 5 2 4" xfId="12637" xr:uid="{9C711775-62FB-4912-B671-A6A0C98A9F12}"/>
    <cellStyle name="Comma 4 2 2 5 5 3" xfId="6260" xr:uid="{00000000-0005-0000-0000-000051080000}"/>
    <cellStyle name="Comma 4 2 2 5 5 3 2" xfId="23158" xr:uid="{1CAC88B0-39EC-4614-8B11-338A29BDE9A2}"/>
    <cellStyle name="Comma 4 2 2 5 5 3 3" xfId="14710" xr:uid="{349D83B8-A7D4-430F-8F08-C0877FCBE0CA}"/>
    <cellStyle name="Comma 4 2 2 5 5 4" xfId="18940" xr:uid="{DCCD66BC-3099-4EA8-B694-F0DCF4AA118B}"/>
    <cellStyle name="Comma 4 2 2 5 5 5" xfId="10492" xr:uid="{99CF612F-5DF0-4104-816B-B9A5CCDD15CD}"/>
    <cellStyle name="Comma 4 2 2 5 6" xfId="2389" xr:uid="{00000000-0005-0000-0000-000052080000}"/>
    <cellStyle name="Comma 4 2 2 5 6 2" xfId="6673" xr:uid="{00000000-0005-0000-0000-000053080000}"/>
    <cellStyle name="Comma 4 2 2 5 6 2 2" xfId="23571" xr:uid="{58291ADF-5E7B-43CD-8CE6-F7720D2585A7}"/>
    <cellStyle name="Comma 4 2 2 5 6 2 3" xfId="15123" xr:uid="{E564A6A1-EE09-4DC7-B2A4-7592E02CA4B5}"/>
    <cellStyle name="Comma 4 2 2 5 6 3" xfId="19353" xr:uid="{C176EB72-7E59-44E3-946A-3802B275DB77}"/>
    <cellStyle name="Comma 4 2 2 5 6 4" xfId="10905" xr:uid="{C4969B4D-634F-4A9A-A80E-060FE49937D8}"/>
    <cellStyle name="Comma 4 2 2 5 7" xfId="2374" xr:uid="{00000000-0005-0000-0000-000054080000}"/>
    <cellStyle name="Comma 4 2 2 5 8" xfId="2767" xr:uid="{00000000-0005-0000-0000-000055080000}"/>
    <cellStyle name="Comma 4 2 2 5 8 2" xfId="6990" xr:uid="{00000000-0005-0000-0000-000056080000}"/>
    <cellStyle name="Comma 4 2 2 5 8 2 2" xfId="23888" xr:uid="{4436ACB5-0926-42C7-9EDB-2A639E6CE0B3}"/>
    <cellStyle name="Comma 4 2 2 5 8 2 3" xfId="15440" xr:uid="{A7021A94-8AD9-406E-BBBE-687C7113F50C}"/>
    <cellStyle name="Comma 4 2 2 5 8 3" xfId="19670" xr:uid="{242965FF-1504-4D46-8D52-692A889AA9F3}"/>
    <cellStyle name="Comma 4 2 2 5 8 4" xfId="11222" xr:uid="{FC1DE48B-CBCF-447F-8EB8-169B735873FD}"/>
    <cellStyle name="Comma 4 2 2 5 9" xfId="4607" xr:uid="{00000000-0005-0000-0000-000057080000}"/>
    <cellStyle name="Comma 4 2 2 5 9 2" xfId="21505" xr:uid="{9D6749D6-E97A-40BF-A4D4-B91F908AF15D}"/>
    <cellStyle name="Comma 4 2 2 5 9 3" xfId="13057" xr:uid="{573D2B8C-28A8-49BD-9E81-187583F86A22}"/>
    <cellStyle name="Comma 4 2 3" xfId="136" xr:uid="{00000000-0005-0000-0000-000058080000}"/>
    <cellStyle name="Comma 4 2 3 10" xfId="2768" xr:uid="{00000000-0005-0000-0000-000059080000}"/>
    <cellStyle name="Comma 4 2 3 10 2" xfId="6991" xr:uid="{00000000-0005-0000-0000-00005A080000}"/>
    <cellStyle name="Comma 4 2 3 10 2 2" xfId="23889" xr:uid="{DDC9B6B1-7F74-4825-973B-325A7C6F4470}"/>
    <cellStyle name="Comma 4 2 3 10 2 3" xfId="15441" xr:uid="{E179E721-74E8-466B-A2E0-B15A272D5973}"/>
    <cellStyle name="Comma 4 2 3 10 3" xfId="19671" xr:uid="{6125F664-AE81-4F43-95EB-7555624D7F12}"/>
    <cellStyle name="Comma 4 2 3 10 4" xfId="11223" xr:uid="{A6772408-7FEA-414E-AEF5-C24E4BAB8644}"/>
    <cellStyle name="Comma 4 2 3 11" xfId="4608" xr:uid="{00000000-0005-0000-0000-00005B080000}"/>
    <cellStyle name="Comma 4 2 3 11 2" xfId="21506" xr:uid="{620CDDDD-3060-4B5D-9BF3-E08A79977C43}"/>
    <cellStyle name="Comma 4 2 3 11 3" xfId="13058" xr:uid="{BD87807F-EBCC-4BB7-9D17-0DA63164D695}"/>
    <cellStyle name="Comma 4 2 3 12" xfId="17288" xr:uid="{D8440EED-E53E-4CF5-A7A5-4E2A44BE2A1A}"/>
    <cellStyle name="Comma 4 2 3 13" xfId="8840" xr:uid="{C908EE9A-95F1-42AD-A799-02034EE80F5F}"/>
    <cellStyle name="Comma 4 2 3 2" xfId="137" xr:uid="{00000000-0005-0000-0000-00005C080000}"/>
    <cellStyle name="Comma 4 2 3 2 10" xfId="4609" xr:uid="{00000000-0005-0000-0000-00005D080000}"/>
    <cellStyle name="Comma 4 2 3 2 10 2" xfId="21507" xr:uid="{A99C89C6-C9B2-4524-A271-9AC5EBAEB0A5}"/>
    <cellStyle name="Comma 4 2 3 2 10 3" xfId="13059" xr:uid="{DAA780F6-CDA1-4FD7-9955-AC7351AF8836}"/>
    <cellStyle name="Comma 4 2 3 2 11" xfId="17289" xr:uid="{48DB68E1-5981-4D8C-BB63-E2A8B3B61DEF}"/>
    <cellStyle name="Comma 4 2 3 2 12" xfId="8841" xr:uid="{34321BE6-ADE0-4D66-B0D3-D6F3C76617DB}"/>
    <cellStyle name="Comma 4 2 3 2 2" xfId="138" xr:uid="{00000000-0005-0000-0000-00005E080000}"/>
    <cellStyle name="Comma 4 2 3 2 2 10" xfId="17290" xr:uid="{4A972C42-0F50-4970-8A5F-98808A0868EB}"/>
    <cellStyle name="Comma 4 2 3 2 2 11" xfId="8842" xr:uid="{AA711F82-8380-4E99-9DC1-5E05CFEEADAC}"/>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24067" xr:uid="{4A0016FE-C3E2-4E60-9ECC-EDFB2CF78070}"/>
    <cellStyle name="Comma 4 2 3 2 2 2 2 2 3" xfId="15619" xr:uid="{DC2BF1BA-0BA3-4B46-B18C-4AF166300007}"/>
    <cellStyle name="Comma 4 2 3 2 2 2 2 3" xfId="19849" xr:uid="{99EC92B5-9B42-4AA0-821B-B7D50F92F755}"/>
    <cellStyle name="Comma 4 2 3 2 2 2 2 4" xfId="11401" xr:uid="{AC436010-546E-4C7C-8DCA-8983F05CCD0B}"/>
    <cellStyle name="Comma 4 2 3 2 2 2 3" xfId="5024" xr:uid="{00000000-0005-0000-0000-000062080000}"/>
    <cellStyle name="Comma 4 2 3 2 2 2 3 2" xfId="21922" xr:uid="{0EBDAC00-273A-454F-A984-9B1AB4EA01E9}"/>
    <cellStyle name="Comma 4 2 3 2 2 2 3 3" xfId="13474" xr:uid="{6D0D9B0B-8D4C-4733-B452-069B20901E9D}"/>
    <cellStyle name="Comma 4 2 3 2 2 2 4" xfId="17704" xr:uid="{C48C2707-F0D4-45EB-935D-05EC13430F1D}"/>
    <cellStyle name="Comma 4 2 3 2 2 2 5" xfId="9256" xr:uid="{72B80785-051E-400E-AD4C-BA98D7155508}"/>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24480" xr:uid="{3D5738BA-8D0C-4D0D-B359-FC2C58E66D1D}"/>
    <cellStyle name="Comma 4 2 3 2 2 3 2 2 3" xfId="16032" xr:uid="{3E650C03-8EE8-4D03-BCE7-EAEBB28E00A4}"/>
    <cellStyle name="Comma 4 2 3 2 2 3 2 3" xfId="20262" xr:uid="{3A786AF9-5B86-486C-84C3-AD6040E4A1A3}"/>
    <cellStyle name="Comma 4 2 3 2 2 3 2 4" xfId="11814" xr:uid="{A7106308-B6A5-4CC5-A99A-8853CD4E49BA}"/>
    <cellStyle name="Comma 4 2 3 2 2 3 3" xfId="5437" xr:uid="{00000000-0005-0000-0000-000066080000}"/>
    <cellStyle name="Comma 4 2 3 2 2 3 3 2" xfId="22335" xr:uid="{DA3960EF-C02F-492B-AA18-1645E3EEF8F6}"/>
    <cellStyle name="Comma 4 2 3 2 2 3 3 3" xfId="13887" xr:uid="{8907B1CC-AACC-4902-A678-64F690248794}"/>
    <cellStyle name="Comma 4 2 3 2 2 3 4" xfId="18117" xr:uid="{B6BC645F-8E21-411D-88D5-0515D5CDB380}"/>
    <cellStyle name="Comma 4 2 3 2 2 3 5" xfId="9669" xr:uid="{533D9E80-5EE9-42C4-937E-C1B79A100795}"/>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24893" xr:uid="{A7523EEC-5075-43A1-A244-E376C2CED5BF}"/>
    <cellStyle name="Comma 4 2 3 2 2 4 2 2 3" xfId="16445" xr:uid="{02C89CF5-2BE2-43BE-8CFF-DF0BDB24EDF8}"/>
    <cellStyle name="Comma 4 2 3 2 2 4 2 3" xfId="20675" xr:uid="{75B7A5B2-3460-41FE-8152-10AC296C3EF6}"/>
    <cellStyle name="Comma 4 2 3 2 2 4 2 4" xfId="12227" xr:uid="{EACACC10-18EA-4174-B12D-7FC830AFCBD7}"/>
    <cellStyle name="Comma 4 2 3 2 2 4 3" xfId="5850" xr:uid="{00000000-0005-0000-0000-00006A080000}"/>
    <cellStyle name="Comma 4 2 3 2 2 4 3 2" xfId="22748" xr:uid="{E1537CB0-6CD8-464A-96B4-4C19F171C57E}"/>
    <cellStyle name="Comma 4 2 3 2 2 4 3 3" xfId="14300" xr:uid="{F5D46C07-968A-4EAB-BB29-E861E819A474}"/>
    <cellStyle name="Comma 4 2 3 2 2 4 4" xfId="18530" xr:uid="{D7B7A961-9253-4B56-A8F6-2A57053A04CE}"/>
    <cellStyle name="Comma 4 2 3 2 2 4 5" xfId="10082" xr:uid="{DE72DD48-DFD0-4748-8AC0-611C3F6CCD74}"/>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25306" xr:uid="{AC2B08DE-355F-4392-80F8-15C8282E93C0}"/>
    <cellStyle name="Comma 4 2 3 2 2 5 2 2 3" xfId="16858" xr:uid="{3FEB2340-6E5B-4299-A9A4-91D9E839A00A}"/>
    <cellStyle name="Comma 4 2 3 2 2 5 2 3" xfId="21088" xr:uid="{D2F564E8-F168-4072-A4AF-1B0CAA625BB7}"/>
    <cellStyle name="Comma 4 2 3 2 2 5 2 4" xfId="12640" xr:uid="{60AA9473-7DA1-45DC-80AC-FD81C2F756A5}"/>
    <cellStyle name="Comma 4 2 3 2 2 5 3" xfId="6263" xr:uid="{00000000-0005-0000-0000-00006E080000}"/>
    <cellStyle name="Comma 4 2 3 2 2 5 3 2" xfId="23161" xr:uid="{D0D50044-C035-4771-8529-E6A1B1F9B612}"/>
    <cellStyle name="Comma 4 2 3 2 2 5 3 3" xfId="14713" xr:uid="{05EA0DFF-848B-438D-AF0D-F73AEC6EFAFD}"/>
    <cellStyle name="Comma 4 2 3 2 2 5 4" xfId="18943" xr:uid="{05094B71-9550-47A2-927B-DF64B33480F0}"/>
    <cellStyle name="Comma 4 2 3 2 2 5 5" xfId="10495" xr:uid="{E1FF2753-7E6A-425D-97DE-7F76F2273C71}"/>
    <cellStyle name="Comma 4 2 3 2 2 6" xfId="2392" xr:uid="{00000000-0005-0000-0000-00006F080000}"/>
    <cellStyle name="Comma 4 2 3 2 2 6 2" xfId="6676" xr:uid="{00000000-0005-0000-0000-000070080000}"/>
    <cellStyle name="Comma 4 2 3 2 2 6 2 2" xfId="23574" xr:uid="{10F833F3-5413-48DD-AFAF-ED661BF8E4EA}"/>
    <cellStyle name="Comma 4 2 3 2 2 6 2 3" xfId="15126" xr:uid="{A3F2CE44-B8DA-4F17-8F7F-90927B314C06}"/>
    <cellStyle name="Comma 4 2 3 2 2 6 3" xfId="19356" xr:uid="{206FC4A3-D134-4986-B4B2-00179B1A2673}"/>
    <cellStyle name="Comma 4 2 3 2 2 6 4" xfId="10908" xr:uid="{910A24EC-3BB2-4C94-9E4A-242336EEE7F2}"/>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23891" xr:uid="{75C7C410-7CA9-4217-9804-4E146FE6377F}"/>
    <cellStyle name="Comma 4 2 3 2 2 8 2 3" xfId="15443" xr:uid="{5E26F5D6-10BA-46D8-B3FE-17E77E668407}"/>
    <cellStyle name="Comma 4 2 3 2 2 8 3" xfId="19673" xr:uid="{E8B28A68-E7C2-414F-88D6-0D64D26C2116}"/>
    <cellStyle name="Comma 4 2 3 2 2 8 4" xfId="11225" xr:uid="{4D59E13A-4E82-4E7A-A8ED-F5E2161FE3E3}"/>
    <cellStyle name="Comma 4 2 3 2 2 9" xfId="4610" xr:uid="{00000000-0005-0000-0000-000074080000}"/>
    <cellStyle name="Comma 4 2 3 2 2 9 2" xfId="21508" xr:uid="{ED18EA02-168E-4B07-AEB2-9E021684BC58}"/>
    <cellStyle name="Comma 4 2 3 2 2 9 3" xfId="13060" xr:uid="{A95A0486-7913-4E0D-8845-B0E996C945A6}"/>
    <cellStyle name="Comma 4 2 3 2 3" xfId="675" xr:uid="{00000000-0005-0000-0000-000075080000}"/>
    <cellStyle name="Comma 4 2 3 2 3 2" xfId="2946" xr:uid="{00000000-0005-0000-0000-000076080000}"/>
    <cellStyle name="Comma 4 2 3 2 3 2 2" xfId="7168" xr:uid="{00000000-0005-0000-0000-000077080000}"/>
    <cellStyle name="Comma 4 2 3 2 3 2 2 2" xfId="24066" xr:uid="{7A55F7EB-53C2-48F9-9365-D84B89A5E229}"/>
    <cellStyle name="Comma 4 2 3 2 3 2 2 3" xfId="15618" xr:uid="{609572DE-03F6-4037-B8B5-9FF71CA44A2D}"/>
    <cellStyle name="Comma 4 2 3 2 3 2 3" xfId="19848" xr:uid="{9E62D518-3264-4284-BD38-FE00EE148346}"/>
    <cellStyle name="Comma 4 2 3 2 3 2 4" xfId="11400" xr:uid="{BC80A83E-2462-47E4-884A-6F40F9F73EDB}"/>
    <cellStyle name="Comma 4 2 3 2 3 3" xfId="5023" xr:uid="{00000000-0005-0000-0000-000078080000}"/>
    <cellStyle name="Comma 4 2 3 2 3 3 2" xfId="21921" xr:uid="{96DDB5AF-9ACA-4768-8DD0-5F08249DAAE7}"/>
    <cellStyle name="Comma 4 2 3 2 3 3 3" xfId="13473" xr:uid="{CDBD8208-4098-4920-8D49-1A4C693AB14B}"/>
    <cellStyle name="Comma 4 2 3 2 3 4" xfId="17703" xr:uid="{814785FB-D5F6-4ADA-BD34-16C175210898}"/>
    <cellStyle name="Comma 4 2 3 2 3 5" xfId="9255" xr:uid="{EAA6008A-3056-49D3-9018-168992D4FF96}"/>
    <cellStyle name="Comma 4 2 3 2 4" xfId="1128" xr:uid="{00000000-0005-0000-0000-000079080000}"/>
    <cellStyle name="Comma 4 2 3 2 4 2" xfId="3359" xr:uid="{00000000-0005-0000-0000-00007A080000}"/>
    <cellStyle name="Comma 4 2 3 2 4 2 2" xfId="7581" xr:uid="{00000000-0005-0000-0000-00007B080000}"/>
    <cellStyle name="Comma 4 2 3 2 4 2 2 2" xfId="24479" xr:uid="{ED064369-E7C9-4183-9951-7AEC2747CA1C}"/>
    <cellStyle name="Comma 4 2 3 2 4 2 2 3" xfId="16031" xr:uid="{AAA49645-6A12-4608-824C-D00CC7E877C0}"/>
    <cellStyle name="Comma 4 2 3 2 4 2 3" xfId="20261" xr:uid="{388704B3-0970-472C-9D05-4C2E44B31B8E}"/>
    <cellStyle name="Comma 4 2 3 2 4 2 4" xfId="11813" xr:uid="{8BAA5D94-909F-40C0-9D4C-CB2AE679725F}"/>
    <cellStyle name="Comma 4 2 3 2 4 3" xfId="5436" xr:uid="{00000000-0005-0000-0000-00007C080000}"/>
    <cellStyle name="Comma 4 2 3 2 4 3 2" xfId="22334" xr:uid="{E9F4B33C-2F0C-4903-BC4E-0F9DB1713DD8}"/>
    <cellStyle name="Comma 4 2 3 2 4 3 3" xfId="13886" xr:uid="{CD3E6237-4178-438E-9EC2-4C8B117D6DC3}"/>
    <cellStyle name="Comma 4 2 3 2 4 4" xfId="18116" xr:uid="{F9562560-6F8C-425D-A8D3-4B49B6B38BE7}"/>
    <cellStyle name="Comma 4 2 3 2 4 5" xfId="9668" xr:uid="{FE17A720-5755-4D54-A698-31D7B11C5F40}"/>
    <cellStyle name="Comma 4 2 3 2 5" xfId="1542" xr:uid="{00000000-0005-0000-0000-00007D080000}"/>
    <cellStyle name="Comma 4 2 3 2 5 2" xfId="3772" xr:uid="{00000000-0005-0000-0000-00007E080000}"/>
    <cellStyle name="Comma 4 2 3 2 5 2 2" xfId="7994" xr:uid="{00000000-0005-0000-0000-00007F080000}"/>
    <cellStyle name="Comma 4 2 3 2 5 2 2 2" xfId="24892" xr:uid="{0D2E4F10-949D-4E24-BBAC-B94F69535789}"/>
    <cellStyle name="Comma 4 2 3 2 5 2 2 3" xfId="16444" xr:uid="{2CA39D93-1827-499D-BD62-7BB2F2F7565A}"/>
    <cellStyle name="Comma 4 2 3 2 5 2 3" xfId="20674" xr:uid="{2A54768D-322B-4E63-833B-3A317EA5E73C}"/>
    <cellStyle name="Comma 4 2 3 2 5 2 4" xfId="12226" xr:uid="{EC017D29-F3AD-4834-88AE-C34BE792B2FE}"/>
    <cellStyle name="Comma 4 2 3 2 5 3" xfId="5849" xr:uid="{00000000-0005-0000-0000-000080080000}"/>
    <cellStyle name="Comma 4 2 3 2 5 3 2" xfId="22747" xr:uid="{15CADFEC-7B19-47CF-AADC-C6053F487EE1}"/>
    <cellStyle name="Comma 4 2 3 2 5 3 3" xfId="14299" xr:uid="{891ACF7C-FE35-4D88-B1AF-3BB948E0BA9D}"/>
    <cellStyle name="Comma 4 2 3 2 5 4" xfId="18529" xr:uid="{8D1C867A-9899-4CFF-823A-BB3EC6FE7AF9}"/>
    <cellStyle name="Comma 4 2 3 2 5 5" xfId="10081" xr:uid="{9A429BBD-8408-4424-A524-E4F0F2B5F6F1}"/>
    <cellStyle name="Comma 4 2 3 2 6" xfId="1956" xr:uid="{00000000-0005-0000-0000-000081080000}"/>
    <cellStyle name="Comma 4 2 3 2 6 2" xfId="4185" xr:uid="{00000000-0005-0000-0000-000082080000}"/>
    <cellStyle name="Comma 4 2 3 2 6 2 2" xfId="8407" xr:uid="{00000000-0005-0000-0000-000083080000}"/>
    <cellStyle name="Comma 4 2 3 2 6 2 2 2" xfId="25305" xr:uid="{D58AF0FF-EBCE-4658-BABD-9D70D79DB8C8}"/>
    <cellStyle name="Comma 4 2 3 2 6 2 2 3" xfId="16857" xr:uid="{F8019BEA-2C97-4460-9182-88CD89C83C88}"/>
    <cellStyle name="Comma 4 2 3 2 6 2 3" xfId="21087" xr:uid="{226D6A75-9587-4734-8D3D-78C26B3FAF29}"/>
    <cellStyle name="Comma 4 2 3 2 6 2 4" xfId="12639" xr:uid="{4C55B52B-CD39-4EC6-AAC6-BE72A6D339DC}"/>
    <cellStyle name="Comma 4 2 3 2 6 3" xfId="6262" xr:uid="{00000000-0005-0000-0000-000084080000}"/>
    <cellStyle name="Comma 4 2 3 2 6 3 2" xfId="23160" xr:uid="{1888C302-2055-4065-99F9-1EEB054ACCBA}"/>
    <cellStyle name="Comma 4 2 3 2 6 3 3" xfId="14712" xr:uid="{E3B9FDB2-AE50-4931-819C-614E2B868308}"/>
    <cellStyle name="Comma 4 2 3 2 6 4" xfId="18942" xr:uid="{3927FBDC-CC55-4779-93CE-E640ADF2555D}"/>
    <cellStyle name="Comma 4 2 3 2 6 5" xfId="10494" xr:uid="{A13AA63F-2D27-430D-9514-BBBB62CE47F5}"/>
    <cellStyle name="Comma 4 2 3 2 7" xfId="2391" xr:uid="{00000000-0005-0000-0000-000085080000}"/>
    <cellStyle name="Comma 4 2 3 2 7 2" xfId="6675" xr:uid="{00000000-0005-0000-0000-000086080000}"/>
    <cellStyle name="Comma 4 2 3 2 7 2 2" xfId="23573" xr:uid="{6B48386C-6E1B-44DA-9C1A-D4666233C6AF}"/>
    <cellStyle name="Comma 4 2 3 2 7 2 3" xfId="15125" xr:uid="{23189C7B-1B68-4E36-915E-08F49984B297}"/>
    <cellStyle name="Comma 4 2 3 2 7 3" xfId="19355" xr:uid="{AF019086-17B4-4ABA-BD77-C3C59F121234}"/>
    <cellStyle name="Comma 4 2 3 2 7 4" xfId="10907" xr:uid="{AFE5E43A-010D-43BA-B9F8-C3C51A96D185}"/>
    <cellStyle name="Comma 4 2 3 2 8" xfId="2372" xr:uid="{00000000-0005-0000-0000-000087080000}"/>
    <cellStyle name="Comma 4 2 3 2 9" xfId="2769" xr:uid="{00000000-0005-0000-0000-000088080000}"/>
    <cellStyle name="Comma 4 2 3 2 9 2" xfId="6992" xr:uid="{00000000-0005-0000-0000-000089080000}"/>
    <cellStyle name="Comma 4 2 3 2 9 2 2" xfId="23890" xr:uid="{B0A966F3-C287-4D23-BFC8-FB32DDCF8505}"/>
    <cellStyle name="Comma 4 2 3 2 9 2 3" xfId="15442" xr:uid="{A096CAA6-39AF-47FE-A183-47BA9690B7E1}"/>
    <cellStyle name="Comma 4 2 3 2 9 3" xfId="19672" xr:uid="{247B7536-262D-4D1C-901D-94F21A01DCA0}"/>
    <cellStyle name="Comma 4 2 3 2 9 4" xfId="11224" xr:uid="{AD9902BE-1ADB-4FB3-B482-58800A5990CE}"/>
    <cellStyle name="Comma 4 2 3 3" xfId="139" xr:uid="{00000000-0005-0000-0000-00008A080000}"/>
    <cellStyle name="Comma 4 2 3 3 10" xfId="17291" xr:uid="{ED97CA7A-CA3E-42FF-AC0D-BB0C86243A12}"/>
    <cellStyle name="Comma 4 2 3 3 11" xfId="8843" xr:uid="{561CE789-9A56-41B6-95CC-987743898823}"/>
    <cellStyle name="Comma 4 2 3 3 2" xfId="677" xr:uid="{00000000-0005-0000-0000-00008B080000}"/>
    <cellStyle name="Comma 4 2 3 3 2 2" xfId="2948" xr:uid="{00000000-0005-0000-0000-00008C080000}"/>
    <cellStyle name="Comma 4 2 3 3 2 2 2" xfId="7170" xr:uid="{00000000-0005-0000-0000-00008D080000}"/>
    <cellStyle name="Comma 4 2 3 3 2 2 2 2" xfId="24068" xr:uid="{221C146E-57AF-407A-A99E-A7C8337E3C40}"/>
    <cellStyle name="Comma 4 2 3 3 2 2 2 3" xfId="15620" xr:uid="{ACAB7E9E-E907-4FD0-BE3F-0D92D8482B78}"/>
    <cellStyle name="Comma 4 2 3 3 2 2 3" xfId="19850" xr:uid="{A85AA0BD-243E-4DB3-8869-45785B8E71E5}"/>
    <cellStyle name="Comma 4 2 3 3 2 2 4" xfId="11402" xr:uid="{8A09F0EC-6EDE-4E00-843E-87B726EA6A2D}"/>
    <cellStyle name="Comma 4 2 3 3 2 3" xfId="5025" xr:uid="{00000000-0005-0000-0000-00008E080000}"/>
    <cellStyle name="Comma 4 2 3 3 2 3 2" xfId="21923" xr:uid="{0E12A73B-A5AD-4BEB-822D-01389E40A7F3}"/>
    <cellStyle name="Comma 4 2 3 3 2 3 3" xfId="13475" xr:uid="{7FAB1F95-0AEF-4F22-AEB3-E9A840978191}"/>
    <cellStyle name="Comma 4 2 3 3 2 4" xfId="17705" xr:uid="{E5589F04-A9B7-423B-AC37-5D02638B4E02}"/>
    <cellStyle name="Comma 4 2 3 3 2 5" xfId="9257" xr:uid="{696CBB95-7B83-4C2D-A108-37867B2118FB}"/>
    <cellStyle name="Comma 4 2 3 3 3" xfId="1130" xr:uid="{00000000-0005-0000-0000-00008F080000}"/>
    <cellStyle name="Comma 4 2 3 3 3 2" xfId="3361" xr:uid="{00000000-0005-0000-0000-000090080000}"/>
    <cellStyle name="Comma 4 2 3 3 3 2 2" xfId="7583" xr:uid="{00000000-0005-0000-0000-000091080000}"/>
    <cellStyle name="Comma 4 2 3 3 3 2 2 2" xfId="24481" xr:uid="{0D857171-6B7E-4848-B7CA-36595A1F7A5D}"/>
    <cellStyle name="Comma 4 2 3 3 3 2 2 3" xfId="16033" xr:uid="{8E37E383-B7C0-4623-A28F-3EC8E937D259}"/>
    <cellStyle name="Comma 4 2 3 3 3 2 3" xfId="20263" xr:uid="{6A0337F1-2213-489B-A4D2-4E7C54069817}"/>
    <cellStyle name="Comma 4 2 3 3 3 2 4" xfId="11815" xr:uid="{523D4F4A-9A9D-43F1-B2EB-26C8EC614CF0}"/>
    <cellStyle name="Comma 4 2 3 3 3 3" xfId="5438" xr:uid="{00000000-0005-0000-0000-000092080000}"/>
    <cellStyle name="Comma 4 2 3 3 3 3 2" xfId="22336" xr:uid="{E144FD89-A073-40B3-8213-FE7AB0D76623}"/>
    <cellStyle name="Comma 4 2 3 3 3 3 3" xfId="13888" xr:uid="{C57A93DE-8C07-4C55-A2A9-040817DE7A36}"/>
    <cellStyle name="Comma 4 2 3 3 3 4" xfId="18118" xr:uid="{757834E8-2055-483B-8DF0-F4638739604D}"/>
    <cellStyle name="Comma 4 2 3 3 3 5" xfId="9670" xr:uid="{444C92BA-0A7D-46B7-9395-9B90A9C1EA95}"/>
    <cellStyle name="Comma 4 2 3 3 4" xfId="1544" xr:uid="{00000000-0005-0000-0000-000093080000}"/>
    <cellStyle name="Comma 4 2 3 3 4 2" xfId="3774" xr:uid="{00000000-0005-0000-0000-000094080000}"/>
    <cellStyle name="Comma 4 2 3 3 4 2 2" xfId="7996" xr:uid="{00000000-0005-0000-0000-000095080000}"/>
    <cellStyle name="Comma 4 2 3 3 4 2 2 2" xfId="24894" xr:uid="{02B8E027-3C1C-4C3C-832C-833A382FA76A}"/>
    <cellStyle name="Comma 4 2 3 3 4 2 2 3" xfId="16446" xr:uid="{151D83FB-12A3-4724-95C7-5E403860F192}"/>
    <cellStyle name="Comma 4 2 3 3 4 2 3" xfId="20676" xr:uid="{DA65A5B3-07D6-4BB5-90FD-DFC2F14925AB}"/>
    <cellStyle name="Comma 4 2 3 3 4 2 4" xfId="12228" xr:uid="{3D61645E-E38C-4DB1-8AE6-10E0AAE03FF5}"/>
    <cellStyle name="Comma 4 2 3 3 4 3" xfId="5851" xr:uid="{00000000-0005-0000-0000-000096080000}"/>
    <cellStyle name="Comma 4 2 3 3 4 3 2" xfId="22749" xr:uid="{95FB42F4-B8B7-4FC7-8C5D-07ABA243576E}"/>
    <cellStyle name="Comma 4 2 3 3 4 3 3" xfId="14301" xr:uid="{CF04747C-14B9-4731-94F7-627D9B716544}"/>
    <cellStyle name="Comma 4 2 3 3 4 4" xfId="18531" xr:uid="{CF94281B-34C0-4C55-B606-FE24F278154A}"/>
    <cellStyle name="Comma 4 2 3 3 4 5" xfId="10083" xr:uid="{9D075B0F-3892-4090-9E5A-586E449DE599}"/>
    <cellStyle name="Comma 4 2 3 3 5" xfId="1958" xr:uid="{00000000-0005-0000-0000-000097080000}"/>
    <cellStyle name="Comma 4 2 3 3 5 2" xfId="4187" xr:uid="{00000000-0005-0000-0000-000098080000}"/>
    <cellStyle name="Comma 4 2 3 3 5 2 2" xfId="8409" xr:uid="{00000000-0005-0000-0000-000099080000}"/>
    <cellStyle name="Comma 4 2 3 3 5 2 2 2" xfId="25307" xr:uid="{EB772DE8-C995-4A8E-8984-053A7286FE9C}"/>
    <cellStyle name="Comma 4 2 3 3 5 2 2 3" xfId="16859" xr:uid="{92260689-65F2-493E-B019-15792DD8A4BA}"/>
    <cellStyle name="Comma 4 2 3 3 5 2 3" xfId="21089" xr:uid="{1EDFE77C-E095-420C-B5B6-52399F962345}"/>
    <cellStyle name="Comma 4 2 3 3 5 2 4" xfId="12641" xr:uid="{2FB0C9D1-E5DF-4ABA-8253-3C19DA24F34C}"/>
    <cellStyle name="Comma 4 2 3 3 5 3" xfId="6264" xr:uid="{00000000-0005-0000-0000-00009A080000}"/>
    <cellStyle name="Comma 4 2 3 3 5 3 2" xfId="23162" xr:uid="{9082DF65-C503-41EF-9E6A-B15246FFBF24}"/>
    <cellStyle name="Comma 4 2 3 3 5 3 3" xfId="14714" xr:uid="{C44D7CDC-10D3-4D8C-8231-B94CDF9DC167}"/>
    <cellStyle name="Comma 4 2 3 3 5 4" xfId="18944" xr:uid="{5B442D22-B97E-4185-87D6-26DDFB9240B5}"/>
    <cellStyle name="Comma 4 2 3 3 5 5" xfId="10496" xr:uid="{00AF8888-7B2E-4CCF-9AC4-C4D3130716CD}"/>
    <cellStyle name="Comma 4 2 3 3 6" xfId="2393" xr:uid="{00000000-0005-0000-0000-00009B080000}"/>
    <cellStyle name="Comma 4 2 3 3 6 2" xfId="6677" xr:uid="{00000000-0005-0000-0000-00009C080000}"/>
    <cellStyle name="Comma 4 2 3 3 6 2 2" xfId="23575" xr:uid="{B185A7FD-A8B3-46C7-BD82-69F87E9F7262}"/>
    <cellStyle name="Comma 4 2 3 3 6 2 3" xfId="15127" xr:uid="{F0FC9AD6-BEBF-4BA6-8CAC-C34CD59A4B53}"/>
    <cellStyle name="Comma 4 2 3 3 6 3" xfId="19357" xr:uid="{D065608E-65F0-4A57-9CF4-577070A4CC54}"/>
    <cellStyle name="Comma 4 2 3 3 6 4" xfId="10909" xr:uid="{14BC9CCB-9BA2-4C31-838D-0E9B7CDF1E6A}"/>
    <cellStyle name="Comma 4 2 3 3 7" xfId="2370" xr:uid="{00000000-0005-0000-0000-00009D080000}"/>
    <cellStyle name="Comma 4 2 3 3 8" xfId="2771" xr:uid="{00000000-0005-0000-0000-00009E080000}"/>
    <cellStyle name="Comma 4 2 3 3 8 2" xfId="6994" xr:uid="{00000000-0005-0000-0000-00009F080000}"/>
    <cellStyle name="Comma 4 2 3 3 8 2 2" xfId="23892" xr:uid="{1A06FD9E-1756-4B05-A0AA-FE3F89C9E3EC}"/>
    <cellStyle name="Comma 4 2 3 3 8 2 3" xfId="15444" xr:uid="{FBA002E1-0A6C-4620-A9CE-AF875ECB321F}"/>
    <cellStyle name="Comma 4 2 3 3 8 3" xfId="19674" xr:uid="{A5669C31-DE4C-4946-A9A2-D4FA72176A66}"/>
    <cellStyle name="Comma 4 2 3 3 8 4" xfId="11226" xr:uid="{4011A20C-B49F-4575-86B7-4CDA12C9405C}"/>
    <cellStyle name="Comma 4 2 3 3 9" xfId="4611" xr:uid="{00000000-0005-0000-0000-0000A0080000}"/>
    <cellStyle name="Comma 4 2 3 3 9 2" xfId="21509" xr:uid="{E95128DF-8198-4673-9AC9-E6A6FA56B3FA}"/>
    <cellStyle name="Comma 4 2 3 3 9 3" xfId="13061" xr:uid="{F6108B0C-3CBC-42A4-B514-6FF3E29F7EAB}"/>
    <cellStyle name="Comma 4 2 3 4" xfId="674" xr:uid="{00000000-0005-0000-0000-0000A1080000}"/>
    <cellStyle name="Comma 4 2 3 4 2" xfId="2945" xr:uid="{00000000-0005-0000-0000-0000A2080000}"/>
    <cellStyle name="Comma 4 2 3 4 2 2" xfId="7167" xr:uid="{00000000-0005-0000-0000-0000A3080000}"/>
    <cellStyle name="Comma 4 2 3 4 2 2 2" xfId="24065" xr:uid="{2430BE79-0716-46C9-B8EA-103691E0A89E}"/>
    <cellStyle name="Comma 4 2 3 4 2 2 3" xfId="15617" xr:uid="{FE12368D-23C5-4369-86B8-FC264B891F7C}"/>
    <cellStyle name="Comma 4 2 3 4 2 3" xfId="19847" xr:uid="{959D7244-18AA-4814-9EE3-EDB340796933}"/>
    <cellStyle name="Comma 4 2 3 4 2 4" xfId="11399" xr:uid="{1710676C-4220-479A-869B-951B6AE0C5A4}"/>
    <cellStyle name="Comma 4 2 3 4 3" xfId="5022" xr:uid="{00000000-0005-0000-0000-0000A4080000}"/>
    <cellStyle name="Comma 4 2 3 4 3 2" xfId="21920" xr:uid="{B1E7A63C-BD13-47CA-9E4F-AD753C9630D0}"/>
    <cellStyle name="Comma 4 2 3 4 3 3" xfId="13472" xr:uid="{4703B98E-7142-4D22-A9BA-3EDD91AABA2F}"/>
    <cellStyle name="Comma 4 2 3 4 4" xfId="17702" xr:uid="{9178ADC1-4382-4A29-B0B8-F51376C3480E}"/>
    <cellStyle name="Comma 4 2 3 4 5" xfId="9254" xr:uid="{717380B8-9270-43D3-9D61-D87AF89BB1EB}"/>
    <cellStyle name="Comma 4 2 3 5" xfId="1127" xr:uid="{00000000-0005-0000-0000-0000A5080000}"/>
    <cellStyle name="Comma 4 2 3 5 2" xfId="3358" xr:uid="{00000000-0005-0000-0000-0000A6080000}"/>
    <cellStyle name="Comma 4 2 3 5 2 2" xfId="7580" xr:uid="{00000000-0005-0000-0000-0000A7080000}"/>
    <cellStyle name="Comma 4 2 3 5 2 2 2" xfId="24478" xr:uid="{9D1C5472-871C-4065-97A9-897059CD4E5B}"/>
    <cellStyle name="Comma 4 2 3 5 2 2 3" xfId="16030" xr:uid="{3B1AD828-460A-4A9D-AEA2-4645FE4DBFA1}"/>
    <cellStyle name="Comma 4 2 3 5 2 3" xfId="20260" xr:uid="{F359F21E-F074-45A6-BCA6-0B708FDFA6D0}"/>
    <cellStyle name="Comma 4 2 3 5 2 4" xfId="11812" xr:uid="{1924436A-12B4-4F2B-99DA-C60910E75FEB}"/>
    <cellStyle name="Comma 4 2 3 5 3" xfId="5435" xr:uid="{00000000-0005-0000-0000-0000A8080000}"/>
    <cellStyle name="Comma 4 2 3 5 3 2" xfId="22333" xr:uid="{6231AAD3-D7A1-4107-9637-375835122D8D}"/>
    <cellStyle name="Comma 4 2 3 5 3 3" xfId="13885" xr:uid="{C62F080F-9C6E-4DB6-A718-60A1E6B3DCF9}"/>
    <cellStyle name="Comma 4 2 3 5 4" xfId="18115" xr:uid="{71A75173-856C-438E-B57B-DA313A496883}"/>
    <cellStyle name="Comma 4 2 3 5 5" xfId="9667" xr:uid="{4F1CEE67-3931-4649-85E4-532225D0B49F}"/>
    <cellStyle name="Comma 4 2 3 6" xfId="1541" xr:uid="{00000000-0005-0000-0000-0000A9080000}"/>
    <cellStyle name="Comma 4 2 3 6 2" xfId="3771" xr:uid="{00000000-0005-0000-0000-0000AA080000}"/>
    <cellStyle name="Comma 4 2 3 6 2 2" xfId="7993" xr:uid="{00000000-0005-0000-0000-0000AB080000}"/>
    <cellStyle name="Comma 4 2 3 6 2 2 2" xfId="24891" xr:uid="{239A5265-0898-4DE7-87B7-C71CF3F5645B}"/>
    <cellStyle name="Comma 4 2 3 6 2 2 3" xfId="16443" xr:uid="{47F18079-F1E0-47CA-9153-9B3E1C56EC53}"/>
    <cellStyle name="Comma 4 2 3 6 2 3" xfId="20673" xr:uid="{B286A7A7-A9EA-4F9F-8078-C563C8154618}"/>
    <cellStyle name="Comma 4 2 3 6 2 4" xfId="12225" xr:uid="{855B058F-E9AA-466D-A009-3F6C96FEACE9}"/>
    <cellStyle name="Comma 4 2 3 6 3" xfId="5848" xr:uid="{00000000-0005-0000-0000-0000AC080000}"/>
    <cellStyle name="Comma 4 2 3 6 3 2" xfId="22746" xr:uid="{6980C5C2-BD32-4E2D-B498-D280BAF93ABF}"/>
    <cellStyle name="Comma 4 2 3 6 3 3" xfId="14298" xr:uid="{C755C470-F16E-4EFB-ACFE-EA240497E2A0}"/>
    <cellStyle name="Comma 4 2 3 6 4" xfId="18528" xr:uid="{CF796F6B-567B-4007-BEE9-3065E6081FB6}"/>
    <cellStyle name="Comma 4 2 3 6 5" xfId="10080" xr:uid="{8EBEA2EE-2708-4379-BD41-EE00E383397A}"/>
    <cellStyle name="Comma 4 2 3 7" xfId="1955" xr:uid="{00000000-0005-0000-0000-0000AD080000}"/>
    <cellStyle name="Comma 4 2 3 7 2" xfId="4184" xr:uid="{00000000-0005-0000-0000-0000AE080000}"/>
    <cellStyle name="Comma 4 2 3 7 2 2" xfId="8406" xr:uid="{00000000-0005-0000-0000-0000AF080000}"/>
    <cellStyle name="Comma 4 2 3 7 2 2 2" xfId="25304" xr:uid="{EFACFBB4-F8AD-4B8C-AF0C-B11E8A4BD706}"/>
    <cellStyle name="Comma 4 2 3 7 2 2 3" xfId="16856" xr:uid="{2E1482B5-92C0-4EE2-ADAB-0AD5A6E0AC4E}"/>
    <cellStyle name="Comma 4 2 3 7 2 3" xfId="21086" xr:uid="{F9C2896E-537F-4002-BB2F-045FBE4D74D6}"/>
    <cellStyle name="Comma 4 2 3 7 2 4" xfId="12638" xr:uid="{76DB69FB-71AD-49AA-AB89-14139A9D62A4}"/>
    <cellStyle name="Comma 4 2 3 7 3" xfId="6261" xr:uid="{00000000-0005-0000-0000-0000B0080000}"/>
    <cellStyle name="Comma 4 2 3 7 3 2" xfId="23159" xr:uid="{6853383D-03E9-46CA-95D9-16F1DFDA9F0F}"/>
    <cellStyle name="Comma 4 2 3 7 3 3" xfId="14711" xr:uid="{4B759D94-BC13-406D-A255-A85B0BE8A256}"/>
    <cellStyle name="Comma 4 2 3 7 4" xfId="18941" xr:uid="{00ECB4C6-AAF6-47BE-89FE-0164DA40DF27}"/>
    <cellStyle name="Comma 4 2 3 7 5" xfId="10493" xr:uid="{BCB17290-ABE6-43E8-8BA4-013970F7A381}"/>
    <cellStyle name="Comma 4 2 3 8" xfId="2390" xr:uid="{00000000-0005-0000-0000-0000B1080000}"/>
    <cellStyle name="Comma 4 2 3 8 2" xfId="6674" xr:uid="{00000000-0005-0000-0000-0000B2080000}"/>
    <cellStyle name="Comma 4 2 3 8 2 2" xfId="23572" xr:uid="{795F426F-2B0C-4E32-B15A-4FEB3CB47AEF}"/>
    <cellStyle name="Comma 4 2 3 8 2 3" xfId="15124" xr:uid="{2807C243-96DF-468D-8800-E6BA99532865}"/>
    <cellStyle name="Comma 4 2 3 8 3" xfId="19354" xr:uid="{826088CF-8EC4-4C1D-9535-291B46863A3E}"/>
    <cellStyle name="Comma 4 2 3 8 4" xfId="10906" xr:uid="{F916DE31-2B7B-42FF-85AC-7058300B95AB}"/>
    <cellStyle name="Comma 4 2 3 9" xfId="2373" xr:uid="{00000000-0005-0000-0000-0000B3080000}"/>
    <cellStyle name="Comma 4 2 4" xfId="140" xr:uid="{00000000-0005-0000-0000-0000B4080000}"/>
    <cellStyle name="Comma 4 2 4 10" xfId="4612" xr:uid="{00000000-0005-0000-0000-0000B5080000}"/>
    <cellStyle name="Comma 4 2 4 10 2" xfId="21510" xr:uid="{7A51E045-621D-4CA4-83CB-0644C58E6B2E}"/>
    <cellStyle name="Comma 4 2 4 10 3" xfId="13062" xr:uid="{FBB10D13-5BB4-4FA8-B5B1-B012DA54F996}"/>
    <cellStyle name="Comma 4 2 4 11" xfId="17292" xr:uid="{B071A34B-2A9B-4EB1-B6F4-45BFBCB253BB}"/>
    <cellStyle name="Comma 4 2 4 12" xfId="8844" xr:uid="{9DB4F219-45E1-4B32-A1F0-C2FCBC261C5B}"/>
    <cellStyle name="Comma 4 2 4 2" xfId="141" xr:uid="{00000000-0005-0000-0000-0000B6080000}"/>
    <cellStyle name="Comma 4 2 4 2 10" xfId="17293" xr:uid="{C23CCDE0-C7E1-4E6E-A2A4-1998DC1853BC}"/>
    <cellStyle name="Comma 4 2 4 2 11" xfId="8845" xr:uid="{B8D55471-3CBA-4596-B4BC-58BCD238992E}"/>
    <cellStyle name="Comma 4 2 4 2 2" xfId="679" xr:uid="{00000000-0005-0000-0000-0000B7080000}"/>
    <cellStyle name="Comma 4 2 4 2 2 2" xfId="2950" xr:uid="{00000000-0005-0000-0000-0000B8080000}"/>
    <cellStyle name="Comma 4 2 4 2 2 2 2" xfId="7172" xr:uid="{00000000-0005-0000-0000-0000B9080000}"/>
    <cellStyle name="Comma 4 2 4 2 2 2 2 2" xfId="24070" xr:uid="{2F98AADF-B1FD-4E6F-9EE7-09BFE7C61FC7}"/>
    <cellStyle name="Comma 4 2 4 2 2 2 2 3" xfId="15622" xr:uid="{369B435B-923D-4AE3-A312-6901DFA73C97}"/>
    <cellStyle name="Comma 4 2 4 2 2 2 3" xfId="19852" xr:uid="{55B14EF6-E9DD-4588-9C8E-A466C64A5FA2}"/>
    <cellStyle name="Comma 4 2 4 2 2 2 4" xfId="11404" xr:uid="{2A8583E8-5FCA-49BA-B093-54559FD03D66}"/>
    <cellStyle name="Comma 4 2 4 2 2 3" xfId="5027" xr:uid="{00000000-0005-0000-0000-0000BA080000}"/>
    <cellStyle name="Comma 4 2 4 2 2 3 2" xfId="21925" xr:uid="{C471B4F5-AC81-4DA1-AAB3-9287EE0114FE}"/>
    <cellStyle name="Comma 4 2 4 2 2 3 3" xfId="13477" xr:uid="{B4D9EBC9-AEF2-4E2B-8325-2004C027D413}"/>
    <cellStyle name="Comma 4 2 4 2 2 4" xfId="17707" xr:uid="{6C800D84-B286-4165-AF46-E8866DB754A1}"/>
    <cellStyle name="Comma 4 2 4 2 2 5" xfId="9259" xr:uid="{67FC4325-DC5E-42C8-B9B9-B969673DCBD4}"/>
    <cellStyle name="Comma 4 2 4 2 3" xfId="1132" xr:uid="{00000000-0005-0000-0000-0000BB080000}"/>
    <cellStyle name="Comma 4 2 4 2 3 2" xfId="3363" xr:uid="{00000000-0005-0000-0000-0000BC080000}"/>
    <cellStyle name="Comma 4 2 4 2 3 2 2" xfId="7585" xr:uid="{00000000-0005-0000-0000-0000BD080000}"/>
    <cellStyle name="Comma 4 2 4 2 3 2 2 2" xfId="24483" xr:uid="{1D693EA9-303B-4081-9551-E035C948F1A5}"/>
    <cellStyle name="Comma 4 2 4 2 3 2 2 3" xfId="16035" xr:uid="{D621C047-0E15-4EA6-84E3-68FD53402276}"/>
    <cellStyle name="Comma 4 2 4 2 3 2 3" xfId="20265" xr:uid="{8886208B-2B03-4794-BBD7-9783908783A1}"/>
    <cellStyle name="Comma 4 2 4 2 3 2 4" xfId="11817" xr:uid="{8AFD7BBF-60DD-4A72-BFEC-F895B71498E9}"/>
    <cellStyle name="Comma 4 2 4 2 3 3" xfId="5440" xr:uid="{00000000-0005-0000-0000-0000BE080000}"/>
    <cellStyle name="Comma 4 2 4 2 3 3 2" xfId="22338" xr:uid="{DDD3A313-2EB3-409D-95B5-9F578B564BF1}"/>
    <cellStyle name="Comma 4 2 4 2 3 3 3" xfId="13890" xr:uid="{830C813C-7221-4A9A-92F7-25D07EA887BA}"/>
    <cellStyle name="Comma 4 2 4 2 3 4" xfId="18120" xr:uid="{CD4676B9-69BE-476B-8E1B-6C376D7DB170}"/>
    <cellStyle name="Comma 4 2 4 2 3 5" xfId="9672" xr:uid="{FC8EF350-5932-4F23-BFBA-E06CD9601714}"/>
    <cellStyle name="Comma 4 2 4 2 4" xfId="1546" xr:uid="{00000000-0005-0000-0000-0000BF080000}"/>
    <cellStyle name="Comma 4 2 4 2 4 2" xfId="3776" xr:uid="{00000000-0005-0000-0000-0000C0080000}"/>
    <cellStyle name="Comma 4 2 4 2 4 2 2" xfId="7998" xr:uid="{00000000-0005-0000-0000-0000C1080000}"/>
    <cellStyle name="Comma 4 2 4 2 4 2 2 2" xfId="24896" xr:uid="{5DC55A5F-F697-4B32-A7C3-5410B929066A}"/>
    <cellStyle name="Comma 4 2 4 2 4 2 2 3" xfId="16448" xr:uid="{97EB8FA8-E386-474D-8BFF-4750541A5A72}"/>
    <cellStyle name="Comma 4 2 4 2 4 2 3" xfId="20678" xr:uid="{22D21245-7B3E-4222-8C32-A5961FB3D009}"/>
    <cellStyle name="Comma 4 2 4 2 4 2 4" xfId="12230" xr:uid="{C1B44D5D-6D58-4F87-86DE-0667C97ABB3F}"/>
    <cellStyle name="Comma 4 2 4 2 4 3" xfId="5853" xr:uid="{00000000-0005-0000-0000-0000C2080000}"/>
    <cellStyle name="Comma 4 2 4 2 4 3 2" xfId="22751" xr:uid="{2A52B7FA-CCBC-4E48-BA37-679DDD5940D7}"/>
    <cellStyle name="Comma 4 2 4 2 4 3 3" xfId="14303" xr:uid="{84692D9A-0F04-485D-A853-BC1106A8706E}"/>
    <cellStyle name="Comma 4 2 4 2 4 4" xfId="18533" xr:uid="{75B65B73-1172-4ECF-9D02-57AA350B65FE}"/>
    <cellStyle name="Comma 4 2 4 2 4 5" xfId="10085" xr:uid="{01C75929-3AA0-45A1-81BA-83B07423E73E}"/>
    <cellStyle name="Comma 4 2 4 2 5" xfId="1960" xr:uid="{00000000-0005-0000-0000-0000C3080000}"/>
    <cellStyle name="Comma 4 2 4 2 5 2" xfId="4189" xr:uid="{00000000-0005-0000-0000-0000C4080000}"/>
    <cellStyle name="Comma 4 2 4 2 5 2 2" xfId="8411" xr:uid="{00000000-0005-0000-0000-0000C5080000}"/>
    <cellStyle name="Comma 4 2 4 2 5 2 2 2" xfId="25309" xr:uid="{5E330C93-E2CA-4273-B2E8-0803FC136231}"/>
    <cellStyle name="Comma 4 2 4 2 5 2 2 3" xfId="16861" xr:uid="{CA95F069-C91B-4AA4-BAD1-DDF9A8E71FAC}"/>
    <cellStyle name="Comma 4 2 4 2 5 2 3" xfId="21091" xr:uid="{0AE35D26-5B13-48CC-8639-D5FDECA4CCCE}"/>
    <cellStyle name="Comma 4 2 4 2 5 2 4" xfId="12643" xr:uid="{B91362E1-8D0D-411D-A198-271991833786}"/>
    <cellStyle name="Comma 4 2 4 2 5 3" xfId="6266" xr:uid="{00000000-0005-0000-0000-0000C6080000}"/>
    <cellStyle name="Comma 4 2 4 2 5 3 2" xfId="23164" xr:uid="{31DC43E5-1DEC-4EA3-8F92-B292AB498AB4}"/>
    <cellStyle name="Comma 4 2 4 2 5 3 3" xfId="14716" xr:uid="{E49B4BD2-D941-4A47-8D71-874189FE1516}"/>
    <cellStyle name="Comma 4 2 4 2 5 4" xfId="18946" xr:uid="{0B1A87E0-E58D-4102-A6F4-75F12F429119}"/>
    <cellStyle name="Comma 4 2 4 2 5 5" xfId="10498" xr:uid="{44E433DC-22F7-46C1-A437-7C3187D84D04}"/>
    <cellStyle name="Comma 4 2 4 2 6" xfId="2395" xr:uid="{00000000-0005-0000-0000-0000C7080000}"/>
    <cellStyle name="Comma 4 2 4 2 6 2" xfId="6679" xr:uid="{00000000-0005-0000-0000-0000C8080000}"/>
    <cellStyle name="Comma 4 2 4 2 6 2 2" xfId="23577" xr:uid="{87428737-83CD-4E0F-A65B-8198D916F76F}"/>
    <cellStyle name="Comma 4 2 4 2 6 2 3" xfId="15129" xr:uid="{B1D1D96E-28AD-451C-B127-F42C3F666E60}"/>
    <cellStyle name="Comma 4 2 4 2 6 3" xfId="19359" xr:uid="{BB10421C-9A8F-4750-9604-3FDE336AD4E5}"/>
    <cellStyle name="Comma 4 2 4 2 6 4" xfId="10911" xr:uid="{2D11A3DC-307A-4974-A09F-3B5AE8A68348}"/>
    <cellStyle name="Comma 4 2 4 2 7" xfId="2368" xr:uid="{00000000-0005-0000-0000-0000C9080000}"/>
    <cellStyle name="Comma 4 2 4 2 8" xfId="2773" xr:uid="{00000000-0005-0000-0000-0000CA080000}"/>
    <cellStyle name="Comma 4 2 4 2 8 2" xfId="6996" xr:uid="{00000000-0005-0000-0000-0000CB080000}"/>
    <cellStyle name="Comma 4 2 4 2 8 2 2" xfId="23894" xr:uid="{669C99AD-B657-4966-BA41-BDF74A4A9FB3}"/>
    <cellStyle name="Comma 4 2 4 2 8 2 3" xfId="15446" xr:uid="{A7C5BC85-7893-4C26-A529-287F66196368}"/>
    <cellStyle name="Comma 4 2 4 2 8 3" xfId="19676" xr:uid="{A5B0D739-6473-49D1-9E2D-8D257DA5D2AC}"/>
    <cellStyle name="Comma 4 2 4 2 8 4" xfId="11228" xr:uid="{8F6970D5-938D-42EF-8ED2-65610B4A6DB7}"/>
    <cellStyle name="Comma 4 2 4 2 9" xfId="4613" xr:uid="{00000000-0005-0000-0000-0000CC080000}"/>
    <cellStyle name="Comma 4 2 4 2 9 2" xfId="21511" xr:uid="{6820E917-37F5-4524-A273-C988564D65F3}"/>
    <cellStyle name="Comma 4 2 4 2 9 3" xfId="13063" xr:uid="{981A139E-F899-4C01-BF65-F4F6A56CC91C}"/>
    <cellStyle name="Comma 4 2 4 3" xfId="678" xr:uid="{00000000-0005-0000-0000-0000CD080000}"/>
    <cellStyle name="Comma 4 2 4 3 2" xfId="2949" xr:uid="{00000000-0005-0000-0000-0000CE080000}"/>
    <cellStyle name="Comma 4 2 4 3 2 2" xfId="7171" xr:uid="{00000000-0005-0000-0000-0000CF080000}"/>
    <cellStyle name="Comma 4 2 4 3 2 2 2" xfId="24069" xr:uid="{67440D86-FA65-447F-BA86-9589BF411FA5}"/>
    <cellStyle name="Comma 4 2 4 3 2 2 3" xfId="15621" xr:uid="{FC123D4D-E1DB-4B23-8FA7-718F7B4661B0}"/>
    <cellStyle name="Comma 4 2 4 3 2 3" xfId="19851" xr:uid="{A132D6EE-6825-40A4-B6BA-79BA7E734BC7}"/>
    <cellStyle name="Comma 4 2 4 3 2 4" xfId="11403" xr:uid="{40E23712-B807-4C8B-A2B6-E57CC093F340}"/>
    <cellStyle name="Comma 4 2 4 3 3" xfId="5026" xr:uid="{00000000-0005-0000-0000-0000D0080000}"/>
    <cellStyle name="Comma 4 2 4 3 3 2" xfId="21924" xr:uid="{AEAF8899-8F57-458D-8078-2D7A05B785B3}"/>
    <cellStyle name="Comma 4 2 4 3 3 3" xfId="13476" xr:uid="{4C98E4B0-8EC1-4B7D-AFB0-4D70570C7ADA}"/>
    <cellStyle name="Comma 4 2 4 3 4" xfId="17706" xr:uid="{85B9EAA9-941B-428F-98BF-1035953A06C6}"/>
    <cellStyle name="Comma 4 2 4 3 5" xfId="9258" xr:uid="{338C7047-22D9-4044-A07F-24511E664702}"/>
    <cellStyle name="Comma 4 2 4 4" xfId="1131" xr:uid="{00000000-0005-0000-0000-0000D1080000}"/>
    <cellStyle name="Comma 4 2 4 4 2" xfId="3362" xr:uid="{00000000-0005-0000-0000-0000D2080000}"/>
    <cellStyle name="Comma 4 2 4 4 2 2" xfId="7584" xr:uid="{00000000-0005-0000-0000-0000D3080000}"/>
    <cellStyle name="Comma 4 2 4 4 2 2 2" xfId="24482" xr:uid="{CAF13CAC-8E0F-4372-9663-59AAC5D086C1}"/>
    <cellStyle name="Comma 4 2 4 4 2 2 3" xfId="16034" xr:uid="{181B17E4-6567-4F4B-AD5C-80060E9E391A}"/>
    <cellStyle name="Comma 4 2 4 4 2 3" xfId="20264" xr:uid="{8C81A27E-3935-4500-8952-219ED5C22389}"/>
    <cellStyle name="Comma 4 2 4 4 2 4" xfId="11816" xr:uid="{30ED5257-881B-497E-B25E-D393521C0798}"/>
    <cellStyle name="Comma 4 2 4 4 3" xfId="5439" xr:uid="{00000000-0005-0000-0000-0000D4080000}"/>
    <cellStyle name="Comma 4 2 4 4 3 2" xfId="22337" xr:uid="{9F353DFF-F755-4317-B4E2-040B014D3BE2}"/>
    <cellStyle name="Comma 4 2 4 4 3 3" xfId="13889" xr:uid="{2969DFED-0E55-4013-B6E1-A49E006DC81C}"/>
    <cellStyle name="Comma 4 2 4 4 4" xfId="18119" xr:uid="{68B586E9-EF30-4EF5-9314-D0D0409E18C7}"/>
    <cellStyle name="Comma 4 2 4 4 5" xfId="9671" xr:uid="{6A120152-6242-4E07-AC99-E0203394C968}"/>
    <cellStyle name="Comma 4 2 4 5" xfId="1545" xr:uid="{00000000-0005-0000-0000-0000D5080000}"/>
    <cellStyle name="Comma 4 2 4 5 2" xfId="3775" xr:uid="{00000000-0005-0000-0000-0000D6080000}"/>
    <cellStyle name="Comma 4 2 4 5 2 2" xfId="7997" xr:uid="{00000000-0005-0000-0000-0000D7080000}"/>
    <cellStyle name="Comma 4 2 4 5 2 2 2" xfId="24895" xr:uid="{593CE2A0-732D-4B30-B0EB-692F5645A0E3}"/>
    <cellStyle name="Comma 4 2 4 5 2 2 3" xfId="16447" xr:uid="{D2C011D2-65CD-4122-A9A5-AA42F86E0C46}"/>
    <cellStyle name="Comma 4 2 4 5 2 3" xfId="20677" xr:uid="{30219AE2-F453-4ABD-AA83-4660F981B1E4}"/>
    <cellStyle name="Comma 4 2 4 5 2 4" xfId="12229" xr:uid="{2368A28E-91C4-4E8D-852E-0CB265EA951E}"/>
    <cellStyle name="Comma 4 2 4 5 3" xfId="5852" xr:uid="{00000000-0005-0000-0000-0000D8080000}"/>
    <cellStyle name="Comma 4 2 4 5 3 2" xfId="22750" xr:uid="{B8EDF3E1-D814-48AF-805E-2BB1EF49A22D}"/>
    <cellStyle name="Comma 4 2 4 5 3 3" xfId="14302" xr:uid="{05A9B3F5-8502-464C-80A7-41A484FDA72C}"/>
    <cellStyle name="Comma 4 2 4 5 4" xfId="18532" xr:uid="{83C71605-363A-46B3-9A17-895D264E0DD5}"/>
    <cellStyle name="Comma 4 2 4 5 5" xfId="10084" xr:uid="{7194430B-B2E4-4A57-8F77-60A4B7E3937F}"/>
    <cellStyle name="Comma 4 2 4 6" xfId="1959" xr:uid="{00000000-0005-0000-0000-0000D9080000}"/>
    <cellStyle name="Comma 4 2 4 6 2" xfId="4188" xr:uid="{00000000-0005-0000-0000-0000DA080000}"/>
    <cellStyle name="Comma 4 2 4 6 2 2" xfId="8410" xr:uid="{00000000-0005-0000-0000-0000DB080000}"/>
    <cellStyle name="Comma 4 2 4 6 2 2 2" xfId="25308" xr:uid="{B5359F31-7069-4A84-876A-95AAE59E90B8}"/>
    <cellStyle name="Comma 4 2 4 6 2 2 3" xfId="16860" xr:uid="{4FE81DB0-F1E8-4E9F-9A1F-266170916159}"/>
    <cellStyle name="Comma 4 2 4 6 2 3" xfId="21090" xr:uid="{12472F0A-49F2-4E50-92C1-5817A55E9694}"/>
    <cellStyle name="Comma 4 2 4 6 2 4" xfId="12642" xr:uid="{730E5BD2-BD82-4A1E-96E2-AB9F85C03D54}"/>
    <cellStyle name="Comma 4 2 4 6 3" xfId="6265" xr:uid="{00000000-0005-0000-0000-0000DC080000}"/>
    <cellStyle name="Comma 4 2 4 6 3 2" xfId="23163" xr:uid="{B3719FAF-3811-4D74-ABEB-87998B616966}"/>
    <cellStyle name="Comma 4 2 4 6 3 3" xfId="14715" xr:uid="{F1743A65-8230-4AF7-BA3B-498B3D97EF0F}"/>
    <cellStyle name="Comma 4 2 4 6 4" xfId="18945" xr:uid="{F2900675-AEA3-4C01-8183-1C107F6247B5}"/>
    <cellStyle name="Comma 4 2 4 6 5" xfId="10497" xr:uid="{8D755373-52A0-470A-BD75-94DA5E549D2F}"/>
    <cellStyle name="Comma 4 2 4 7" xfId="2394" xr:uid="{00000000-0005-0000-0000-0000DD080000}"/>
    <cellStyle name="Comma 4 2 4 7 2" xfId="6678" xr:uid="{00000000-0005-0000-0000-0000DE080000}"/>
    <cellStyle name="Comma 4 2 4 7 2 2" xfId="23576" xr:uid="{D0D75493-C9EC-4D2F-9B34-D9CDF6E77436}"/>
    <cellStyle name="Comma 4 2 4 7 2 3" xfId="15128" xr:uid="{A64C7E30-E167-4845-8822-2CD10E4200B3}"/>
    <cellStyle name="Comma 4 2 4 7 3" xfId="19358" xr:uid="{6E3C3716-95D2-4EC3-967C-8C2FCBAD828A}"/>
    <cellStyle name="Comma 4 2 4 7 4" xfId="10910" xr:uid="{BFE4B662-F270-4ACF-B533-78D2F0D19887}"/>
    <cellStyle name="Comma 4 2 4 8" xfId="2369" xr:uid="{00000000-0005-0000-0000-0000DF080000}"/>
    <cellStyle name="Comma 4 2 4 9" xfId="2772" xr:uid="{00000000-0005-0000-0000-0000E0080000}"/>
    <cellStyle name="Comma 4 2 4 9 2" xfId="6995" xr:uid="{00000000-0005-0000-0000-0000E1080000}"/>
    <cellStyle name="Comma 4 2 4 9 2 2" xfId="23893" xr:uid="{EC6EEDEC-D888-4E7C-801C-A412353CD138}"/>
    <cellStyle name="Comma 4 2 4 9 2 3" xfId="15445" xr:uid="{1A8E6698-73EE-4116-A190-A81D05EBC1DE}"/>
    <cellStyle name="Comma 4 2 4 9 3" xfId="19675" xr:uid="{DE15CEA6-B25E-474F-9D8E-739EDD433CD7}"/>
    <cellStyle name="Comma 4 2 4 9 4" xfId="11227" xr:uid="{6A24EA4D-D187-4C5C-88B9-68916215C0E8}"/>
    <cellStyle name="Comma 4 2 5" xfId="142" xr:uid="{00000000-0005-0000-0000-0000E2080000}"/>
    <cellStyle name="Comma 4 2 5 10" xfId="17294" xr:uid="{1A5D576B-A197-4B2C-A8A2-F4ACDD8BD1A8}"/>
    <cellStyle name="Comma 4 2 5 11" xfId="8846" xr:uid="{D577FC0C-ABC5-4B14-93C4-512E3F713A10}"/>
    <cellStyle name="Comma 4 2 5 2" xfId="680" xr:uid="{00000000-0005-0000-0000-0000E3080000}"/>
    <cellStyle name="Comma 4 2 5 2 2" xfId="2951" xr:uid="{00000000-0005-0000-0000-0000E4080000}"/>
    <cellStyle name="Comma 4 2 5 2 2 2" xfId="7173" xr:uid="{00000000-0005-0000-0000-0000E5080000}"/>
    <cellStyle name="Comma 4 2 5 2 2 2 2" xfId="24071" xr:uid="{7A8A60F0-1AED-46B3-B3ED-4462B40547A9}"/>
    <cellStyle name="Comma 4 2 5 2 2 2 3" xfId="15623" xr:uid="{DC44EBD8-C07C-4621-A34B-CAB848F3DD7A}"/>
    <cellStyle name="Comma 4 2 5 2 2 3" xfId="19853" xr:uid="{B3C764E6-E36B-4394-9BBC-BDF3A92CC16E}"/>
    <cellStyle name="Comma 4 2 5 2 2 4" xfId="11405" xr:uid="{81C71F55-9693-4179-A95A-27BBF3A7E2F6}"/>
    <cellStyle name="Comma 4 2 5 2 3" xfId="5028" xr:uid="{00000000-0005-0000-0000-0000E6080000}"/>
    <cellStyle name="Comma 4 2 5 2 3 2" xfId="21926" xr:uid="{1347B381-E83D-4EC5-8EC1-679D5E71087A}"/>
    <cellStyle name="Comma 4 2 5 2 3 3" xfId="13478" xr:uid="{97C42800-27F7-4F7C-B491-AB1F68FF9CA7}"/>
    <cellStyle name="Comma 4 2 5 2 4" xfId="17708" xr:uid="{CCA51CE8-842C-4DD1-9DB9-BFA33B492747}"/>
    <cellStyle name="Comma 4 2 5 2 5" xfId="9260" xr:uid="{E4D0BBB4-AD91-48CC-939F-ACF4BFCA80C3}"/>
    <cellStyle name="Comma 4 2 5 3" xfId="1133" xr:uid="{00000000-0005-0000-0000-0000E7080000}"/>
    <cellStyle name="Comma 4 2 5 3 2" xfId="3364" xr:uid="{00000000-0005-0000-0000-0000E8080000}"/>
    <cellStyle name="Comma 4 2 5 3 2 2" xfId="7586" xr:uid="{00000000-0005-0000-0000-0000E9080000}"/>
    <cellStyle name="Comma 4 2 5 3 2 2 2" xfId="24484" xr:uid="{4CBE0FD1-9C59-4F68-9810-746D501E6FC0}"/>
    <cellStyle name="Comma 4 2 5 3 2 2 3" xfId="16036" xr:uid="{0D933A0D-9D58-4183-BD50-00E9BE082B58}"/>
    <cellStyle name="Comma 4 2 5 3 2 3" xfId="20266" xr:uid="{983712B0-E668-467B-A809-0782345E14CE}"/>
    <cellStyle name="Comma 4 2 5 3 2 4" xfId="11818" xr:uid="{07E7B9DD-E118-4345-845E-1DA87A251859}"/>
    <cellStyle name="Comma 4 2 5 3 3" xfId="5441" xr:uid="{00000000-0005-0000-0000-0000EA080000}"/>
    <cellStyle name="Comma 4 2 5 3 3 2" xfId="22339" xr:uid="{72A73447-5EFF-4EE7-BC0C-29C4CC4D3100}"/>
    <cellStyle name="Comma 4 2 5 3 3 3" xfId="13891" xr:uid="{DFF3CEF7-E3A0-4E86-8BF7-B13350C13450}"/>
    <cellStyle name="Comma 4 2 5 3 4" xfId="18121" xr:uid="{0E239576-8FB6-411C-B009-A521097B1DE4}"/>
    <cellStyle name="Comma 4 2 5 3 5" xfId="9673" xr:uid="{6FB5B838-D7A9-4553-A3B2-4588D214F9CB}"/>
    <cellStyle name="Comma 4 2 5 4" xfId="1547" xr:uid="{00000000-0005-0000-0000-0000EB080000}"/>
    <cellStyle name="Comma 4 2 5 4 2" xfId="3777" xr:uid="{00000000-0005-0000-0000-0000EC080000}"/>
    <cellStyle name="Comma 4 2 5 4 2 2" xfId="7999" xr:uid="{00000000-0005-0000-0000-0000ED080000}"/>
    <cellStyle name="Comma 4 2 5 4 2 2 2" xfId="24897" xr:uid="{DBE98EE4-D6B3-4E29-B917-83E3F3834A03}"/>
    <cellStyle name="Comma 4 2 5 4 2 2 3" xfId="16449" xr:uid="{04CC7F8B-4787-434A-AB4C-4F6328B61657}"/>
    <cellStyle name="Comma 4 2 5 4 2 3" xfId="20679" xr:uid="{33FCF680-692A-4A25-BF85-5E26D7AFFC5B}"/>
    <cellStyle name="Comma 4 2 5 4 2 4" xfId="12231" xr:uid="{BBC1A887-613A-45D6-9B87-BA5D91C6A0E4}"/>
    <cellStyle name="Comma 4 2 5 4 3" xfId="5854" xr:uid="{00000000-0005-0000-0000-0000EE080000}"/>
    <cellStyle name="Comma 4 2 5 4 3 2" xfId="22752" xr:uid="{8920BAB9-F403-4D64-B83F-8A0FE9A7A192}"/>
    <cellStyle name="Comma 4 2 5 4 3 3" xfId="14304" xr:uid="{BF80A9B3-E652-45A8-B1B5-3D4E311CEDAC}"/>
    <cellStyle name="Comma 4 2 5 4 4" xfId="18534" xr:uid="{75AC1798-D95E-460A-864A-88BBD666079F}"/>
    <cellStyle name="Comma 4 2 5 4 5" xfId="10086" xr:uid="{5C93FECD-C3F5-4BE5-A2B7-B456AB562C60}"/>
    <cellStyle name="Comma 4 2 5 5" xfId="1961" xr:uid="{00000000-0005-0000-0000-0000EF080000}"/>
    <cellStyle name="Comma 4 2 5 5 2" xfId="4190" xr:uid="{00000000-0005-0000-0000-0000F0080000}"/>
    <cellStyle name="Comma 4 2 5 5 2 2" xfId="8412" xr:uid="{00000000-0005-0000-0000-0000F1080000}"/>
    <cellStyle name="Comma 4 2 5 5 2 2 2" xfId="25310" xr:uid="{25FE7E1D-3D3D-4573-BE7F-430FAE822F62}"/>
    <cellStyle name="Comma 4 2 5 5 2 2 3" xfId="16862" xr:uid="{F18A63AA-2080-4EE1-BE42-F73AD16799CF}"/>
    <cellStyle name="Comma 4 2 5 5 2 3" xfId="21092" xr:uid="{2A05FCF8-D1B7-4214-8F86-4498BD048BBE}"/>
    <cellStyle name="Comma 4 2 5 5 2 4" xfId="12644" xr:uid="{AE22610F-C19D-456E-98AD-3D820B2D7CFC}"/>
    <cellStyle name="Comma 4 2 5 5 3" xfId="6267" xr:uid="{00000000-0005-0000-0000-0000F2080000}"/>
    <cellStyle name="Comma 4 2 5 5 3 2" xfId="23165" xr:uid="{F190A903-EA1B-4073-B440-DDA2FB54D497}"/>
    <cellStyle name="Comma 4 2 5 5 3 3" xfId="14717" xr:uid="{5F56E078-B0BF-485B-849C-10AE90AF90D5}"/>
    <cellStyle name="Comma 4 2 5 5 4" xfId="18947" xr:uid="{0A70DD87-B93A-4E17-ACF8-53455FC5A22F}"/>
    <cellStyle name="Comma 4 2 5 5 5" xfId="10499" xr:uid="{835C5BF2-C775-4C34-9490-42C4263D4E9F}"/>
    <cellStyle name="Comma 4 2 5 6" xfId="2396" xr:uid="{00000000-0005-0000-0000-0000F3080000}"/>
    <cellStyle name="Comma 4 2 5 6 2" xfId="6680" xr:uid="{00000000-0005-0000-0000-0000F4080000}"/>
    <cellStyle name="Comma 4 2 5 6 2 2" xfId="23578" xr:uid="{B0C14C4F-D60C-4BD1-A445-245C29A32FDE}"/>
    <cellStyle name="Comma 4 2 5 6 2 3" xfId="15130" xr:uid="{A027E4B5-C0A2-4A03-A678-20F3A54C8351}"/>
    <cellStyle name="Comma 4 2 5 6 3" xfId="19360" xr:uid="{68C03898-6904-4107-A119-D8CB8C8C7F02}"/>
    <cellStyle name="Comma 4 2 5 6 4" xfId="10912" xr:uid="{42B1402D-F2D6-4B10-9A73-A65901FF1AD4}"/>
    <cellStyle name="Comma 4 2 5 7" xfId="2367" xr:uid="{00000000-0005-0000-0000-0000F5080000}"/>
    <cellStyle name="Comma 4 2 5 8" xfId="2774" xr:uid="{00000000-0005-0000-0000-0000F6080000}"/>
    <cellStyle name="Comma 4 2 5 8 2" xfId="6997" xr:uid="{00000000-0005-0000-0000-0000F7080000}"/>
    <cellStyle name="Comma 4 2 5 8 2 2" xfId="23895" xr:uid="{C2562DBE-B011-4B69-AE2D-4E388E2BDB0F}"/>
    <cellStyle name="Comma 4 2 5 8 2 3" xfId="15447" xr:uid="{2FB3F291-F0A0-47FC-8547-16CD2490C6EC}"/>
    <cellStyle name="Comma 4 2 5 8 3" xfId="19677" xr:uid="{A649DA49-79F7-4CEB-92C3-C3D487EBC0E5}"/>
    <cellStyle name="Comma 4 2 5 8 4" xfId="11229" xr:uid="{669D8BAF-6B1A-43B1-A580-9AAE86300CE4}"/>
    <cellStyle name="Comma 4 2 5 9" xfId="4614" xr:uid="{00000000-0005-0000-0000-0000F8080000}"/>
    <cellStyle name="Comma 4 2 5 9 2" xfId="21512" xr:uid="{6D8D9454-AA6E-41B1-B404-BF31BFE7D5E5}"/>
    <cellStyle name="Comma 4 2 5 9 3" xfId="13064" xr:uid="{60EABC9D-0EFD-45FB-82A6-19DCF25D17F5}"/>
    <cellStyle name="Comma 4 2 6" xfId="143" xr:uid="{00000000-0005-0000-0000-0000F9080000}"/>
    <cellStyle name="Comma 4 2 6 10" xfId="17295" xr:uid="{37A809C2-08A8-47E7-9822-F3DAD04F4840}"/>
    <cellStyle name="Comma 4 2 6 11" xfId="8847" xr:uid="{CE3C9275-0692-4FD6-B7B8-04712F221E79}"/>
    <cellStyle name="Comma 4 2 6 2" xfId="681" xr:uid="{00000000-0005-0000-0000-0000FA080000}"/>
    <cellStyle name="Comma 4 2 6 2 2" xfId="2952" xr:uid="{00000000-0005-0000-0000-0000FB080000}"/>
    <cellStyle name="Comma 4 2 6 2 2 2" xfId="7174" xr:uid="{00000000-0005-0000-0000-0000FC080000}"/>
    <cellStyle name="Comma 4 2 6 2 2 2 2" xfId="24072" xr:uid="{77DBA4F3-85D3-49B4-B017-CC8C7AFF6B76}"/>
    <cellStyle name="Comma 4 2 6 2 2 2 3" xfId="15624" xr:uid="{BB087F94-27CC-46CC-A9F2-9604B8466F34}"/>
    <cellStyle name="Comma 4 2 6 2 2 3" xfId="19854" xr:uid="{62C9CB62-A9BC-4AE6-9D04-4722286131AA}"/>
    <cellStyle name="Comma 4 2 6 2 2 4" xfId="11406" xr:uid="{73A29622-4C68-4F75-9D26-AA4BEF924A90}"/>
    <cellStyle name="Comma 4 2 6 2 3" xfId="5029" xr:uid="{00000000-0005-0000-0000-0000FD080000}"/>
    <cellStyle name="Comma 4 2 6 2 3 2" xfId="21927" xr:uid="{629BF56B-8CC9-4D39-A06E-4BF5FFE16087}"/>
    <cellStyle name="Comma 4 2 6 2 3 3" xfId="13479" xr:uid="{98165402-A7D5-4729-AC41-75B7653DC6A1}"/>
    <cellStyle name="Comma 4 2 6 2 4" xfId="17709" xr:uid="{B6ABABFC-2C08-47CB-B7AD-B57F11D5DDDD}"/>
    <cellStyle name="Comma 4 2 6 2 5" xfId="9261" xr:uid="{06C42B68-E535-458F-9F20-1BC64D28F5D4}"/>
    <cellStyle name="Comma 4 2 6 3" xfId="1134" xr:uid="{00000000-0005-0000-0000-0000FE080000}"/>
    <cellStyle name="Comma 4 2 6 3 2" xfId="3365" xr:uid="{00000000-0005-0000-0000-0000FF080000}"/>
    <cellStyle name="Comma 4 2 6 3 2 2" xfId="7587" xr:uid="{00000000-0005-0000-0000-000000090000}"/>
    <cellStyle name="Comma 4 2 6 3 2 2 2" xfId="24485" xr:uid="{8C86E4B5-900D-40D6-97FB-FBFFCAC3B9CF}"/>
    <cellStyle name="Comma 4 2 6 3 2 2 3" xfId="16037" xr:uid="{8B72A6D2-B7DF-45F4-BF16-834DD7808B56}"/>
    <cellStyle name="Comma 4 2 6 3 2 3" xfId="20267" xr:uid="{AB0282C7-809A-4D44-98B1-792CBF4E2FFA}"/>
    <cellStyle name="Comma 4 2 6 3 2 4" xfId="11819" xr:uid="{4097BF49-DEFE-4323-9FE9-2AEACC8B83A6}"/>
    <cellStyle name="Comma 4 2 6 3 3" xfId="5442" xr:uid="{00000000-0005-0000-0000-000001090000}"/>
    <cellStyle name="Comma 4 2 6 3 3 2" xfId="22340" xr:uid="{794D1275-CE59-4AA0-B849-3F6278CED499}"/>
    <cellStyle name="Comma 4 2 6 3 3 3" xfId="13892" xr:uid="{A1228EA9-A1E1-4194-99A7-94762D0D758A}"/>
    <cellStyle name="Comma 4 2 6 3 4" xfId="18122" xr:uid="{C345D76E-5F92-4AF0-8B99-FA5E9A0B9E15}"/>
    <cellStyle name="Comma 4 2 6 3 5" xfId="9674" xr:uid="{386D4524-4C41-4F7F-9A0D-68E3BF7C4456}"/>
    <cellStyle name="Comma 4 2 6 4" xfId="1548" xr:uid="{00000000-0005-0000-0000-000002090000}"/>
    <cellStyle name="Comma 4 2 6 4 2" xfId="3778" xr:uid="{00000000-0005-0000-0000-000003090000}"/>
    <cellStyle name="Comma 4 2 6 4 2 2" xfId="8000" xr:uid="{00000000-0005-0000-0000-000004090000}"/>
    <cellStyle name="Comma 4 2 6 4 2 2 2" xfId="24898" xr:uid="{0957000E-4121-4F6C-A061-5349DED47F2E}"/>
    <cellStyle name="Comma 4 2 6 4 2 2 3" xfId="16450" xr:uid="{F849EFB1-F3E7-4094-82A4-C9A3F783168E}"/>
    <cellStyle name="Comma 4 2 6 4 2 3" xfId="20680" xr:uid="{CEAB0D97-8E2B-4882-ABD8-E100A6CB1487}"/>
    <cellStyle name="Comma 4 2 6 4 2 4" xfId="12232" xr:uid="{04BAC84C-071A-44E5-99F2-2269F656DF70}"/>
    <cellStyle name="Comma 4 2 6 4 3" xfId="5855" xr:uid="{00000000-0005-0000-0000-000005090000}"/>
    <cellStyle name="Comma 4 2 6 4 3 2" xfId="22753" xr:uid="{D32BA3A4-E42F-4F1C-8775-B043DC18633A}"/>
    <cellStyle name="Comma 4 2 6 4 3 3" xfId="14305" xr:uid="{68EDC6AD-A2C8-4219-975A-D0EA0F595CC1}"/>
    <cellStyle name="Comma 4 2 6 4 4" xfId="18535" xr:uid="{AEC09CF0-16A4-4C9E-B1D6-53971AD4E510}"/>
    <cellStyle name="Comma 4 2 6 4 5" xfId="10087" xr:uid="{6DAF5AFF-8D7D-4BF6-9685-6562ACDB2803}"/>
    <cellStyle name="Comma 4 2 6 5" xfId="1962" xr:uid="{00000000-0005-0000-0000-000006090000}"/>
    <cellStyle name="Comma 4 2 6 5 2" xfId="4191" xr:uid="{00000000-0005-0000-0000-000007090000}"/>
    <cellStyle name="Comma 4 2 6 5 2 2" xfId="8413" xr:uid="{00000000-0005-0000-0000-000008090000}"/>
    <cellStyle name="Comma 4 2 6 5 2 2 2" xfId="25311" xr:uid="{05550FB1-6AD7-428F-B6F6-0D23C1F50FC7}"/>
    <cellStyle name="Comma 4 2 6 5 2 2 3" xfId="16863" xr:uid="{933B80CD-2068-4E13-AB8A-1E5EE318F53D}"/>
    <cellStyle name="Comma 4 2 6 5 2 3" xfId="21093" xr:uid="{CD430EB8-A0F9-461A-BA0A-137A413159F5}"/>
    <cellStyle name="Comma 4 2 6 5 2 4" xfId="12645" xr:uid="{97C16F91-0B53-47F1-B667-1B9474CE55A0}"/>
    <cellStyle name="Comma 4 2 6 5 3" xfId="6268" xr:uid="{00000000-0005-0000-0000-000009090000}"/>
    <cellStyle name="Comma 4 2 6 5 3 2" xfId="23166" xr:uid="{C2A51B57-F0C7-4C5C-ACE5-BEDCDA67FE5F}"/>
    <cellStyle name="Comma 4 2 6 5 3 3" xfId="14718" xr:uid="{F2315D80-DD93-4A38-8347-4C1C9F8F468A}"/>
    <cellStyle name="Comma 4 2 6 5 4" xfId="18948" xr:uid="{4C4C88CB-367C-42FF-9877-8085B341746D}"/>
    <cellStyle name="Comma 4 2 6 5 5" xfId="10500" xr:uid="{3BBD49A6-0E25-4C58-B8D5-4E6F33A42A34}"/>
    <cellStyle name="Comma 4 2 6 6" xfId="2397" xr:uid="{00000000-0005-0000-0000-00000A090000}"/>
    <cellStyle name="Comma 4 2 6 6 2" xfId="6681" xr:uid="{00000000-0005-0000-0000-00000B090000}"/>
    <cellStyle name="Comma 4 2 6 6 2 2" xfId="23579" xr:uid="{2B96E100-951A-4483-81C3-94A915C24C78}"/>
    <cellStyle name="Comma 4 2 6 6 2 3" xfId="15131" xr:uid="{9EB947F3-3F7E-4CD0-B704-E00D7A6DB520}"/>
    <cellStyle name="Comma 4 2 6 6 3" xfId="19361" xr:uid="{7C6340FB-AD6C-4852-B978-619CB216DCFA}"/>
    <cellStyle name="Comma 4 2 6 6 4" xfId="10913" xr:uid="{65C420E2-6AD9-4AB2-9973-EBFB4D31E10C}"/>
    <cellStyle name="Comma 4 2 6 7" xfId="2366" xr:uid="{00000000-0005-0000-0000-00000C090000}"/>
    <cellStyle name="Comma 4 2 6 8" xfId="2775" xr:uid="{00000000-0005-0000-0000-00000D090000}"/>
    <cellStyle name="Comma 4 2 6 8 2" xfId="6998" xr:uid="{00000000-0005-0000-0000-00000E090000}"/>
    <cellStyle name="Comma 4 2 6 8 2 2" xfId="23896" xr:uid="{B8534F6E-AFE4-450E-95A3-32D2D55CCD2C}"/>
    <cellStyle name="Comma 4 2 6 8 2 3" xfId="15448" xr:uid="{668626E2-D6CD-43B8-BAB3-EAC1C1CBDA68}"/>
    <cellStyle name="Comma 4 2 6 8 3" xfId="19678" xr:uid="{5B50F32D-BA0D-472B-97E9-C5F98A20BD7B}"/>
    <cellStyle name="Comma 4 2 6 8 4" xfId="11230" xr:uid="{E2A82812-9406-4D39-9548-DD8158ABA478}"/>
    <cellStyle name="Comma 4 2 6 9" xfId="4615" xr:uid="{00000000-0005-0000-0000-00000F090000}"/>
    <cellStyle name="Comma 4 2 6 9 2" xfId="21513" xr:uid="{EDEB07B0-8224-4C0A-AC03-F58DABC025BA}"/>
    <cellStyle name="Comma 4 2 6 9 3" xfId="13065" xr:uid="{87DE6477-0933-465A-967A-41CB544F7DC8}"/>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23897" xr:uid="{1B33602B-D3F6-4034-B902-EF75E693BA86}"/>
    <cellStyle name="Comma 4 3 2 10 2 3" xfId="15449" xr:uid="{71B89DCD-EF03-4F19-9730-327E1F6F89F2}"/>
    <cellStyle name="Comma 4 3 2 10 3" xfId="19679" xr:uid="{5BDBCAC9-89C4-4DFA-BF3F-C78651184D78}"/>
    <cellStyle name="Comma 4 3 2 10 4" xfId="11231" xr:uid="{F8B3F6BA-AA04-4CFD-A5C2-C7ADE403A7F8}"/>
    <cellStyle name="Comma 4 3 2 11" xfId="4616" xr:uid="{00000000-0005-0000-0000-000014090000}"/>
    <cellStyle name="Comma 4 3 2 11 2" xfId="21514" xr:uid="{909CC06F-C5BE-41F0-8573-A1E4CF00BF6E}"/>
    <cellStyle name="Comma 4 3 2 11 3" xfId="13066" xr:uid="{FDC89B5A-0853-4E5E-AD4B-2C7B55194E1A}"/>
    <cellStyle name="Comma 4 3 2 12" xfId="17296" xr:uid="{2BAD28A3-43D0-4DD0-88E6-2229BBCD576C}"/>
    <cellStyle name="Comma 4 3 2 13" xfId="8848" xr:uid="{2907E746-A7E8-4136-AA2D-2327E9799D82}"/>
    <cellStyle name="Comma 4 3 2 2" xfId="146" xr:uid="{00000000-0005-0000-0000-000015090000}"/>
    <cellStyle name="Comma 4 3 2 2 10" xfId="4617" xr:uid="{00000000-0005-0000-0000-000016090000}"/>
    <cellStyle name="Comma 4 3 2 2 10 2" xfId="21515" xr:uid="{DC600E03-29FC-4B43-BAA7-0DE159F2B9C4}"/>
    <cellStyle name="Comma 4 3 2 2 10 3" xfId="13067" xr:uid="{4CBC861C-3A17-47FE-AD56-8D343B0EBBE2}"/>
    <cellStyle name="Comma 4 3 2 2 11" xfId="17297" xr:uid="{400AAB45-5C46-4B6C-8DE9-BC8362ADDA0D}"/>
    <cellStyle name="Comma 4 3 2 2 12" xfId="8849" xr:uid="{2256398A-88EF-40EA-84A5-5E2105109C03}"/>
    <cellStyle name="Comma 4 3 2 2 2" xfId="147" xr:uid="{00000000-0005-0000-0000-000017090000}"/>
    <cellStyle name="Comma 4 3 2 2 2 10" xfId="17298" xr:uid="{D44DCCAB-FCD3-4C77-8C64-05DEC56938D2}"/>
    <cellStyle name="Comma 4 3 2 2 2 11" xfId="8850" xr:uid="{A6386168-16C3-4740-8C73-30C24345123F}"/>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24075" xr:uid="{748657BC-3698-4F90-A60B-184229F392B1}"/>
    <cellStyle name="Comma 4 3 2 2 2 2 2 2 3" xfId="15627" xr:uid="{4241CC0A-92E6-45FC-B014-7C2C6FB94E70}"/>
    <cellStyle name="Comma 4 3 2 2 2 2 2 3" xfId="19857" xr:uid="{12DCDC66-7C98-44E2-9237-A5726F5D178F}"/>
    <cellStyle name="Comma 4 3 2 2 2 2 2 4" xfId="11409" xr:uid="{6E321F3B-397E-4665-870A-54EB5864AE62}"/>
    <cellStyle name="Comma 4 3 2 2 2 2 3" xfId="5032" xr:uid="{00000000-0005-0000-0000-00001B090000}"/>
    <cellStyle name="Comma 4 3 2 2 2 2 3 2" xfId="21930" xr:uid="{F98BAF4A-B3D6-434D-81DF-023314B467C0}"/>
    <cellStyle name="Comma 4 3 2 2 2 2 3 3" xfId="13482" xr:uid="{BFD9F7A0-4C7E-46BF-93A7-91755E8267F9}"/>
    <cellStyle name="Comma 4 3 2 2 2 2 4" xfId="17712" xr:uid="{6C97D575-B4EA-4063-BF58-E78FD73702D8}"/>
    <cellStyle name="Comma 4 3 2 2 2 2 5" xfId="9264" xr:uid="{BBCE6108-03AC-4023-AE07-E22AD0FC5823}"/>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24488" xr:uid="{EB660F12-CBFD-4598-A688-E6BCBC6F13D0}"/>
    <cellStyle name="Comma 4 3 2 2 2 3 2 2 3" xfId="16040" xr:uid="{7A8553FA-6E1B-4E7E-AA72-17D95C7FECF6}"/>
    <cellStyle name="Comma 4 3 2 2 2 3 2 3" xfId="20270" xr:uid="{83090522-CB95-45FB-B884-4D19456F2DBE}"/>
    <cellStyle name="Comma 4 3 2 2 2 3 2 4" xfId="11822" xr:uid="{51B8EA6C-1EC5-4257-8A26-B5466C4FA188}"/>
    <cellStyle name="Comma 4 3 2 2 2 3 3" xfId="5445" xr:uid="{00000000-0005-0000-0000-00001F090000}"/>
    <cellStyle name="Comma 4 3 2 2 2 3 3 2" xfId="22343" xr:uid="{0F82B8D7-9E15-4ABB-A6FE-73211A4BFA1C}"/>
    <cellStyle name="Comma 4 3 2 2 2 3 3 3" xfId="13895" xr:uid="{0C8388EB-FEEE-4FF3-9572-DC243A2FA8AB}"/>
    <cellStyle name="Comma 4 3 2 2 2 3 4" xfId="18125" xr:uid="{7E3C8A63-5162-49FF-8FA4-478FF134CBC1}"/>
    <cellStyle name="Comma 4 3 2 2 2 3 5" xfId="9677" xr:uid="{C7714583-4250-4E2C-8E00-D27726A830DA}"/>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24901" xr:uid="{F96F2446-7F8F-44A5-B82D-2CA78D4F3689}"/>
    <cellStyle name="Comma 4 3 2 2 2 4 2 2 3" xfId="16453" xr:uid="{A829A4E8-187B-47C5-9A26-C86F3BBFB6EC}"/>
    <cellStyle name="Comma 4 3 2 2 2 4 2 3" xfId="20683" xr:uid="{8A29BFE6-0D05-4A69-A7E7-2D4C69D8426E}"/>
    <cellStyle name="Comma 4 3 2 2 2 4 2 4" xfId="12235" xr:uid="{A323EBD0-5D91-4D9B-BADA-2A1B5DC12610}"/>
    <cellStyle name="Comma 4 3 2 2 2 4 3" xfId="5858" xr:uid="{00000000-0005-0000-0000-000023090000}"/>
    <cellStyle name="Comma 4 3 2 2 2 4 3 2" xfId="22756" xr:uid="{8CD46793-9102-4641-ABB0-34D029E26F6D}"/>
    <cellStyle name="Comma 4 3 2 2 2 4 3 3" xfId="14308" xr:uid="{6AFAE289-A90D-4DD9-82FD-A4F14BB22AB6}"/>
    <cellStyle name="Comma 4 3 2 2 2 4 4" xfId="18538" xr:uid="{86240C6A-96DB-43D8-B96F-7CAC0161301A}"/>
    <cellStyle name="Comma 4 3 2 2 2 4 5" xfId="10090" xr:uid="{07E0911E-9400-4FDD-AFEA-27A0AAA2E66F}"/>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25314" xr:uid="{41E4E74C-4689-41AA-86B8-41999DA01120}"/>
    <cellStyle name="Comma 4 3 2 2 2 5 2 2 3" xfId="16866" xr:uid="{4749DF12-0D54-42A9-B6A9-DA05BCF57AF8}"/>
    <cellStyle name="Comma 4 3 2 2 2 5 2 3" xfId="21096" xr:uid="{48B6DD4C-41D4-4D2D-B8EB-9648A56D4ECA}"/>
    <cellStyle name="Comma 4 3 2 2 2 5 2 4" xfId="12648" xr:uid="{BA920226-FF67-4994-88C5-5BB93BCD1090}"/>
    <cellStyle name="Comma 4 3 2 2 2 5 3" xfId="6271" xr:uid="{00000000-0005-0000-0000-000027090000}"/>
    <cellStyle name="Comma 4 3 2 2 2 5 3 2" xfId="23169" xr:uid="{D49B2078-4FF1-4480-966E-0F561134A87B}"/>
    <cellStyle name="Comma 4 3 2 2 2 5 3 3" xfId="14721" xr:uid="{1EEA2FAE-E740-4056-9E27-CB3F40E793A1}"/>
    <cellStyle name="Comma 4 3 2 2 2 5 4" xfId="18951" xr:uid="{4B09D78C-6DD5-4072-8595-7DF7EAD2E5B6}"/>
    <cellStyle name="Comma 4 3 2 2 2 5 5" xfId="10503" xr:uid="{9FA661B7-145A-4119-992D-9BB2E922BBFD}"/>
    <cellStyle name="Comma 4 3 2 2 2 6" xfId="2400" xr:uid="{00000000-0005-0000-0000-000028090000}"/>
    <cellStyle name="Comma 4 3 2 2 2 6 2" xfId="6684" xr:uid="{00000000-0005-0000-0000-000029090000}"/>
    <cellStyle name="Comma 4 3 2 2 2 6 2 2" xfId="23582" xr:uid="{22B3733A-A1CB-4A5E-A78B-8F2F9E16BBA7}"/>
    <cellStyle name="Comma 4 3 2 2 2 6 2 3" xfId="15134" xr:uid="{ED0D765E-6457-43F5-BCAE-E6BEFC1FD4EC}"/>
    <cellStyle name="Comma 4 3 2 2 2 6 3" xfId="19364" xr:uid="{E6720E02-2AC9-4EEB-BAC5-BBA0DB5DFDA7}"/>
    <cellStyle name="Comma 4 3 2 2 2 6 4" xfId="10916" xr:uid="{314090EE-D691-40BE-B448-96AAA0D364BB}"/>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23899" xr:uid="{773C1276-C6A1-407B-A4ED-70CE5897D26F}"/>
    <cellStyle name="Comma 4 3 2 2 2 8 2 3" xfId="15451" xr:uid="{29E48675-D006-481F-AB03-EE5694A1DD5D}"/>
    <cellStyle name="Comma 4 3 2 2 2 8 3" xfId="19681" xr:uid="{F9A731E5-627D-432C-BA98-747128D502C0}"/>
    <cellStyle name="Comma 4 3 2 2 2 8 4" xfId="11233" xr:uid="{7DF59499-1D08-45A0-967D-F7564E675ACD}"/>
    <cellStyle name="Comma 4 3 2 2 2 9" xfId="4618" xr:uid="{00000000-0005-0000-0000-00002D090000}"/>
    <cellStyle name="Comma 4 3 2 2 2 9 2" xfId="21516" xr:uid="{86A0AB3C-2F43-460B-A2CF-07D35F14818E}"/>
    <cellStyle name="Comma 4 3 2 2 2 9 3" xfId="13068" xr:uid="{907102D9-93F0-48FE-AD6C-654E79189A1E}"/>
    <cellStyle name="Comma 4 3 2 2 3" xfId="683" xr:uid="{00000000-0005-0000-0000-00002E090000}"/>
    <cellStyle name="Comma 4 3 2 2 3 2" xfId="2954" xr:uid="{00000000-0005-0000-0000-00002F090000}"/>
    <cellStyle name="Comma 4 3 2 2 3 2 2" xfId="7176" xr:uid="{00000000-0005-0000-0000-000030090000}"/>
    <cellStyle name="Comma 4 3 2 2 3 2 2 2" xfId="24074" xr:uid="{5741ABB6-5D5B-4028-B31D-A5FDBCAD058E}"/>
    <cellStyle name="Comma 4 3 2 2 3 2 2 3" xfId="15626" xr:uid="{14B38BA2-F821-4DE9-A030-BA9B26B8EC4A}"/>
    <cellStyle name="Comma 4 3 2 2 3 2 3" xfId="19856" xr:uid="{804B935E-5FF9-424E-A447-14E50F00E593}"/>
    <cellStyle name="Comma 4 3 2 2 3 2 4" xfId="11408" xr:uid="{718EC203-6E9C-4FF1-81B2-20300043D8DB}"/>
    <cellStyle name="Comma 4 3 2 2 3 3" xfId="5031" xr:uid="{00000000-0005-0000-0000-000031090000}"/>
    <cellStyle name="Comma 4 3 2 2 3 3 2" xfId="21929" xr:uid="{C014D89F-E902-4400-B134-6692494738C8}"/>
    <cellStyle name="Comma 4 3 2 2 3 3 3" xfId="13481" xr:uid="{63BF0DD5-901C-4191-8F50-0FF88FD92C6B}"/>
    <cellStyle name="Comma 4 3 2 2 3 4" xfId="17711" xr:uid="{A65DE765-DC99-41C3-ACF9-87F83360AE6E}"/>
    <cellStyle name="Comma 4 3 2 2 3 5" xfId="9263" xr:uid="{D65EBCC1-A6BD-4384-86DB-4070D989149F}"/>
    <cellStyle name="Comma 4 3 2 2 4" xfId="1136" xr:uid="{00000000-0005-0000-0000-000032090000}"/>
    <cellStyle name="Comma 4 3 2 2 4 2" xfId="3367" xr:uid="{00000000-0005-0000-0000-000033090000}"/>
    <cellStyle name="Comma 4 3 2 2 4 2 2" xfId="7589" xr:uid="{00000000-0005-0000-0000-000034090000}"/>
    <cellStyle name="Comma 4 3 2 2 4 2 2 2" xfId="24487" xr:uid="{DC4743E9-7E8D-4988-AF58-75356E3AB47F}"/>
    <cellStyle name="Comma 4 3 2 2 4 2 2 3" xfId="16039" xr:uid="{B7854374-2061-4D4B-A54F-EB98DB95CFEB}"/>
    <cellStyle name="Comma 4 3 2 2 4 2 3" xfId="20269" xr:uid="{FD3F53D3-2D84-41AF-A12D-12D5994D5651}"/>
    <cellStyle name="Comma 4 3 2 2 4 2 4" xfId="11821" xr:uid="{A1C87AFA-5798-4B63-A2E1-BB30B8FA02F0}"/>
    <cellStyle name="Comma 4 3 2 2 4 3" xfId="5444" xr:uid="{00000000-0005-0000-0000-000035090000}"/>
    <cellStyle name="Comma 4 3 2 2 4 3 2" xfId="22342" xr:uid="{B817E264-130E-4FFB-A799-70A00BBDF3E6}"/>
    <cellStyle name="Comma 4 3 2 2 4 3 3" xfId="13894" xr:uid="{10FF20C3-4BB6-4D6A-B5C2-099F84E9D344}"/>
    <cellStyle name="Comma 4 3 2 2 4 4" xfId="18124" xr:uid="{02451B0A-048E-4D73-B071-A0B14E70AD8D}"/>
    <cellStyle name="Comma 4 3 2 2 4 5" xfId="9676" xr:uid="{4C7AE45C-6B0D-4703-9615-47E80600B515}"/>
    <cellStyle name="Comma 4 3 2 2 5" xfId="1550" xr:uid="{00000000-0005-0000-0000-000036090000}"/>
    <cellStyle name="Comma 4 3 2 2 5 2" xfId="3780" xr:uid="{00000000-0005-0000-0000-000037090000}"/>
    <cellStyle name="Comma 4 3 2 2 5 2 2" xfId="8002" xr:uid="{00000000-0005-0000-0000-000038090000}"/>
    <cellStyle name="Comma 4 3 2 2 5 2 2 2" xfId="24900" xr:uid="{60BDD7EE-275E-432A-B216-7F62D725B9BF}"/>
    <cellStyle name="Comma 4 3 2 2 5 2 2 3" xfId="16452" xr:uid="{1B562895-33CD-4C32-AC8B-3DEB74AF9F5D}"/>
    <cellStyle name="Comma 4 3 2 2 5 2 3" xfId="20682" xr:uid="{6BF5907C-B57C-485F-9C5D-21905E367D17}"/>
    <cellStyle name="Comma 4 3 2 2 5 2 4" xfId="12234" xr:uid="{F8938020-F75A-4C8F-A85D-B88C7487CB58}"/>
    <cellStyle name="Comma 4 3 2 2 5 3" xfId="5857" xr:uid="{00000000-0005-0000-0000-000039090000}"/>
    <cellStyle name="Comma 4 3 2 2 5 3 2" xfId="22755" xr:uid="{9E4E86C2-930A-4DDD-B43E-238F04FB1EBF}"/>
    <cellStyle name="Comma 4 3 2 2 5 3 3" xfId="14307" xr:uid="{D893C2D6-4278-4E3F-AED5-54B25C173D17}"/>
    <cellStyle name="Comma 4 3 2 2 5 4" xfId="18537" xr:uid="{95D4F6B8-71C7-44D2-AD3D-A486E416BC35}"/>
    <cellStyle name="Comma 4 3 2 2 5 5" xfId="10089" xr:uid="{2A57E69A-B6A2-4185-8E3F-E0702746D462}"/>
    <cellStyle name="Comma 4 3 2 2 6" xfId="1964" xr:uid="{00000000-0005-0000-0000-00003A090000}"/>
    <cellStyle name="Comma 4 3 2 2 6 2" xfId="4193" xr:uid="{00000000-0005-0000-0000-00003B090000}"/>
    <cellStyle name="Comma 4 3 2 2 6 2 2" xfId="8415" xr:uid="{00000000-0005-0000-0000-00003C090000}"/>
    <cellStyle name="Comma 4 3 2 2 6 2 2 2" xfId="25313" xr:uid="{B9EAA0B6-C191-47B8-A328-3A2F4BCD758C}"/>
    <cellStyle name="Comma 4 3 2 2 6 2 2 3" xfId="16865" xr:uid="{B6811302-14AE-4208-A32A-B5D248518703}"/>
    <cellStyle name="Comma 4 3 2 2 6 2 3" xfId="21095" xr:uid="{101F44F1-EEB1-4C26-907A-6D16A16AE269}"/>
    <cellStyle name="Comma 4 3 2 2 6 2 4" xfId="12647" xr:uid="{1E71E9C1-53AF-47B0-9FCD-74A37031E57C}"/>
    <cellStyle name="Comma 4 3 2 2 6 3" xfId="6270" xr:uid="{00000000-0005-0000-0000-00003D090000}"/>
    <cellStyle name="Comma 4 3 2 2 6 3 2" xfId="23168" xr:uid="{B9229852-C647-4C41-B7A7-7384A0B6ACC7}"/>
    <cellStyle name="Comma 4 3 2 2 6 3 3" xfId="14720" xr:uid="{8304FBAC-4342-4D3E-AE9A-C80235755C18}"/>
    <cellStyle name="Comma 4 3 2 2 6 4" xfId="18950" xr:uid="{98EA7ED1-DBEC-4D98-A618-AFCE9F0CB152}"/>
    <cellStyle name="Comma 4 3 2 2 6 5" xfId="10502" xr:uid="{7650DCAE-7694-41B9-85CD-0A6A584C485E}"/>
    <cellStyle name="Comma 4 3 2 2 7" xfId="2399" xr:uid="{00000000-0005-0000-0000-00003E090000}"/>
    <cellStyle name="Comma 4 3 2 2 7 2" xfId="6683" xr:uid="{00000000-0005-0000-0000-00003F090000}"/>
    <cellStyle name="Comma 4 3 2 2 7 2 2" xfId="23581" xr:uid="{610125A3-192F-4E9C-9F17-05475F2059FC}"/>
    <cellStyle name="Comma 4 3 2 2 7 2 3" xfId="15133" xr:uid="{D9D036D5-0870-4B65-8ED5-41ED5FA3FE09}"/>
    <cellStyle name="Comma 4 3 2 2 7 3" xfId="19363" xr:uid="{0A8227D2-8555-4BBB-ACB5-86FE583BA55B}"/>
    <cellStyle name="Comma 4 3 2 2 7 4" xfId="10915" xr:uid="{9940E10B-A5A5-4ECF-AEB4-0FA3295F4605}"/>
    <cellStyle name="Comma 4 3 2 2 8" xfId="2364" xr:uid="{00000000-0005-0000-0000-000040090000}"/>
    <cellStyle name="Comma 4 3 2 2 9" xfId="2777" xr:uid="{00000000-0005-0000-0000-000041090000}"/>
    <cellStyle name="Comma 4 3 2 2 9 2" xfId="7000" xr:uid="{00000000-0005-0000-0000-000042090000}"/>
    <cellStyle name="Comma 4 3 2 2 9 2 2" xfId="23898" xr:uid="{B02E9B42-9D30-405C-B8E6-B451EEB3E6E0}"/>
    <cellStyle name="Comma 4 3 2 2 9 2 3" xfId="15450" xr:uid="{D2AD2AF4-0321-46F6-98D5-AEBB73477343}"/>
    <cellStyle name="Comma 4 3 2 2 9 3" xfId="19680" xr:uid="{AE645A99-43E7-4EE0-B6D0-48222681559C}"/>
    <cellStyle name="Comma 4 3 2 2 9 4" xfId="11232" xr:uid="{5A5EED0B-E80F-4295-AA07-1EA40ED4D3E4}"/>
    <cellStyle name="Comma 4 3 2 3" xfId="148" xr:uid="{00000000-0005-0000-0000-000043090000}"/>
    <cellStyle name="Comma 4 3 2 3 10" xfId="17299" xr:uid="{0C399F5B-463B-4656-828C-BB5C39390192}"/>
    <cellStyle name="Comma 4 3 2 3 11" xfId="8851" xr:uid="{E2E8D9EA-78CB-4CA5-8003-34749682DCA1}"/>
    <cellStyle name="Comma 4 3 2 3 2" xfId="685" xr:uid="{00000000-0005-0000-0000-000044090000}"/>
    <cellStyle name="Comma 4 3 2 3 2 2" xfId="2956" xr:uid="{00000000-0005-0000-0000-000045090000}"/>
    <cellStyle name="Comma 4 3 2 3 2 2 2" xfId="7178" xr:uid="{00000000-0005-0000-0000-000046090000}"/>
    <cellStyle name="Comma 4 3 2 3 2 2 2 2" xfId="24076" xr:uid="{3C0A8BBE-462D-4A11-BC0E-F3C1BC84AEE1}"/>
    <cellStyle name="Comma 4 3 2 3 2 2 2 3" xfId="15628" xr:uid="{B14584EA-1EFA-485F-AFB6-F5F2281F2ABC}"/>
    <cellStyle name="Comma 4 3 2 3 2 2 3" xfId="19858" xr:uid="{96E63970-20F7-4406-B607-DA1150026FD4}"/>
    <cellStyle name="Comma 4 3 2 3 2 2 4" xfId="11410" xr:uid="{204DF1F0-A62F-4B6A-A5D3-43CA04E61698}"/>
    <cellStyle name="Comma 4 3 2 3 2 3" xfId="5033" xr:uid="{00000000-0005-0000-0000-000047090000}"/>
    <cellStyle name="Comma 4 3 2 3 2 3 2" xfId="21931" xr:uid="{9AB4690F-5985-44F4-A4AF-0FE455634F67}"/>
    <cellStyle name="Comma 4 3 2 3 2 3 3" xfId="13483" xr:uid="{48A252D6-3B9D-4B1A-A2A5-0F9F7029CBE9}"/>
    <cellStyle name="Comma 4 3 2 3 2 4" xfId="17713" xr:uid="{9EC1AE0E-A613-4F73-A043-D827BEB71C15}"/>
    <cellStyle name="Comma 4 3 2 3 2 5" xfId="9265" xr:uid="{387A161A-1CFE-4DF2-9A63-4E96924044EA}"/>
    <cellStyle name="Comma 4 3 2 3 3" xfId="1138" xr:uid="{00000000-0005-0000-0000-000048090000}"/>
    <cellStyle name="Comma 4 3 2 3 3 2" xfId="3369" xr:uid="{00000000-0005-0000-0000-000049090000}"/>
    <cellStyle name="Comma 4 3 2 3 3 2 2" xfId="7591" xr:uid="{00000000-0005-0000-0000-00004A090000}"/>
    <cellStyle name="Comma 4 3 2 3 3 2 2 2" xfId="24489" xr:uid="{79F7958C-B3B7-4551-AFE4-F35F104724A6}"/>
    <cellStyle name="Comma 4 3 2 3 3 2 2 3" xfId="16041" xr:uid="{5E675E16-9968-4625-A8AE-B67F0E901F9B}"/>
    <cellStyle name="Comma 4 3 2 3 3 2 3" xfId="20271" xr:uid="{B7FBFEAB-B054-40BB-99D5-5880B3B1C3BA}"/>
    <cellStyle name="Comma 4 3 2 3 3 2 4" xfId="11823" xr:uid="{08F5598A-7440-4592-B90A-A558570ED32E}"/>
    <cellStyle name="Comma 4 3 2 3 3 3" xfId="5446" xr:uid="{00000000-0005-0000-0000-00004B090000}"/>
    <cellStyle name="Comma 4 3 2 3 3 3 2" xfId="22344" xr:uid="{CD7355B7-B9C2-4784-96D2-6D1D2A87CE0A}"/>
    <cellStyle name="Comma 4 3 2 3 3 3 3" xfId="13896" xr:uid="{9CAF5E35-15F5-4A6A-B8CA-863E53FD80C0}"/>
    <cellStyle name="Comma 4 3 2 3 3 4" xfId="18126" xr:uid="{7E86A0BC-150D-4752-946E-8D6075102231}"/>
    <cellStyle name="Comma 4 3 2 3 3 5" xfId="9678" xr:uid="{E1930433-3694-473E-9F9B-3D90C081308A}"/>
    <cellStyle name="Comma 4 3 2 3 4" xfId="1552" xr:uid="{00000000-0005-0000-0000-00004C090000}"/>
    <cellStyle name="Comma 4 3 2 3 4 2" xfId="3782" xr:uid="{00000000-0005-0000-0000-00004D090000}"/>
    <cellStyle name="Comma 4 3 2 3 4 2 2" xfId="8004" xr:uid="{00000000-0005-0000-0000-00004E090000}"/>
    <cellStyle name="Comma 4 3 2 3 4 2 2 2" xfId="24902" xr:uid="{DAD0E922-543D-44A2-9139-86DA67E935D1}"/>
    <cellStyle name="Comma 4 3 2 3 4 2 2 3" xfId="16454" xr:uid="{5D15C3B7-51F7-4668-93B4-D975A3785CBD}"/>
    <cellStyle name="Comma 4 3 2 3 4 2 3" xfId="20684" xr:uid="{45EF9A87-3052-430F-AB1D-EFDE00C5818A}"/>
    <cellStyle name="Comma 4 3 2 3 4 2 4" xfId="12236" xr:uid="{5310ECA7-48BD-473A-9E44-3FB1E3040AFA}"/>
    <cellStyle name="Comma 4 3 2 3 4 3" xfId="5859" xr:uid="{00000000-0005-0000-0000-00004F090000}"/>
    <cellStyle name="Comma 4 3 2 3 4 3 2" xfId="22757" xr:uid="{2C17C1AF-D9F0-47C1-AA81-92FF851B9EA6}"/>
    <cellStyle name="Comma 4 3 2 3 4 3 3" xfId="14309" xr:uid="{DB25B94A-575C-48FD-B934-667DCF03035C}"/>
    <cellStyle name="Comma 4 3 2 3 4 4" xfId="18539" xr:uid="{73BE8A63-2A74-487E-9F9D-0EE72F7ADB30}"/>
    <cellStyle name="Comma 4 3 2 3 4 5" xfId="10091" xr:uid="{E459120E-041E-4825-91C5-2F9AC0852EA4}"/>
    <cellStyle name="Comma 4 3 2 3 5" xfId="1966" xr:uid="{00000000-0005-0000-0000-000050090000}"/>
    <cellStyle name="Comma 4 3 2 3 5 2" xfId="4195" xr:uid="{00000000-0005-0000-0000-000051090000}"/>
    <cellStyle name="Comma 4 3 2 3 5 2 2" xfId="8417" xr:uid="{00000000-0005-0000-0000-000052090000}"/>
    <cellStyle name="Comma 4 3 2 3 5 2 2 2" xfId="25315" xr:uid="{C1A66547-7923-4FAD-9034-77EC073A0154}"/>
    <cellStyle name="Comma 4 3 2 3 5 2 2 3" xfId="16867" xr:uid="{C1F0F071-8C82-40F1-B00F-F57949B6860D}"/>
    <cellStyle name="Comma 4 3 2 3 5 2 3" xfId="21097" xr:uid="{A3D1BF7E-17EE-446B-89AA-4FB5831943A0}"/>
    <cellStyle name="Comma 4 3 2 3 5 2 4" xfId="12649" xr:uid="{064C11CE-D7B3-42DA-938C-E08DA5E649BB}"/>
    <cellStyle name="Comma 4 3 2 3 5 3" xfId="6272" xr:uid="{00000000-0005-0000-0000-000053090000}"/>
    <cellStyle name="Comma 4 3 2 3 5 3 2" xfId="23170" xr:uid="{89E9D794-7D31-43B6-9CA6-728925928070}"/>
    <cellStyle name="Comma 4 3 2 3 5 3 3" xfId="14722" xr:uid="{0ABDD6A1-64B0-4222-988E-6C4312B375CB}"/>
    <cellStyle name="Comma 4 3 2 3 5 4" xfId="18952" xr:uid="{C603E11A-3DF0-4E7E-AA39-36A2E5103F09}"/>
    <cellStyle name="Comma 4 3 2 3 5 5" xfId="10504" xr:uid="{580A037E-0FC0-47F4-9CAC-47F38CDFC26D}"/>
    <cellStyle name="Comma 4 3 2 3 6" xfId="2401" xr:uid="{00000000-0005-0000-0000-000054090000}"/>
    <cellStyle name="Comma 4 3 2 3 6 2" xfId="6685" xr:uid="{00000000-0005-0000-0000-000055090000}"/>
    <cellStyle name="Comma 4 3 2 3 6 2 2" xfId="23583" xr:uid="{1546157C-5ACF-414E-88D7-18784A52BA16}"/>
    <cellStyle name="Comma 4 3 2 3 6 2 3" xfId="15135" xr:uid="{9D38C4B5-8B30-4C27-86B0-F867BE3DD582}"/>
    <cellStyle name="Comma 4 3 2 3 6 3" xfId="19365" xr:uid="{EEC18D15-20FD-4475-8FBF-768F20FA2B48}"/>
    <cellStyle name="Comma 4 3 2 3 6 4" xfId="10917" xr:uid="{29215F35-68D5-469F-8184-26A9D598A38D}"/>
    <cellStyle name="Comma 4 3 2 3 7" xfId="2362" xr:uid="{00000000-0005-0000-0000-000056090000}"/>
    <cellStyle name="Comma 4 3 2 3 8" xfId="2779" xr:uid="{00000000-0005-0000-0000-000057090000}"/>
    <cellStyle name="Comma 4 3 2 3 8 2" xfId="7002" xr:uid="{00000000-0005-0000-0000-000058090000}"/>
    <cellStyle name="Comma 4 3 2 3 8 2 2" xfId="23900" xr:uid="{F48EE6B2-7233-4C6B-9AFE-387C44E2D195}"/>
    <cellStyle name="Comma 4 3 2 3 8 2 3" xfId="15452" xr:uid="{C2B2255F-C9DF-4368-95ED-1456F4D468BB}"/>
    <cellStyle name="Comma 4 3 2 3 8 3" xfId="19682" xr:uid="{A98C6D78-DD12-494F-970B-7F7FE3F3D71E}"/>
    <cellStyle name="Comma 4 3 2 3 8 4" xfId="11234" xr:uid="{219E902E-5561-49A6-9E58-71E6B9EDA018}"/>
    <cellStyle name="Comma 4 3 2 3 9" xfId="4619" xr:uid="{00000000-0005-0000-0000-000059090000}"/>
    <cellStyle name="Comma 4 3 2 3 9 2" xfId="21517" xr:uid="{FFDA6EF6-58F8-498D-929C-86871A1B8E55}"/>
    <cellStyle name="Comma 4 3 2 3 9 3" xfId="13069" xr:uid="{1E2E3EEE-54AE-4DBA-A511-B757EEEEB38A}"/>
    <cellStyle name="Comma 4 3 2 4" xfId="682" xr:uid="{00000000-0005-0000-0000-00005A090000}"/>
    <cellStyle name="Comma 4 3 2 4 2" xfId="2953" xr:uid="{00000000-0005-0000-0000-00005B090000}"/>
    <cellStyle name="Comma 4 3 2 4 2 2" xfId="7175" xr:uid="{00000000-0005-0000-0000-00005C090000}"/>
    <cellStyle name="Comma 4 3 2 4 2 2 2" xfId="24073" xr:uid="{1D9AFCC1-4D08-45C5-B951-FE4EF13972A9}"/>
    <cellStyle name="Comma 4 3 2 4 2 2 3" xfId="15625" xr:uid="{378042DD-BA0B-4F47-AD18-82F23F7BAFBE}"/>
    <cellStyle name="Comma 4 3 2 4 2 3" xfId="19855" xr:uid="{701A3EA7-0C79-4BC7-966E-21411566B5FC}"/>
    <cellStyle name="Comma 4 3 2 4 2 4" xfId="11407" xr:uid="{2B592164-24FD-413F-BDCF-87106923FD58}"/>
    <cellStyle name="Comma 4 3 2 4 3" xfId="5030" xr:uid="{00000000-0005-0000-0000-00005D090000}"/>
    <cellStyle name="Comma 4 3 2 4 3 2" xfId="21928" xr:uid="{0D78F23E-5055-47C5-8DBF-3A1A4D8FF157}"/>
    <cellStyle name="Comma 4 3 2 4 3 3" xfId="13480" xr:uid="{16873A91-307E-4A37-8EC4-537450415560}"/>
    <cellStyle name="Comma 4 3 2 4 4" xfId="17710" xr:uid="{9A785055-DDF5-49C9-9349-E83C79EDEEEE}"/>
    <cellStyle name="Comma 4 3 2 4 5" xfId="9262" xr:uid="{945FA495-5D9C-4DA0-BE4D-97FB73EBBEA9}"/>
    <cellStyle name="Comma 4 3 2 5" xfId="1135" xr:uid="{00000000-0005-0000-0000-00005E090000}"/>
    <cellStyle name="Comma 4 3 2 5 2" xfId="3366" xr:uid="{00000000-0005-0000-0000-00005F090000}"/>
    <cellStyle name="Comma 4 3 2 5 2 2" xfId="7588" xr:uid="{00000000-0005-0000-0000-000060090000}"/>
    <cellStyle name="Comma 4 3 2 5 2 2 2" xfId="24486" xr:uid="{90538A5A-C2D9-4D0B-802E-C7B0A9AED792}"/>
    <cellStyle name="Comma 4 3 2 5 2 2 3" xfId="16038" xr:uid="{D78E6C1F-67D9-476F-A9C9-FC30DCA79722}"/>
    <cellStyle name="Comma 4 3 2 5 2 3" xfId="20268" xr:uid="{7B3E0CE5-FBFC-433B-9C1C-40031D1668DE}"/>
    <cellStyle name="Comma 4 3 2 5 2 4" xfId="11820" xr:uid="{B2DFECAC-1E92-4003-90D3-34289951E03F}"/>
    <cellStyle name="Comma 4 3 2 5 3" xfId="5443" xr:uid="{00000000-0005-0000-0000-000061090000}"/>
    <cellStyle name="Comma 4 3 2 5 3 2" xfId="22341" xr:uid="{7314DABB-375D-4F2F-B929-58E6A5B31989}"/>
    <cellStyle name="Comma 4 3 2 5 3 3" xfId="13893" xr:uid="{DB61B027-248D-4CE1-9151-3B614ECD545F}"/>
    <cellStyle name="Comma 4 3 2 5 4" xfId="18123" xr:uid="{46F86949-FD3C-43FF-9B9F-0BEF283E6019}"/>
    <cellStyle name="Comma 4 3 2 5 5" xfId="9675" xr:uid="{588AD608-06E3-4245-B642-124CC1D99D6C}"/>
    <cellStyle name="Comma 4 3 2 6" xfId="1549" xr:uid="{00000000-0005-0000-0000-000062090000}"/>
    <cellStyle name="Comma 4 3 2 6 2" xfId="3779" xr:uid="{00000000-0005-0000-0000-000063090000}"/>
    <cellStyle name="Comma 4 3 2 6 2 2" xfId="8001" xr:uid="{00000000-0005-0000-0000-000064090000}"/>
    <cellStyle name="Comma 4 3 2 6 2 2 2" xfId="24899" xr:uid="{C373D650-8C97-4842-9DF9-9BAFB0287D30}"/>
    <cellStyle name="Comma 4 3 2 6 2 2 3" xfId="16451" xr:uid="{67C7891E-D037-4D27-8296-259C84E3922D}"/>
    <cellStyle name="Comma 4 3 2 6 2 3" xfId="20681" xr:uid="{B52DDAF6-81FF-4BD0-AF40-3B07AF70FC1F}"/>
    <cellStyle name="Comma 4 3 2 6 2 4" xfId="12233" xr:uid="{D08CA02E-A852-44F6-B0EE-5CCBF297AAF9}"/>
    <cellStyle name="Comma 4 3 2 6 3" xfId="5856" xr:uid="{00000000-0005-0000-0000-000065090000}"/>
    <cellStyle name="Comma 4 3 2 6 3 2" xfId="22754" xr:uid="{87E56735-9AEB-4661-A55A-84E5062DBC88}"/>
    <cellStyle name="Comma 4 3 2 6 3 3" xfId="14306" xr:uid="{2C17EA04-FC61-4AC1-9C65-B46023BF1330}"/>
    <cellStyle name="Comma 4 3 2 6 4" xfId="18536" xr:uid="{1C2B5977-714B-48CB-BF28-4BC12F3074AD}"/>
    <cellStyle name="Comma 4 3 2 6 5" xfId="10088" xr:uid="{B89E71DD-72F3-47F2-AFC9-DE932805E59A}"/>
    <cellStyle name="Comma 4 3 2 7" xfId="1963" xr:uid="{00000000-0005-0000-0000-000066090000}"/>
    <cellStyle name="Comma 4 3 2 7 2" xfId="4192" xr:uid="{00000000-0005-0000-0000-000067090000}"/>
    <cellStyle name="Comma 4 3 2 7 2 2" xfId="8414" xr:uid="{00000000-0005-0000-0000-000068090000}"/>
    <cellStyle name="Comma 4 3 2 7 2 2 2" xfId="25312" xr:uid="{AC86E88C-E4FA-42AD-9761-748275ABBEC0}"/>
    <cellStyle name="Comma 4 3 2 7 2 2 3" xfId="16864" xr:uid="{B16C7D1B-64B9-461F-B2C8-90A50971CF5C}"/>
    <cellStyle name="Comma 4 3 2 7 2 3" xfId="21094" xr:uid="{AAC5351E-6620-43A3-8857-82047EAABDA6}"/>
    <cellStyle name="Comma 4 3 2 7 2 4" xfId="12646" xr:uid="{03AD5F1C-F8E2-41A3-8438-727AC603F09E}"/>
    <cellStyle name="Comma 4 3 2 7 3" xfId="6269" xr:uid="{00000000-0005-0000-0000-000069090000}"/>
    <cellStyle name="Comma 4 3 2 7 3 2" xfId="23167" xr:uid="{9C20E891-BE41-40A2-8535-4FA0F6EBAC7D}"/>
    <cellStyle name="Comma 4 3 2 7 3 3" xfId="14719" xr:uid="{6BDE6042-9C8D-46B7-9E84-5DC526787E9A}"/>
    <cellStyle name="Comma 4 3 2 7 4" xfId="18949" xr:uid="{FB05CC54-D8A3-43E9-9DC3-515CB915CF48}"/>
    <cellStyle name="Comma 4 3 2 7 5" xfId="10501" xr:uid="{EB85BD62-080A-42F5-8C58-18F46ED036E5}"/>
    <cellStyle name="Comma 4 3 2 8" xfId="2398" xr:uid="{00000000-0005-0000-0000-00006A090000}"/>
    <cellStyle name="Comma 4 3 2 8 2" xfId="6682" xr:uid="{00000000-0005-0000-0000-00006B090000}"/>
    <cellStyle name="Comma 4 3 2 8 2 2" xfId="23580" xr:uid="{0D3E2791-A3A4-4653-BB58-2AA03A2D0694}"/>
    <cellStyle name="Comma 4 3 2 8 2 3" xfId="15132" xr:uid="{967E0C7E-1148-4083-9462-2C0B9428DD80}"/>
    <cellStyle name="Comma 4 3 2 8 3" xfId="19362" xr:uid="{F0CADFB7-A8CC-431A-8853-A659DF05CD2E}"/>
    <cellStyle name="Comma 4 3 2 8 4" xfId="10914" xr:uid="{F6A50080-EC21-4410-89C8-63D06847BCF0}"/>
    <cellStyle name="Comma 4 3 2 9" xfId="2365" xr:uid="{00000000-0005-0000-0000-00006C090000}"/>
    <cellStyle name="Comma 4 3 3" xfId="149" xr:uid="{00000000-0005-0000-0000-00006D090000}"/>
    <cellStyle name="Comma 4 3 3 10" xfId="4620" xr:uid="{00000000-0005-0000-0000-00006E090000}"/>
    <cellStyle name="Comma 4 3 3 10 2" xfId="21518" xr:uid="{B8EB62A9-A403-4ACA-B425-857FEE00C9BC}"/>
    <cellStyle name="Comma 4 3 3 10 3" xfId="13070" xr:uid="{42C889AD-BDD7-44D4-A2F4-3D1320C10F67}"/>
    <cellStyle name="Comma 4 3 3 11" xfId="17300" xr:uid="{D856BA23-0EC4-4F0A-93C3-BA91BE6D49F2}"/>
    <cellStyle name="Comma 4 3 3 12" xfId="8852" xr:uid="{429EC542-BA46-4DF8-A3B9-2C3AF59F22FA}"/>
    <cellStyle name="Comma 4 3 3 2" xfId="150" xr:uid="{00000000-0005-0000-0000-00006F090000}"/>
    <cellStyle name="Comma 4 3 3 2 10" xfId="17301" xr:uid="{76B4D851-9A1F-4354-A8B3-8E4DD354D662}"/>
    <cellStyle name="Comma 4 3 3 2 11" xfId="8853" xr:uid="{37C8CD4A-BDDE-4F3A-8B96-1AB74D360DE0}"/>
    <cellStyle name="Comma 4 3 3 2 2" xfId="687" xr:uid="{00000000-0005-0000-0000-000070090000}"/>
    <cellStyle name="Comma 4 3 3 2 2 2" xfId="2958" xr:uid="{00000000-0005-0000-0000-000071090000}"/>
    <cellStyle name="Comma 4 3 3 2 2 2 2" xfId="7180" xr:uid="{00000000-0005-0000-0000-000072090000}"/>
    <cellStyle name="Comma 4 3 3 2 2 2 2 2" xfId="24078" xr:uid="{99015E9E-FA43-4B32-9260-FA25AE6784B4}"/>
    <cellStyle name="Comma 4 3 3 2 2 2 2 3" xfId="15630" xr:uid="{5F00E660-0A7B-4D6F-B784-7E209F7F745F}"/>
    <cellStyle name="Comma 4 3 3 2 2 2 3" xfId="19860" xr:uid="{2D6B196E-2F14-4C3E-8287-5CCCB86B3E04}"/>
    <cellStyle name="Comma 4 3 3 2 2 2 4" xfId="11412" xr:uid="{FD4E9F3D-41A4-4935-993C-444A6DB91456}"/>
    <cellStyle name="Comma 4 3 3 2 2 3" xfId="5035" xr:uid="{00000000-0005-0000-0000-000073090000}"/>
    <cellStyle name="Comma 4 3 3 2 2 3 2" xfId="21933" xr:uid="{EC90D1D6-AC2D-4D2B-B400-DBD37309A819}"/>
    <cellStyle name="Comma 4 3 3 2 2 3 3" xfId="13485" xr:uid="{D6988723-4868-4072-9A5A-074E27431170}"/>
    <cellStyle name="Comma 4 3 3 2 2 4" xfId="17715" xr:uid="{5D55D627-2EDC-4BF0-85F7-1F7907A55F3F}"/>
    <cellStyle name="Comma 4 3 3 2 2 5" xfId="9267" xr:uid="{38AF6966-FF55-4C02-90D4-47802942666A}"/>
    <cellStyle name="Comma 4 3 3 2 3" xfId="1140" xr:uid="{00000000-0005-0000-0000-000074090000}"/>
    <cellStyle name="Comma 4 3 3 2 3 2" xfId="3371" xr:uid="{00000000-0005-0000-0000-000075090000}"/>
    <cellStyle name="Comma 4 3 3 2 3 2 2" xfId="7593" xr:uid="{00000000-0005-0000-0000-000076090000}"/>
    <cellStyle name="Comma 4 3 3 2 3 2 2 2" xfId="24491" xr:uid="{EB71F980-08F3-4B9B-AD9E-D26F24D6A5EC}"/>
    <cellStyle name="Comma 4 3 3 2 3 2 2 3" xfId="16043" xr:uid="{C27942C1-F7F0-4A70-9D14-FB4F580C5551}"/>
    <cellStyle name="Comma 4 3 3 2 3 2 3" xfId="20273" xr:uid="{5CCE7518-CEFA-421A-9FE6-D9726758AE6A}"/>
    <cellStyle name="Comma 4 3 3 2 3 2 4" xfId="11825" xr:uid="{9172E3E6-2E3C-49A2-AE68-9E18F64CB1D6}"/>
    <cellStyle name="Comma 4 3 3 2 3 3" xfId="5448" xr:uid="{00000000-0005-0000-0000-000077090000}"/>
    <cellStyle name="Comma 4 3 3 2 3 3 2" xfId="22346" xr:uid="{21A5895A-0227-478E-9835-DD30D2295740}"/>
    <cellStyle name="Comma 4 3 3 2 3 3 3" xfId="13898" xr:uid="{EB85B94C-C7E2-4885-950C-FE8F1C4D6E09}"/>
    <cellStyle name="Comma 4 3 3 2 3 4" xfId="18128" xr:uid="{69A423B5-C271-45A4-9730-87D4EC502C27}"/>
    <cellStyle name="Comma 4 3 3 2 3 5" xfId="9680" xr:uid="{3CACBFFF-EC13-43A7-BC78-6B03E7AEF0B5}"/>
    <cellStyle name="Comma 4 3 3 2 4" xfId="1554" xr:uid="{00000000-0005-0000-0000-000078090000}"/>
    <cellStyle name="Comma 4 3 3 2 4 2" xfId="3784" xr:uid="{00000000-0005-0000-0000-000079090000}"/>
    <cellStyle name="Comma 4 3 3 2 4 2 2" xfId="8006" xr:uid="{00000000-0005-0000-0000-00007A090000}"/>
    <cellStyle name="Comma 4 3 3 2 4 2 2 2" xfId="24904" xr:uid="{33CB14FD-F29F-4E07-9EAC-FB600D7DC09D}"/>
    <cellStyle name="Comma 4 3 3 2 4 2 2 3" xfId="16456" xr:uid="{44A6640E-3615-4893-AA4D-DF385A61F8C3}"/>
    <cellStyle name="Comma 4 3 3 2 4 2 3" xfId="20686" xr:uid="{689B7D54-E16A-4C0F-8B37-A38202A27758}"/>
    <cellStyle name="Comma 4 3 3 2 4 2 4" xfId="12238" xr:uid="{62684570-E24F-497E-B16C-A4EA10BBB461}"/>
    <cellStyle name="Comma 4 3 3 2 4 3" xfId="5861" xr:uid="{00000000-0005-0000-0000-00007B090000}"/>
    <cellStyle name="Comma 4 3 3 2 4 3 2" xfId="22759" xr:uid="{E05971A1-3FD6-43B1-8568-E4441E21BB2A}"/>
    <cellStyle name="Comma 4 3 3 2 4 3 3" xfId="14311" xr:uid="{B4A90CEB-E177-47E9-92D0-5B85E96E44D8}"/>
    <cellStyle name="Comma 4 3 3 2 4 4" xfId="18541" xr:uid="{CB76EA4E-CF0C-4362-B81C-CDE7CF369E6C}"/>
    <cellStyle name="Comma 4 3 3 2 4 5" xfId="10093" xr:uid="{F7334E91-4903-4699-88D4-E84EC2346751}"/>
    <cellStyle name="Comma 4 3 3 2 5" xfId="1968" xr:uid="{00000000-0005-0000-0000-00007C090000}"/>
    <cellStyle name="Comma 4 3 3 2 5 2" xfId="4197" xr:uid="{00000000-0005-0000-0000-00007D090000}"/>
    <cellStyle name="Comma 4 3 3 2 5 2 2" xfId="8419" xr:uid="{00000000-0005-0000-0000-00007E090000}"/>
    <cellStyle name="Comma 4 3 3 2 5 2 2 2" xfId="25317" xr:uid="{AE8FF735-90E9-4CB2-A396-F2B3DEA89E7C}"/>
    <cellStyle name="Comma 4 3 3 2 5 2 2 3" xfId="16869" xr:uid="{55E43F06-0927-4946-8985-FB4BC648084D}"/>
    <cellStyle name="Comma 4 3 3 2 5 2 3" xfId="21099" xr:uid="{304A9D02-3D05-431B-94C5-DA0531B4152D}"/>
    <cellStyle name="Comma 4 3 3 2 5 2 4" xfId="12651" xr:uid="{BDDDC502-DE9F-46C8-BA3F-AABF5232B0BD}"/>
    <cellStyle name="Comma 4 3 3 2 5 3" xfId="6274" xr:uid="{00000000-0005-0000-0000-00007F090000}"/>
    <cellStyle name="Comma 4 3 3 2 5 3 2" xfId="23172" xr:uid="{43157ACB-8302-4B58-A86F-DEFDEC4747E9}"/>
    <cellStyle name="Comma 4 3 3 2 5 3 3" xfId="14724" xr:uid="{147A134A-5EDB-4DA5-81FD-B019E197BBA9}"/>
    <cellStyle name="Comma 4 3 3 2 5 4" xfId="18954" xr:uid="{23E7F06E-E07A-40A0-8836-C392B60DC494}"/>
    <cellStyle name="Comma 4 3 3 2 5 5" xfId="10506" xr:uid="{742BCD57-2E1A-4B82-B1AF-4E90178EE689}"/>
    <cellStyle name="Comma 4 3 3 2 6" xfId="2403" xr:uid="{00000000-0005-0000-0000-000080090000}"/>
    <cellStyle name="Comma 4 3 3 2 6 2" xfId="6687" xr:uid="{00000000-0005-0000-0000-000081090000}"/>
    <cellStyle name="Comma 4 3 3 2 6 2 2" xfId="23585" xr:uid="{47AC4C63-C34E-40BD-89C2-27B636CBB8AF}"/>
    <cellStyle name="Comma 4 3 3 2 6 2 3" xfId="15137" xr:uid="{E5B1580A-BAEB-4BB5-91CE-CDE878064098}"/>
    <cellStyle name="Comma 4 3 3 2 6 3" xfId="19367" xr:uid="{46BA24CB-B5BF-4636-B9CB-13F0990D7F81}"/>
    <cellStyle name="Comma 4 3 3 2 6 4" xfId="10919" xr:uid="{653041F0-5BE8-4F69-B5A5-D7FAECCDA6DF}"/>
    <cellStyle name="Comma 4 3 3 2 7" xfId="2360" xr:uid="{00000000-0005-0000-0000-000082090000}"/>
    <cellStyle name="Comma 4 3 3 2 8" xfId="2781" xr:uid="{00000000-0005-0000-0000-000083090000}"/>
    <cellStyle name="Comma 4 3 3 2 8 2" xfId="7004" xr:uid="{00000000-0005-0000-0000-000084090000}"/>
    <cellStyle name="Comma 4 3 3 2 8 2 2" xfId="23902" xr:uid="{9CF489E5-AE11-4569-A64F-E1D35B36C9FB}"/>
    <cellStyle name="Comma 4 3 3 2 8 2 3" xfId="15454" xr:uid="{C9C6F023-1116-4D4C-B713-825E4F3468D4}"/>
    <cellStyle name="Comma 4 3 3 2 8 3" xfId="19684" xr:uid="{E076EEBC-3FF6-4248-A310-70FFC9C8DEF2}"/>
    <cellStyle name="Comma 4 3 3 2 8 4" xfId="11236" xr:uid="{4023BB34-5A20-4046-A6CA-B85AA76DCAD2}"/>
    <cellStyle name="Comma 4 3 3 2 9" xfId="4621" xr:uid="{00000000-0005-0000-0000-000085090000}"/>
    <cellStyle name="Comma 4 3 3 2 9 2" xfId="21519" xr:uid="{EB0A2848-61C9-4B5F-900E-2D5C27C1BB35}"/>
    <cellStyle name="Comma 4 3 3 2 9 3" xfId="13071" xr:uid="{516E8E25-900A-4057-80A9-5348FB6A059D}"/>
    <cellStyle name="Comma 4 3 3 3" xfId="686" xr:uid="{00000000-0005-0000-0000-000086090000}"/>
    <cellStyle name="Comma 4 3 3 3 2" xfId="2957" xr:uid="{00000000-0005-0000-0000-000087090000}"/>
    <cellStyle name="Comma 4 3 3 3 2 2" xfId="7179" xr:uid="{00000000-0005-0000-0000-000088090000}"/>
    <cellStyle name="Comma 4 3 3 3 2 2 2" xfId="24077" xr:uid="{2A5F12ED-F10B-43DA-9DA6-E0692993B1D8}"/>
    <cellStyle name="Comma 4 3 3 3 2 2 3" xfId="15629" xr:uid="{826F093D-23F5-4422-A9D7-E83576CA1CDA}"/>
    <cellStyle name="Comma 4 3 3 3 2 3" xfId="19859" xr:uid="{130DBEA0-8B31-497D-A068-0236F55E27B2}"/>
    <cellStyle name="Comma 4 3 3 3 2 4" xfId="11411" xr:uid="{565A3C30-2A26-4A2C-A43D-21D377CD3D8F}"/>
    <cellStyle name="Comma 4 3 3 3 3" xfId="5034" xr:uid="{00000000-0005-0000-0000-000089090000}"/>
    <cellStyle name="Comma 4 3 3 3 3 2" xfId="21932" xr:uid="{B5231CB9-F090-49AE-8DC0-3C149D43F791}"/>
    <cellStyle name="Comma 4 3 3 3 3 3" xfId="13484" xr:uid="{ADB09EDC-633C-4BAA-A8AF-D257D592042F}"/>
    <cellStyle name="Comma 4 3 3 3 4" xfId="17714" xr:uid="{4907F4C9-4AE2-48CF-86F5-FE98B0ACA10B}"/>
    <cellStyle name="Comma 4 3 3 3 5" xfId="9266" xr:uid="{552C5B7B-42DF-478A-BCD0-072763A421BE}"/>
    <cellStyle name="Comma 4 3 3 4" xfId="1139" xr:uid="{00000000-0005-0000-0000-00008A090000}"/>
    <cellStyle name="Comma 4 3 3 4 2" xfId="3370" xr:uid="{00000000-0005-0000-0000-00008B090000}"/>
    <cellStyle name="Comma 4 3 3 4 2 2" xfId="7592" xr:uid="{00000000-0005-0000-0000-00008C090000}"/>
    <cellStyle name="Comma 4 3 3 4 2 2 2" xfId="24490" xr:uid="{ECECDDFB-4BD7-4010-A783-7E0FBBEADE54}"/>
    <cellStyle name="Comma 4 3 3 4 2 2 3" xfId="16042" xr:uid="{FBE370CC-F5FC-4A02-BAB2-3114D94CEF4F}"/>
    <cellStyle name="Comma 4 3 3 4 2 3" xfId="20272" xr:uid="{FD5D1776-6F94-4AFC-B00D-5A75128B46D2}"/>
    <cellStyle name="Comma 4 3 3 4 2 4" xfId="11824" xr:uid="{B6BAA980-E162-44FC-946A-2895867DC1CE}"/>
    <cellStyle name="Comma 4 3 3 4 3" xfId="5447" xr:uid="{00000000-0005-0000-0000-00008D090000}"/>
    <cellStyle name="Comma 4 3 3 4 3 2" xfId="22345" xr:uid="{55C09DFE-0065-46B8-8169-3BCFD757C319}"/>
    <cellStyle name="Comma 4 3 3 4 3 3" xfId="13897" xr:uid="{126D7011-2513-4D1C-8C5D-6AD39A2C6F8F}"/>
    <cellStyle name="Comma 4 3 3 4 4" xfId="18127" xr:uid="{13F8BF7D-A02F-4A61-9AF0-451B2FC1E038}"/>
    <cellStyle name="Comma 4 3 3 4 5" xfId="9679" xr:uid="{9C471B88-BE18-4D5E-A39D-0F5F49A1BF6C}"/>
    <cellStyle name="Comma 4 3 3 5" xfId="1553" xr:uid="{00000000-0005-0000-0000-00008E090000}"/>
    <cellStyle name="Comma 4 3 3 5 2" xfId="3783" xr:uid="{00000000-0005-0000-0000-00008F090000}"/>
    <cellStyle name="Comma 4 3 3 5 2 2" xfId="8005" xr:uid="{00000000-0005-0000-0000-000090090000}"/>
    <cellStyle name="Comma 4 3 3 5 2 2 2" xfId="24903" xr:uid="{85DC9CE4-E2E5-4B09-B544-CA4F27DFED13}"/>
    <cellStyle name="Comma 4 3 3 5 2 2 3" xfId="16455" xr:uid="{5DCFF1DB-67BF-48DA-8E07-F027AE9AD3D7}"/>
    <cellStyle name="Comma 4 3 3 5 2 3" xfId="20685" xr:uid="{D7CBB5FF-CB56-4C53-BB8F-8154B662D42F}"/>
    <cellStyle name="Comma 4 3 3 5 2 4" xfId="12237" xr:uid="{B1203F23-7B9C-4FF3-8E9E-68BE94529967}"/>
    <cellStyle name="Comma 4 3 3 5 3" xfId="5860" xr:uid="{00000000-0005-0000-0000-000091090000}"/>
    <cellStyle name="Comma 4 3 3 5 3 2" xfId="22758" xr:uid="{13709F9C-5D06-46F4-AC57-F6E8E2B93844}"/>
    <cellStyle name="Comma 4 3 3 5 3 3" xfId="14310" xr:uid="{9439C59F-9835-4D70-8459-AF094A62F39B}"/>
    <cellStyle name="Comma 4 3 3 5 4" xfId="18540" xr:uid="{B34FA4C1-8E7A-4FFD-802E-58E254C471DD}"/>
    <cellStyle name="Comma 4 3 3 5 5" xfId="10092" xr:uid="{1CBB6827-5347-47F5-ABC4-C84F7633E81B}"/>
    <cellStyle name="Comma 4 3 3 6" xfId="1967" xr:uid="{00000000-0005-0000-0000-000092090000}"/>
    <cellStyle name="Comma 4 3 3 6 2" xfId="4196" xr:uid="{00000000-0005-0000-0000-000093090000}"/>
    <cellStyle name="Comma 4 3 3 6 2 2" xfId="8418" xr:uid="{00000000-0005-0000-0000-000094090000}"/>
    <cellStyle name="Comma 4 3 3 6 2 2 2" xfId="25316" xr:uid="{9A9329DB-7F72-4169-88A1-76FD9C81D561}"/>
    <cellStyle name="Comma 4 3 3 6 2 2 3" xfId="16868" xr:uid="{4A4E37E7-EB4D-49F0-B28A-CCDC95824D03}"/>
    <cellStyle name="Comma 4 3 3 6 2 3" xfId="21098" xr:uid="{660FF265-F5D0-4E35-B2E1-9761C7A313DB}"/>
    <cellStyle name="Comma 4 3 3 6 2 4" xfId="12650" xr:uid="{9BD620C7-38CE-409E-9F96-E4E3CA8A02B2}"/>
    <cellStyle name="Comma 4 3 3 6 3" xfId="6273" xr:uid="{00000000-0005-0000-0000-000095090000}"/>
    <cellStyle name="Comma 4 3 3 6 3 2" xfId="23171" xr:uid="{8F542BB5-3692-417B-B0A3-42465C45D929}"/>
    <cellStyle name="Comma 4 3 3 6 3 3" xfId="14723" xr:uid="{F93563E1-992C-4447-982D-F89C70F9CBCF}"/>
    <cellStyle name="Comma 4 3 3 6 4" xfId="18953" xr:uid="{487EEB2E-1B42-4AF7-820E-E5BCD2C9E936}"/>
    <cellStyle name="Comma 4 3 3 6 5" xfId="10505" xr:uid="{7E7166DA-5454-4403-8957-F3FF85C3EF26}"/>
    <cellStyle name="Comma 4 3 3 7" xfId="2402" xr:uid="{00000000-0005-0000-0000-000096090000}"/>
    <cellStyle name="Comma 4 3 3 7 2" xfId="6686" xr:uid="{00000000-0005-0000-0000-000097090000}"/>
    <cellStyle name="Comma 4 3 3 7 2 2" xfId="23584" xr:uid="{AAF4AC72-7B27-4C1A-B2ED-13793BF09F9A}"/>
    <cellStyle name="Comma 4 3 3 7 2 3" xfId="15136" xr:uid="{13AF083A-4930-4082-97E4-67CCB9CC0176}"/>
    <cellStyle name="Comma 4 3 3 7 3" xfId="19366" xr:uid="{DCBAF505-0327-442F-AAE9-CDF2D519CD0B}"/>
    <cellStyle name="Comma 4 3 3 7 4" xfId="10918" xr:uid="{AF80E7D3-6EDA-435B-9AE2-54B5C07763D3}"/>
    <cellStyle name="Comma 4 3 3 8" xfId="2361" xr:uid="{00000000-0005-0000-0000-000098090000}"/>
    <cellStyle name="Comma 4 3 3 9" xfId="2780" xr:uid="{00000000-0005-0000-0000-000099090000}"/>
    <cellStyle name="Comma 4 3 3 9 2" xfId="7003" xr:uid="{00000000-0005-0000-0000-00009A090000}"/>
    <cellStyle name="Comma 4 3 3 9 2 2" xfId="23901" xr:uid="{F245421B-9E0A-48B4-AEDE-46D2D56B5167}"/>
    <cellStyle name="Comma 4 3 3 9 2 3" xfId="15453" xr:uid="{F579C453-729E-4860-82C4-A99580396402}"/>
    <cellStyle name="Comma 4 3 3 9 3" xfId="19683" xr:uid="{0E6A28D8-15C3-405E-88F7-4165CAEE4048}"/>
    <cellStyle name="Comma 4 3 3 9 4" xfId="11235" xr:uid="{AFB131AD-930E-4EDD-ACEF-233486AC1D22}"/>
    <cellStyle name="Comma 4 3 4" xfId="151" xr:uid="{00000000-0005-0000-0000-00009B090000}"/>
    <cellStyle name="Comma 4 3 4 10" xfId="17302" xr:uid="{5C425D17-C19D-4D28-B2A6-4170EBA8E85A}"/>
    <cellStyle name="Comma 4 3 4 11" xfId="8854" xr:uid="{A1D2BF1D-810A-48ED-A158-7D6AA0029102}"/>
    <cellStyle name="Comma 4 3 4 2" xfId="688" xr:uid="{00000000-0005-0000-0000-00009C090000}"/>
    <cellStyle name="Comma 4 3 4 2 2" xfId="2959" xr:uid="{00000000-0005-0000-0000-00009D090000}"/>
    <cellStyle name="Comma 4 3 4 2 2 2" xfId="7181" xr:uid="{00000000-0005-0000-0000-00009E090000}"/>
    <cellStyle name="Comma 4 3 4 2 2 2 2" xfId="24079" xr:uid="{8E7F03FB-692B-4602-B549-5755269CF4EE}"/>
    <cellStyle name="Comma 4 3 4 2 2 2 3" xfId="15631" xr:uid="{30381D69-4EBA-424A-A6DF-148585FB2483}"/>
    <cellStyle name="Comma 4 3 4 2 2 3" xfId="19861" xr:uid="{79C51AFA-BC9D-4C06-9DF4-C5E2ABCBCEFF}"/>
    <cellStyle name="Comma 4 3 4 2 2 4" xfId="11413" xr:uid="{E955ED78-E2C2-4134-BE40-41FB50F201FF}"/>
    <cellStyle name="Comma 4 3 4 2 3" xfId="5036" xr:uid="{00000000-0005-0000-0000-00009F090000}"/>
    <cellStyle name="Comma 4 3 4 2 3 2" xfId="21934" xr:uid="{31EDEFB7-108F-47AE-9680-5F8DFD46FECA}"/>
    <cellStyle name="Comma 4 3 4 2 3 3" xfId="13486" xr:uid="{06C76299-4DE9-4C38-88F9-257FE05348EE}"/>
    <cellStyle name="Comma 4 3 4 2 4" xfId="17716" xr:uid="{6B64A24E-96B6-4D2C-BC1B-EDEC94BC6468}"/>
    <cellStyle name="Comma 4 3 4 2 5" xfId="9268" xr:uid="{31B89898-C4A6-4164-B6B8-9BCD5F15D11C}"/>
    <cellStyle name="Comma 4 3 4 3" xfId="1141" xr:uid="{00000000-0005-0000-0000-0000A0090000}"/>
    <cellStyle name="Comma 4 3 4 3 2" xfId="3372" xr:uid="{00000000-0005-0000-0000-0000A1090000}"/>
    <cellStyle name="Comma 4 3 4 3 2 2" xfId="7594" xr:uid="{00000000-0005-0000-0000-0000A2090000}"/>
    <cellStyle name="Comma 4 3 4 3 2 2 2" xfId="24492" xr:uid="{52F4EA9A-F74C-4AD5-A6B6-381ED32A92E7}"/>
    <cellStyle name="Comma 4 3 4 3 2 2 3" xfId="16044" xr:uid="{53A87574-0A87-43A0-9345-6A5ADAA73F92}"/>
    <cellStyle name="Comma 4 3 4 3 2 3" xfId="20274" xr:uid="{71973785-79E6-4EAA-AD2A-663F9CF2428D}"/>
    <cellStyle name="Comma 4 3 4 3 2 4" xfId="11826" xr:uid="{4109E641-7500-4DD5-83E4-F3556D745C61}"/>
    <cellStyle name="Comma 4 3 4 3 3" xfId="5449" xr:uid="{00000000-0005-0000-0000-0000A3090000}"/>
    <cellStyle name="Comma 4 3 4 3 3 2" xfId="22347" xr:uid="{6EFED8B9-5D5A-476F-9C8E-494FA00D616E}"/>
    <cellStyle name="Comma 4 3 4 3 3 3" xfId="13899" xr:uid="{267586CE-469E-4FB9-BD0F-05598699CA32}"/>
    <cellStyle name="Comma 4 3 4 3 4" xfId="18129" xr:uid="{5A568DCB-EB36-43CB-BC64-145E1B33441C}"/>
    <cellStyle name="Comma 4 3 4 3 5" xfId="9681" xr:uid="{63ABEA4C-5486-4709-82E2-96E36BCF0540}"/>
    <cellStyle name="Comma 4 3 4 4" xfId="1555" xr:uid="{00000000-0005-0000-0000-0000A4090000}"/>
    <cellStyle name="Comma 4 3 4 4 2" xfId="3785" xr:uid="{00000000-0005-0000-0000-0000A5090000}"/>
    <cellStyle name="Comma 4 3 4 4 2 2" xfId="8007" xr:uid="{00000000-0005-0000-0000-0000A6090000}"/>
    <cellStyle name="Comma 4 3 4 4 2 2 2" xfId="24905" xr:uid="{30D9E89A-7672-4C96-BF00-D6FFA0A50C70}"/>
    <cellStyle name="Comma 4 3 4 4 2 2 3" xfId="16457" xr:uid="{217A8334-5776-4781-B825-F1214FEE6417}"/>
    <cellStyle name="Comma 4 3 4 4 2 3" xfId="20687" xr:uid="{25F30113-2CD2-4049-91D5-E054DBB69B53}"/>
    <cellStyle name="Comma 4 3 4 4 2 4" xfId="12239" xr:uid="{DF60216F-E7A8-40E7-A672-1E1A0E89BA5D}"/>
    <cellStyle name="Comma 4 3 4 4 3" xfId="5862" xr:uid="{00000000-0005-0000-0000-0000A7090000}"/>
    <cellStyle name="Comma 4 3 4 4 3 2" xfId="22760" xr:uid="{58566791-461B-43D3-AAD7-F32C2EDA961F}"/>
    <cellStyle name="Comma 4 3 4 4 3 3" xfId="14312" xr:uid="{40093826-6E86-4285-B693-508F21486FC1}"/>
    <cellStyle name="Comma 4 3 4 4 4" xfId="18542" xr:uid="{BA80971D-B43C-4801-9742-D225C0467C1C}"/>
    <cellStyle name="Comma 4 3 4 4 5" xfId="10094" xr:uid="{9F4C7E7C-05A4-4529-9381-872C0B28D217}"/>
    <cellStyle name="Comma 4 3 4 5" xfId="1969" xr:uid="{00000000-0005-0000-0000-0000A8090000}"/>
    <cellStyle name="Comma 4 3 4 5 2" xfId="4198" xr:uid="{00000000-0005-0000-0000-0000A9090000}"/>
    <cellStyle name="Comma 4 3 4 5 2 2" xfId="8420" xr:uid="{00000000-0005-0000-0000-0000AA090000}"/>
    <cellStyle name="Comma 4 3 4 5 2 2 2" xfId="25318" xr:uid="{D043AD52-D89C-49EC-A2B0-B7104E4E4A29}"/>
    <cellStyle name="Comma 4 3 4 5 2 2 3" xfId="16870" xr:uid="{E6BDBC54-D4B2-428D-9C54-83DF7FBF20EF}"/>
    <cellStyle name="Comma 4 3 4 5 2 3" xfId="21100" xr:uid="{FF20C118-31A0-4C28-942C-C6450F5D1120}"/>
    <cellStyle name="Comma 4 3 4 5 2 4" xfId="12652" xr:uid="{0923973A-1598-4CE2-BB18-33E610A0216F}"/>
    <cellStyle name="Comma 4 3 4 5 3" xfId="6275" xr:uid="{00000000-0005-0000-0000-0000AB090000}"/>
    <cellStyle name="Comma 4 3 4 5 3 2" xfId="23173" xr:uid="{52A64340-F798-4D4D-8C97-645FE75E327E}"/>
    <cellStyle name="Comma 4 3 4 5 3 3" xfId="14725" xr:uid="{792CE5CB-0C41-4EA1-9FEC-0FF67C440CE0}"/>
    <cellStyle name="Comma 4 3 4 5 4" xfId="18955" xr:uid="{3545017A-AB4F-4EE4-9E3E-1D36EDBD7844}"/>
    <cellStyle name="Comma 4 3 4 5 5" xfId="10507" xr:uid="{FF2D6AEA-1722-49D1-9969-D17E0C6ADEE5}"/>
    <cellStyle name="Comma 4 3 4 6" xfId="2404" xr:uid="{00000000-0005-0000-0000-0000AC090000}"/>
    <cellStyle name="Comma 4 3 4 6 2" xfId="6688" xr:uid="{00000000-0005-0000-0000-0000AD090000}"/>
    <cellStyle name="Comma 4 3 4 6 2 2" xfId="23586" xr:uid="{A1C93C2D-DC05-4AD2-B427-19A8A69A5944}"/>
    <cellStyle name="Comma 4 3 4 6 2 3" xfId="15138" xr:uid="{6BC5F67D-B945-4A28-A959-59888BBF06B3}"/>
    <cellStyle name="Comma 4 3 4 6 3" xfId="19368" xr:uid="{03095884-ABA7-4138-88A8-8CD8CD463EBF}"/>
    <cellStyle name="Comma 4 3 4 6 4" xfId="10920" xr:uid="{A0AC13EB-B912-4B42-B35E-1696823A132E}"/>
    <cellStyle name="Comma 4 3 4 7" xfId="2700" xr:uid="{00000000-0005-0000-0000-0000AE090000}"/>
    <cellStyle name="Comma 4 3 4 8" xfId="2782" xr:uid="{00000000-0005-0000-0000-0000AF090000}"/>
    <cellStyle name="Comma 4 3 4 8 2" xfId="7005" xr:uid="{00000000-0005-0000-0000-0000B0090000}"/>
    <cellStyle name="Comma 4 3 4 8 2 2" xfId="23903" xr:uid="{E97BDA13-91F6-4F05-8651-39661AF2DDD4}"/>
    <cellStyle name="Comma 4 3 4 8 2 3" xfId="15455" xr:uid="{180AE0F2-EFDF-4645-8FF2-D4E8649D6B1F}"/>
    <cellStyle name="Comma 4 3 4 8 3" xfId="19685" xr:uid="{68F5AF58-DA52-4030-BC18-B93759975DA2}"/>
    <cellStyle name="Comma 4 3 4 8 4" xfId="11237" xr:uid="{9BB34036-75A6-437A-8F81-C0C3E4C70C6C}"/>
    <cellStyle name="Comma 4 3 4 9" xfId="4622" xr:uid="{00000000-0005-0000-0000-0000B1090000}"/>
    <cellStyle name="Comma 4 3 4 9 2" xfId="21520" xr:uid="{7CA4946F-8200-4F9A-BC18-63CB3CC7C766}"/>
    <cellStyle name="Comma 4 3 4 9 3" xfId="13072" xr:uid="{283CB62F-4055-4030-98E9-40CA512565CD}"/>
    <cellStyle name="Comma 4 3 5" xfId="152" xr:uid="{00000000-0005-0000-0000-0000B2090000}"/>
    <cellStyle name="Comma 4 3 5 10" xfId="17303" xr:uid="{2C8AEE52-B055-4BEA-91CC-68FF7AB289A7}"/>
    <cellStyle name="Comma 4 3 5 11" xfId="8855" xr:uid="{18255C0F-2B10-4F99-8393-4861CB501642}"/>
    <cellStyle name="Comma 4 3 5 2" xfId="689" xr:uid="{00000000-0005-0000-0000-0000B3090000}"/>
    <cellStyle name="Comma 4 3 5 2 2" xfId="2960" xr:uid="{00000000-0005-0000-0000-0000B4090000}"/>
    <cellStyle name="Comma 4 3 5 2 2 2" xfId="7182" xr:uid="{00000000-0005-0000-0000-0000B5090000}"/>
    <cellStyle name="Comma 4 3 5 2 2 2 2" xfId="24080" xr:uid="{15D08ABB-B6C6-47A3-8628-024883F272D9}"/>
    <cellStyle name="Comma 4 3 5 2 2 2 3" xfId="15632" xr:uid="{046C4FF2-98BE-4EDE-BC10-900FAA38D332}"/>
    <cellStyle name="Comma 4 3 5 2 2 3" xfId="19862" xr:uid="{5C935CC1-5922-4BAF-91B4-8B2A6F3DB8E9}"/>
    <cellStyle name="Comma 4 3 5 2 2 4" xfId="11414" xr:uid="{05CF52B1-A3D6-45BB-923F-B9EA043CF9D5}"/>
    <cellStyle name="Comma 4 3 5 2 3" xfId="5037" xr:uid="{00000000-0005-0000-0000-0000B6090000}"/>
    <cellStyle name="Comma 4 3 5 2 3 2" xfId="21935" xr:uid="{80EFCB63-F69E-4E3E-82AA-ED47092F30FF}"/>
    <cellStyle name="Comma 4 3 5 2 3 3" xfId="13487" xr:uid="{8BE6A935-03DC-4878-B5E6-FC20139958FC}"/>
    <cellStyle name="Comma 4 3 5 2 4" xfId="17717" xr:uid="{C5DCA585-A9BF-4179-A671-D23D542C9224}"/>
    <cellStyle name="Comma 4 3 5 2 5" xfId="9269" xr:uid="{6E2E9BBA-8813-4AF9-8C98-164F628FB951}"/>
    <cellStyle name="Comma 4 3 5 3" xfId="1142" xr:uid="{00000000-0005-0000-0000-0000B7090000}"/>
    <cellStyle name="Comma 4 3 5 3 2" xfId="3373" xr:uid="{00000000-0005-0000-0000-0000B8090000}"/>
    <cellStyle name="Comma 4 3 5 3 2 2" xfId="7595" xr:uid="{00000000-0005-0000-0000-0000B9090000}"/>
    <cellStyle name="Comma 4 3 5 3 2 2 2" xfId="24493" xr:uid="{9AA94ADD-6AD6-4225-817B-36527A9631E5}"/>
    <cellStyle name="Comma 4 3 5 3 2 2 3" xfId="16045" xr:uid="{D1714878-7B0B-4FA9-BB27-DFB7761126C6}"/>
    <cellStyle name="Comma 4 3 5 3 2 3" xfId="20275" xr:uid="{39DEC8CD-BCCC-4975-B10D-1169E685A418}"/>
    <cellStyle name="Comma 4 3 5 3 2 4" xfId="11827" xr:uid="{6883EE8E-5237-476F-B8F3-3B97784D58C2}"/>
    <cellStyle name="Comma 4 3 5 3 3" xfId="5450" xr:uid="{00000000-0005-0000-0000-0000BA090000}"/>
    <cellStyle name="Comma 4 3 5 3 3 2" xfId="22348" xr:uid="{61BE27F9-7FCC-4836-A26D-E3010D760478}"/>
    <cellStyle name="Comma 4 3 5 3 3 3" xfId="13900" xr:uid="{30AAC872-6FF1-4AAD-85EC-C6B5FCC9B68E}"/>
    <cellStyle name="Comma 4 3 5 3 4" xfId="18130" xr:uid="{2B3F25C3-FAA8-4624-837F-C41E89E05CEB}"/>
    <cellStyle name="Comma 4 3 5 3 5" xfId="9682" xr:uid="{6D7DC7E1-5A46-4C66-AAAE-2BA58ACC2685}"/>
    <cellStyle name="Comma 4 3 5 4" xfId="1556" xr:uid="{00000000-0005-0000-0000-0000BB090000}"/>
    <cellStyle name="Comma 4 3 5 4 2" xfId="3786" xr:uid="{00000000-0005-0000-0000-0000BC090000}"/>
    <cellStyle name="Comma 4 3 5 4 2 2" xfId="8008" xr:uid="{00000000-0005-0000-0000-0000BD090000}"/>
    <cellStyle name="Comma 4 3 5 4 2 2 2" xfId="24906" xr:uid="{E3A3A131-F708-4952-BCCF-DE8E030BE19F}"/>
    <cellStyle name="Comma 4 3 5 4 2 2 3" xfId="16458" xr:uid="{5ED9CC72-9F3F-4A3F-B26B-90D48012B9A3}"/>
    <cellStyle name="Comma 4 3 5 4 2 3" xfId="20688" xr:uid="{D4366659-97F5-464C-A35A-C2B2D5E55270}"/>
    <cellStyle name="Comma 4 3 5 4 2 4" xfId="12240" xr:uid="{AC5DD01C-2B95-4212-85FB-F7B709328A58}"/>
    <cellStyle name="Comma 4 3 5 4 3" xfId="5863" xr:uid="{00000000-0005-0000-0000-0000BE090000}"/>
    <cellStyle name="Comma 4 3 5 4 3 2" xfId="22761" xr:uid="{15CC3702-EBAF-47BB-B474-37CBE92925A1}"/>
    <cellStyle name="Comma 4 3 5 4 3 3" xfId="14313" xr:uid="{1E22D56F-4F28-4B30-9D69-F3AEAC711CD1}"/>
    <cellStyle name="Comma 4 3 5 4 4" xfId="18543" xr:uid="{44950A6C-4C7B-4DA7-9539-3E3EB00EB423}"/>
    <cellStyle name="Comma 4 3 5 4 5" xfId="10095" xr:uid="{FF7C5D3A-065C-4177-BB02-696532540765}"/>
    <cellStyle name="Comma 4 3 5 5" xfId="1970" xr:uid="{00000000-0005-0000-0000-0000BF090000}"/>
    <cellStyle name="Comma 4 3 5 5 2" xfId="4199" xr:uid="{00000000-0005-0000-0000-0000C0090000}"/>
    <cellStyle name="Comma 4 3 5 5 2 2" xfId="8421" xr:uid="{00000000-0005-0000-0000-0000C1090000}"/>
    <cellStyle name="Comma 4 3 5 5 2 2 2" xfId="25319" xr:uid="{E30DA01B-D00A-44F9-9F70-9DCE58A7D60F}"/>
    <cellStyle name="Comma 4 3 5 5 2 2 3" xfId="16871" xr:uid="{FBE6D402-F7D0-4393-ACB1-68EEE38305DA}"/>
    <cellStyle name="Comma 4 3 5 5 2 3" xfId="21101" xr:uid="{4098A25F-1467-44B2-850F-AD03E3C1000A}"/>
    <cellStyle name="Comma 4 3 5 5 2 4" xfId="12653" xr:uid="{63C471B3-5CA8-4679-8520-AF8A599F1134}"/>
    <cellStyle name="Comma 4 3 5 5 3" xfId="6276" xr:uid="{00000000-0005-0000-0000-0000C2090000}"/>
    <cellStyle name="Comma 4 3 5 5 3 2" xfId="23174" xr:uid="{567CB497-F5EB-46B5-95A2-179704DAC6D3}"/>
    <cellStyle name="Comma 4 3 5 5 3 3" xfId="14726" xr:uid="{E053E6DD-0EE4-46BA-BC11-041B85DF3A84}"/>
    <cellStyle name="Comma 4 3 5 5 4" xfId="18956" xr:uid="{181DEA6E-7EDA-43F1-8995-D8BD2AECC9CB}"/>
    <cellStyle name="Comma 4 3 5 5 5" xfId="10508" xr:uid="{8734A2B7-47F9-4A2D-B04D-3E4A14FD67F9}"/>
    <cellStyle name="Comma 4 3 5 6" xfId="2405" xr:uid="{00000000-0005-0000-0000-0000C3090000}"/>
    <cellStyle name="Comma 4 3 5 6 2" xfId="6689" xr:uid="{00000000-0005-0000-0000-0000C4090000}"/>
    <cellStyle name="Comma 4 3 5 6 2 2" xfId="23587" xr:uid="{A144C6F7-93F5-4527-ABBE-96E30A426CE3}"/>
    <cellStyle name="Comma 4 3 5 6 2 3" xfId="15139" xr:uid="{71258B0B-0D39-45ED-B29D-78D813447FF0}"/>
    <cellStyle name="Comma 4 3 5 6 3" xfId="19369" xr:uid="{48751D18-F59D-4F28-BDBF-EC70134F565E}"/>
    <cellStyle name="Comma 4 3 5 6 4" xfId="10921" xr:uid="{1F041FB5-4649-492B-B0F5-E390318145F8}"/>
    <cellStyle name="Comma 4 3 5 7" xfId="2701" xr:uid="{00000000-0005-0000-0000-0000C5090000}"/>
    <cellStyle name="Comma 4 3 5 8" xfId="2783" xr:uid="{00000000-0005-0000-0000-0000C6090000}"/>
    <cellStyle name="Comma 4 3 5 8 2" xfId="7006" xr:uid="{00000000-0005-0000-0000-0000C7090000}"/>
    <cellStyle name="Comma 4 3 5 8 2 2" xfId="23904" xr:uid="{53263673-76B5-4080-8FB5-A9E398115DEB}"/>
    <cellStyle name="Comma 4 3 5 8 2 3" xfId="15456" xr:uid="{0A82B577-BD7D-4409-8993-58D90AB5CF4E}"/>
    <cellStyle name="Comma 4 3 5 8 3" xfId="19686" xr:uid="{DEC93312-862C-4F87-8240-4F17A078A74A}"/>
    <cellStyle name="Comma 4 3 5 8 4" xfId="11238" xr:uid="{692313A1-E80C-4680-9AD2-C7F1AB9F86F9}"/>
    <cellStyle name="Comma 4 3 5 9" xfId="4623" xr:uid="{00000000-0005-0000-0000-0000C8090000}"/>
    <cellStyle name="Comma 4 3 5 9 2" xfId="21521" xr:uid="{6ECCDD80-8BDD-4F85-A0BB-BA5CECCDC2C4}"/>
    <cellStyle name="Comma 4 3 5 9 3" xfId="13073" xr:uid="{D3FFDA2E-5AA9-486D-B56B-57E6DB5EB636}"/>
    <cellStyle name="Comma 4 4" xfId="153" xr:uid="{00000000-0005-0000-0000-0000C9090000}"/>
    <cellStyle name="Comma 4 4 10" xfId="2784" xr:uid="{00000000-0005-0000-0000-0000CA090000}"/>
    <cellStyle name="Comma 4 4 10 2" xfId="7007" xr:uid="{00000000-0005-0000-0000-0000CB090000}"/>
    <cellStyle name="Comma 4 4 10 2 2" xfId="23905" xr:uid="{BD384994-03D0-4FA1-840A-5504D3D89A10}"/>
    <cellStyle name="Comma 4 4 10 2 3" xfId="15457" xr:uid="{644EAEB7-6E97-4EE9-8D4E-AF5EC39A6A65}"/>
    <cellStyle name="Comma 4 4 10 3" xfId="19687" xr:uid="{53B3002D-1BC0-49D4-A29F-597E42BF8273}"/>
    <cellStyle name="Comma 4 4 10 4" xfId="11239" xr:uid="{8CA4BB57-4E36-44D1-9C4B-FDE5837007B7}"/>
    <cellStyle name="Comma 4 4 11" xfId="4624" xr:uid="{00000000-0005-0000-0000-0000CC090000}"/>
    <cellStyle name="Comma 4 4 11 2" xfId="21522" xr:uid="{9A7BD7C5-FC58-4780-B20D-F2356F0610E0}"/>
    <cellStyle name="Comma 4 4 11 3" xfId="13074" xr:uid="{53C5E369-CD74-465C-B95C-5EECD4DBDEF3}"/>
    <cellStyle name="Comma 4 4 12" xfId="17304" xr:uid="{FD55A4D3-21F4-4593-BC5B-08F62AA218E7}"/>
    <cellStyle name="Comma 4 4 13" xfId="8856" xr:uid="{B9C4C5B9-F20D-4633-BA38-2E8E24EB7700}"/>
    <cellStyle name="Comma 4 4 2" xfId="154" xr:uid="{00000000-0005-0000-0000-0000CD090000}"/>
    <cellStyle name="Comma 4 4 2 10" xfId="4625" xr:uid="{00000000-0005-0000-0000-0000CE090000}"/>
    <cellStyle name="Comma 4 4 2 10 2" xfId="21523" xr:uid="{B5F167C8-1ADC-4D5A-946B-97B38C496CA8}"/>
    <cellStyle name="Comma 4 4 2 10 3" xfId="13075" xr:uid="{A08B722F-F8B4-4269-92A7-14DEE61742A2}"/>
    <cellStyle name="Comma 4 4 2 11" xfId="17305" xr:uid="{319B5DA0-70FF-44C5-8B24-CD675F3627D3}"/>
    <cellStyle name="Comma 4 4 2 12" xfId="8857" xr:uid="{E8BE5F35-E0F3-460C-A64D-8403BED50870}"/>
    <cellStyle name="Comma 4 4 2 2" xfId="155" xr:uid="{00000000-0005-0000-0000-0000CF090000}"/>
    <cellStyle name="Comma 4 4 2 2 10" xfId="17306" xr:uid="{13945040-BFDA-4FFF-AEA2-6A44C31C8185}"/>
    <cellStyle name="Comma 4 4 2 2 11" xfId="8858" xr:uid="{5AA7D3FB-DF3D-45DC-B53A-DD555690F705}"/>
    <cellStyle name="Comma 4 4 2 2 2" xfId="692" xr:uid="{00000000-0005-0000-0000-0000D0090000}"/>
    <cellStyle name="Comma 4 4 2 2 2 2" xfId="2963" xr:uid="{00000000-0005-0000-0000-0000D1090000}"/>
    <cellStyle name="Comma 4 4 2 2 2 2 2" xfId="7185" xr:uid="{00000000-0005-0000-0000-0000D2090000}"/>
    <cellStyle name="Comma 4 4 2 2 2 2 2 2" xfId="24083" xr:uid="{BD5531CA-9DF7-41F0-B304-7E7E7191365F}"/>
    <cellStyle name="Comma 4 4 2 2 2 2 2 3" xfId="15635" xr:uid="{CD421766-A769-46EA-A597-378DE7A945AB}"/>
    <cellStyle name="Comma 4 4 2 2 2 2 3" xfId="19865" xr:uid="{7B0FB391-743F-4360-8F7D-BC4AC0260ACB}"/>
    <cellStyle name="Comma 4 4 2 2 2 2 4" xfId="11417" xr:uid="{49BEBA1A-6560-4941-B367-40055C287FD1}"/>
    <cellStyle name="Comma 4 4 2 2 2 3" xfId="5040" xr:uid="{00000000-0005-0000-0000-0000D3090000}"/>
    <cellStyle name="Comma 4 4 2 2 2 3 2" xfId="21938" xr:uid="{9D251FE1-3699-432B-9C2C-CBA38038DDF5}"/>
    <cellStyle name="Comma 4 4 2 2 2 3 3" xfId="13490" xr:uid="{602CDADA-DB43-4ABA-932A-9E42C0CAC558}"/>
    <cellStyle name="Comma 4 4 2 2 2 4" xfId="17720" xr:uid="{164C068B-94D7-49E7-9024-C85E51F3CD82}"/>
    <cellStyle name="Comma 4 4 2 2 2 5" xfId="9272" xr:uid="{D9A69984-BBA4-4556-96AF-27E6A2565FB0}"/>
    <cellStyle name="Comma 4 4 2 2 3" xfId="1145" xr:uid="{00000000-0005-0000-0000-0000D4090000}"/>
    <cellStyle name="Comma 4 4 2 2 3 2" xfId="3376" xr:uid="{00000000-0005-0000-0000-0000D5090000}"/>
    <cellStyle name="Comma 4 4 2 2 3 2 2" xfId="7598" xr:uid="{00000000-0005-0000-0000-0000D6090000}"/>
    <cellStyle name="Comma 4 4 2 2 3 2 2 2" xfId="24496" xr:uid="{5085DC47-69EC-4E03-AF60-06DD5F019F47}"/>
    <cellStyle name="Comma 4 4 2 2 3 2 2 3" xfId="16048" xr:uid="{6CD9DBB8-FD89-4C08-8FF6-DC488FC9223D}"/>
    <cellStyle name="Comma 4 4 2 2 3 2 3" xfId="20278" xr:uid="{72CD0331-53F3-43B1-922A-EC077687B95F}"/>
    <cellStyle name="Comma 4 4 2 2 3 2 4" xfId="11830" xr:uid="{61DAFCC2-D062-4598-B3B0-9B3502307EAC}"/>
    <cellStyle name="Comma 4 4 2 2 3 3" xfId="5453" xr:uid="{00000000-0005-0000-0000-0000D7090000}"/>
    <cellStyle name="Comma 4 4 2 2 3 3 2" xfId="22351" xr:uid="{5EFBC2FE-8E22-409F-91C7-3E2F0C8187D8}"/>
    <cellStyle name="Comma 4 4 2 2 3 3 3" xfId="13903" xr:uid="{A5628EDA-89F4-4BCE-9AD4-1EE337C5EBB4}"/>
    <cellStyle name="Comma 4 4 2 2 3 4" xfId="18133" xr:uid="{931C5238-C742-47B0-ADEE-5A684449BD6F}"/>
    <cellStyle name="Comma 4 4 2 2 3 5" xfId="9685" xr:uid="{CB31FBDC-E40D-4514-B449-6094720986FB}"/>
    <cellStyle name="Comma 4 4 2 2 4" xfId="1559" xr:uid="{00000000-0005-0000-0000-0000D8090000}"/>
    <cellStyle name="Comma 4 4 2 2 4 2" xfId="3789" xr:uid="{00000000-0005-0000-0000-0000D9090000}"/>
    <cellStyle name="Comma 4 4 2 2 4 2 2" xfId="8011" xr:uid="{00000000-0005-0000-0000-0000DA090000}"/>
    <cellStyle name="Comma 4 4 2 2 4 2 2 2" xfId="24909" xr:uid="{A09D9B16-0E8F-45E6-9441-998F89919459}"/>
    <cellStyle name="Comma 4 4 2 2 4 2 2 3" xfId="16461" xr:uid="{10F5464C-4232-452D-9DEB-BE79E4535B7A}"/>
    <cellStyle name="Comma 4 4 2 2 4 2 3" xfId="20691" xr:uid="{A5393FB6-A011-4F5B-8C8C-8D4FE721B9A6}"/>
    <cellStyle name="Comma 4 4 2 2 4 2 4" xfId="12243" xr:uid="{C6EDD8DF-036D-4844-A615-33B8327D8021}"/>
    <cellStyle name="Comma 4 4 2 2 4 3" xfId="5866" xr:uid="{00000000-0005-0000-0000-0000DB090000}"/>
    <cellStyle name="Comma 4 4 2 2 4 3 2" xfId="22764" xr:uid="{04C164CF-B06E-451E-AB1D-C0C813FEDB25}"/>
    <cellStyle name="Comma 4 4 2 2 4 3 3" xfId="14316" xr:uid="{B8FC64D9-3F09-483C-9F2C-208E36B5AF85}"/>
    <cellStyle name="Comma 4 4 2 2 4 4" xfId="18546" xr:uid="{526B6CF6-6740-4EDE-888D-7B61FDF0F328}"/>
    <cellStyle name="Comma 4 4 2 2 4 5" xfId="10098" xr:uid="{76274A22-E132-4CBD-A218-727E814BE473}"/>
    <cellStyle name="Comma 4 4 2 2 5" xfId="1973" xr:uid="{00000000-0005-0000-0000-0000DC090000}"/>
    <cellStyle name="Comma 4 4 2 2 5 2" xfId="4202" xr:uid="{00000000-0005-0000-0000-0000DD090000}"/>
    <cellStyle name="Comma 4 4 2 2 5 2 2" xfId="8424" xr:uid="{00000000-0005-0000-0000-0000DE090000}"/>
    <cellStyle name="Comma 4 4 2 2 5 2 2 2" xfId="25322" xr:uid="{52E3A253-CC0E-4D68-A85C-EFA923B07103}"/>
    <cellStyle name="Comma 4 4 2 2 5 2 2 3" xfId="16874" xr:uid="{7EF99977-E80E-453D-917C-821C18DB3A40}"/>
    <cellStyle name="Comma 4 4 2 2 5 2 3" xfId="21104" xr:uid="{10888D3B-CD69-4164-8F89-47CFE54A1572}"/>
    <cellStyle name="Comma 4 4 2 2 5 2 4" xfId="12656" xr:uid="{9842BC5B-1F33-4771-8D71-1F555A6A6B2A}"/>
    <cellStyle name="Comma 4 4 2 2 5 3" xfId="6279" xr:uid="{00000000-0005-0000-0000-0000DF090000}"/>
    <cellStyle name="Comma 4 4 2 2 5 3 2" xfId="23177" xr:uid="{E962B8E5-AE3D-4C48-8837-0BBEFFF8BF78}"/>
    <cellStyle name="Comma 4 4 2 2 5 3 3" xfId="14729" xr:uid="{C15669EB-F217-4507-A290-1475292B7FB6}"/>
    <cellStyle name="Comma 4 4 2 2 5 4" xfId="18959" xr:uid="{0A2D11D1-2422-45C4-90BB-BB6927E31A85}"/>
    <cellStyle name="Comma 4 4 2 2 5 5" xfId="10511" xr:uid="{DCBED0E0-A373-4F1C-A164-2F771935D78B}"/>
    <cellStyle name="Comma 4 4 2 2 6" xfId="2408" xr:uid="{00000000-0005-0000-0000-0000E0090000}"/>
    <cellStyle name="Comma 4 4 2 2 6 2" xfId="6692" xr:uid="{00000000-0005-0000-0000-0000E1090000}"/>
    <cellStyle name="Comma 4 4 2 2 6 2 2" xfId="23590" xr:uid="{F80247A1-3A17-415E-844B-7DD221286741}"/>
    <cellStyle name="Comma 4 4 2 2 6 2 3" xfId="15142" xr:uid="{C3C0AC33-4737-476F-8859-8EDFAB4D1912}"/>
    <cellStyle name="Comma 4 4 2 2 6 3" xfId="19372" xr:uid="{AE34243B-B26B-4789-A772-00D48AC34DB3}"/>
    <cellStyle name="Comma 4 4 2 2 6 4" xfId="10924" xr:uid="{6CD84748-CE57-42A8-8572-8F9B5D92C2F7}"/>
    <cellStyle name="Comma 4 4 2 2 7" xfId="2704" xr:uid="{00000000-0005-0000-0000-0000E2090000}"/>
    <cellStyle name="Comma 4 4 2 2 8" xfId="2786" xr:uid="{00000000-0005-0000-0000-0000E3090000}"/>
    <cellStyle name="Comma 4 4 2 2 8 2" xfId="7009" xr:uid="{00000000-0005-0000-0000-0000E4090000}"/>
    <cellStyle name="Comma 4 4 2 2 8 2 2" xfId="23907" xr:uid="{653C31CC-0B52-4BE4-A5B1-FB8CEBE9B59F}"/>
    <cellStyle name="Comma 4 4 2 2 8 2 3" xfId="15459" xr:uid="{A2E6E2BA-28DE-4B81-BB2A-18CF86ECC99F}"/>
    <cellStyle name="Comma 4 4 2 2 8 3" xfId="19689" xr:uid="{B1CC5D18-7B78-4D4B-9FD5-C5152161F249}"/>
    <cellStyle name="Comma 4 4 2 2 8 4" xfId="11241" xr:uid="{8C9C8515-2166-4CFD-BBD2-2DAD935B37FE}"/>
    <cellStyle name="Comma 4 4 2 2 9" xfId="4626" xr:uid="{00000000-0005-0000-0000-0000E5090000}"/>
    <cellStyle name="Comma 4 4 2 2 9 2" xfId="21524" xr:uid="{24535236-89B1-40A3-BEBE-7427866DDEBA}"/>
    <cellStyle name="Comma 4 4 2 2 9 3" xfId="13076" xr:uid="{29852695-761D-42F0-9E5D-ADE843CBA27D}"/>
    <cellStyle name="Comma 4 4 2 3" xfId="691" xr:uid="{00000000-0005-0000-0000-0000E6090000}"/>
    <cellStyle name="Comma 4 4 2 3 2" xfId="2962" xr:uid="{00000000-0005-0000-0000-0000E7090000}"/>
    <cellStyle name="Comma 4 4 2 3 2 2" xfId="7184" xr:uid="{00000000-0005-0000-0000-0000E8090000}"/>
    <cellStyle name="Comma 4 4 2 3 2 2 2" xfId="24082" xr:uid="{88558F93-F372-4E86-ABF1-198F5CBB16BD}"/>
    <cellStyle name="Comma 4 4 2 3 2 2 3" xfId="15634" xr:uid="{A41E5342-6433-4D0D-9107-39EBF3786934}"/>
    <cellStyle name="Comma 4 4 2 3 2 3" xfId="19864" xr:uid="{BC552C15-D714-4686-80AE-637A2C26A1B8}"/>
    <cellStyle name="Comma 4 4 2 3 2 4" xfId="11416" xr:uid="{45FF0FCD-E052-4147-93E4-03D203C46F05}"/>
    <cellStyle name="Comma 4 4 2 3 3" xfId="5039" xr:uid="{00000000-0005-0000-0000-0000E9090000}"/>
    <cellStyle name="Comma 4 4 2 3 3 2" xfId="21937" xr:uid="{DA1195AD-81F6-40ED-A143-BE989850ECE9}"/>
    <cellStyle name="Comma 4 4 2 3 3 3" xfId="13489" xr:uid="{A47DF4E7-5DD2-4C27-A3A2-43671EF57E12}"/>
    <cellStyle name="Comma 4 4 2 3 4" xfId="17719" xr:uid="{D2D633AE-C150-4504-80EB-9CE59DFCF7F1}"/>
    <cellStyle name="Comma 4 4 2 3 5" xfId="9271" xr:uid="{B265A4DB-C322-45BF-84F8-13C96DEE8F4A}"/>
    <cellStyle name="Comma 4 4 2 4" xfId="1144" xr:uid="{00000000-0005-0000-0000-0000EA090000}"/>
    <cellStyle name="Comma 4 4 2 4 2" xfId="3375" xr:uid="{00000000-0005-0000-0000-0000EB090000}"/>
    <cellStyle name="Comma 4 4 2 4 2 2" xfId="7597" xr:uid="{00000000-0005-0000-0000-0000EC090000}"/>
    <cellStyle name="Comma 4 4 2 4 2 2 2" xfId="24495" xr:uid="{3AAAEE69-B0C0-4113-9716-28545FD3CD6B}"/>
    <cellStyle name="Comma 4 4 2 4 2 2 3" xfId="16047" xr:uid="{6AC83CD2-71B9-4C25-9DBE-384402C38157}"/>
    <cellStyle name="Comma 4 4 2 4 2 3" xfId="20277" xr:uid="{42DA621D-B41A-4AAC-9715-0F3EE96505F4}"/>
    <cellStyle name="Comma 4 4 2 4 2 4" xfId="11829" xr:uid="{414B8DF5-28EF-44C7-A4EB-8DE88A73D9E9}"/>
    <cellStyle name="Comma 4 4 2 4 3" xfId="5452" xr:uid="{00000000-0005-0000-0000-0000ED090000}"/>
    <cellStyle name="Comma 4 4 2 4 3 2" xfId="22350" xr:uid="{B9203B0C-9899-4E23-94F4-18A37815F704}"/>
    <cellStyle name="Comma 4 4 2 4 3 3" xfId="13902" xr:uid="{72003554-D039-409A-920E-5FA9ED8D3C8C}"/>
    <cellStyle name="Comma 4 4 2 4 4" xfId="18132" xr:uid="{842B0C09-6CEC-4522-8A3C-E7BCD44F789F}"/>
    <cellStyle name="Comma 4 4 2 4 5" xfId="9684" xr:uid="{B8D3F71A-D9E3-4C09-8500-80B43E236992}"/>
    <cellStyle name="Comma 4 4 2 5" xfId="1558" xr:uid="{00000000-0005-0000-0000-0000EE090000}"/>
    <cellStyle name="Comma 4 4 2 5 2" xfId="3788" xr:uid="{00000000-0005-0000-0000-0000EF090000}"/>
    <cellStyle name="Comma 4 4 2 5 2 2" xfId="8010" xr:uid="{00000000-0005-0000-0000-0000F0090000}"/>
    <cellStyle name="Comma 4 4 2 5 2 2 2" xfId="24908" xr:uid="{2A65A7C4-409E-4789-9CF1-D997DED649DA}"/>
    <cellStyle name="Comma 4 4 2 5 2 2 3" xfId="16460" xr:uid="{2172A920-7E6E-4D52-B381-A98755F3ED54}"/>
    <cellStyle name="Comma 4 4 2 5 2 3" xfId="20690" xr:uid="{745D2B4E-90CA-457C-89BC-D5D2CCD0F385}"/>
    <cellStyle name="Comma 4 4 2 5 2 4" xfId="12242" xr:uid="{1A938A05-49BF-486F-8A33-3B70FEA1C4AB}"/>
    <cellStyle name="Comma 4 4 2 5 3" xfId="5865" xr:uid="{00000000-0005-0000-0000-0000F1090000}"/>
    <cellStyle name="Comma 4 4 2 5 3 2" xfId="22763" xr:uid="{2CCFDDC5-8C42-482B-B523-90060987161B}"/>
    <cellStyle name="Comma 4 4 2 5 3 3" xfId="14315" xr:uid="{7A69C3C1-C487-4140-A5B4-F0387834A169}"/>
    <cellStyle name="Comma 4 4 2 5 4" xfId="18545" xr:uid="{9914BDCC-77B7-4550-A4A6-38A5E9CCD1F7}"/>
    <cellStyle name="Comma 4 4 2 5 5" xfId="10097" xr:uid="{FE6E1819-5169-4169-B039-E56B9F0F16F6}"/>
    <cellStyle name="Comma 4 4 2 6" xfId="1972" xr:uid="{00000000-0005-0000-0000-0000F2090000}"/>
    <cellStyle name="Comma 4 4 2 6 2" xfId="4201" xr:uid="{00000000-0005-0000-0000-0000F3090000}"/>
    <cellStyle name="Comma 4 4 2 6 2 2" xfId="8423" xr:uid="{00000000-0005-0000-0000-0000F4090000}"/>
    <cellStyle name="Comma 4 4 2 6 2 2 2" xfId="25321" xr:uid="{3AD2FFBE-4281-457C-91E4-6F30ABB49408}"/>
    <cellStyle name="Comma 4 4 2 6 2 2 3" xfId="16873" xr:uid="{B451EF32-42A5-4F88-88B3-3485F412CCDE}"/>
    <cellStyle name="Comma 4 4 2 6 2 3" xfId="21103" xr:uid="{0434C40D-6057-4B62-8F67-2C01C7DA80E4}"/>
    <cellStyle name="Comma 4 4 2 6 2 4" xfId="12655" xr:uid="{4BF11D17-F684-4AB4-96C2-1501FC41FB2E}"/>
    <cellStyle name="Comma 4 4 2 6 3" xfId="6278" xr:uid="{00000000-0005-0000-0000-0000F5090000}"/>
    <cellStyle name="Comma 4 4 2 6 3 2" xfId="23176" xr:uid="{E5FE6472-CC21-47D9-91E4-ADAB11C1619D}"/>
    <cellStyle name="Comma 4 4 2 6 3 3" xfId="14728" xr:uid="{F245DD65-C2BC-4366-8DCB-A9C343681CB0}"/>
    <cellStyle name="Comma 4 4 2 6 4" xfId="18958" xr:uid="{CEBAC99F-2824-4A52-AEBC-A3B9A71360B9}"/>
    <cellStyle name="Comma 4 4 2 6 5" xfId="10510" xr:uid="{3A6D27AD-2B05-4B00-880F-10B805CDD8A5}"/>
    <cellStyle name="Comma 4 4 2 7" xfId="2407" xr:uid="{00000000-0005-0000-0000-0000F6090000}"/>
    <cellStyle name="Comma 4 4 2 7 2" xfId="6691" xr:uid="{00000000-0005-0000-0000-0000F7090000}"/>
    <cellStyle name="Comma 4 4 2 7 2 2" xfId="23589" xr:uid="{AB9E2693-9FA7-4145-9D5A-B5451AA38AAE}"/>
    <cellStyle name="Comma 4 4 2 7 2 3" xfId="15141" xr:uid="{16EABED8-145F-4C06-A41D-B8D86A40C086}"/>
    <cellStyle name="Comma 4 4 2 7 3" xfId="19371" xr:uid="{D8E77E1A-E594-4115-B3E0-B8521D632865}"/>
    <cellStyle name="Comma 4 4 2 7 4" xfId="10923" xr:uid="{CB4AE511-7533-409F-8292-CAAF39EA4804}"/>
    <cellStyle name="Comma 4 4 2 8" xfId="2703" xr:uid="{00000000-0005-0000-0000-0000F8090000}"/>
    <cellStyle name="Comma 4 4 2 9" xfId="2785" xr:uid="{00000000-0005-0000-0000-0000F9090000}"/>
    <cellStyle name="Comma 4 4 2 9 2" xfId="7008" xr:uid="{00000000-0005-0000-0000-0000FA090000}"/>
    <cellStyle name="Comma 4 4 2 9 2 2" xfId="23906" xr:uid="{2D309872-0188-4AD4-B3D5-807C3CAECF35}"/>
    <cellStyle name="Comma 4 4 2 9 2 3" xfId="15458" xr:uid="{40EAF255-9989-4543-820A-2A6C222F5EC5}"/>
    <cellStyle name="Comma 4 4 2 9 3" xfId="19688" xr:uid="{37C67E82-EC55-4901-AE37-FB5B7638BBBF}"/>
    <cellStyle name="Comma 4 4 2 9 4" xfId="11240" xr:uid="{A58B7D6B-4E42-4CA1-A2B3-8A41FABB58FA}"/>
    <cellStyle name="Comma 4 4 3" xfId="156" xr:uid="{00000000-0005-0000-0000-0000FB090000}"/>
    <cellStyle name="Comma 4 4 3 10" xfId="17307" xr:uid="{F701865E-6F6B-4290-8A98-14304B3DA55C}"/>
    <cellStyle name="Comma 4 4 3 11" xfId="8859" xr:uid="{8272FC4B-2022-4685-9691-480CB22CA48B}"/>
    <cellStyle name="Comma 4 4 3 2" xfId="693" xr:uid="{00000000-0005-0000-0000-0000FC090000}"/>
    <cellStyle name="Comma 4 4 3 2 2" xfId="2964" xr:uid="{00000000-0005-0000-0000-0000FD090000}"/>
    <cellStyle name="Comma 4 4 3 2 2 2" xfId="7186" xr:uid="{00000000-0005-0000-0000-0000FE090000}"/>
    <cellStyle name="Comma 4 4 3 2 2 2 2" xfId="24084" xr:uid="{C953C9F7-8C9B-4D24-8CD2-68E94874DE8D}"/>
    <cellStyle name="Comma 4 4 3 2 2 2 3" xfId="15636" xr:uid="{1D71A29C-FF9D-42E0-8C88-1EC0579FEAA3}"/>
    <cellStyle name="Comma 4 4 3 2 2 3" xfId="19866" xr:uid="{9335B3BD-AA3A-4385-B926-3DFD2C13885B}"/>
    <cellStyle name="Comma 4 4 3 2 2 4" xfId="11418" xr:uid="{9B06D681-C371-4510-A8FB-3AD1E29C3A35}"/>
    <cellStyle name="Comma 4 4 3 2 3" xfId="5041" xr:uid="{00000000-0005-0000-0000-0000FF090000}"/>
    <cellStyle name="Comma 4 4 3 2 3 2" xfId="21939" xr:uid="{28DF522B-6254-45AB-885B-2FA91D935817}"/>
    <cellStyle name="Comma 4 4 3 2 3 3" xfId="13491" xr:uid="{7EA9645A-6C55-4348-B001-EBC40A8E446F}"/>
    <cellStyle name="Comma 4 4 3 2 4" xfId="17721" xr:uid="{D4252320-4DD6-4AAF-B028-A2FE91790DF8}"/>
    <cellStyle name="Comma 4 4 3 2 5" xfId="9273" xr:uid="{7A03B5EC-8F72-4DED-A6E8-BF3A2E30A900}"/>
    <cellStyle name="Comma 4 4 3 3" xfId="1146" xr:uid="{00000000-0005-0000-0000-0000000A0000}"/>
    <cellStyle name="Comma 4 4 3 3 2" xfId="3377" xr:uid="{00000000-0005-0000-0000-0000010A0000}"/>
    <cellStyle name="Comma 4 4 3 3 2 2" xfId="7599" xr:uid="{00000000-0005-0000-0000-0000020A0000}"/>
    <cellStyle name="Comma 4 4 3 3 2 2 2" xfId="24497" xr:uid="{7483C965-C806-4747-AE72-08523D88FF80}"/>
    <cellStyle name="Comma 4 4 3 3 2 2 3" xfId="16049" xr:uid="{2CD1B746-2906-4728-BCD2-FE84ECF0EE6C}"/>
    <cellStyle name="Comma 4 4 3 3 2 3" xfId="20279" xr:uid="{46DEB819-AC8C-4F91-8B68-C9B79C0444A9}"/>
    <cellStyle name="Comma 4 4 3 3 2 4" xfId="11831" xr:uid="{67F56407-ECC7-4D82-B0B6-18DF0F34D793}"/>
    <cellStyle name="Comma 4 4 3 3 3" xfId="5454" xr:uid="{00000000-0005-0000-0000-0000030A0000}"/>
    <cellStyle name="Comma 4 4 3 3 3 2" xfId="22352" xr:uid="{2CC88A84-D825-4265-8A94-8F7D8491B562}"/>
    <cellStyle name="Comma 4 4 3 3 3 3" xfId="13904" xr:uid="{80AE6CD0-D6BC-4704-8CAC-14A4BE3FE4E0}"/>
    <cellStyle name="Comma 4 4 3 3 4" xfId="18134" xr:uid="{3E9F714E-3FBA-445C-8560-6CAAE925E17E}"/>
    <cellStyle name="Comma 4 4 3 3 5" xfId="9686" xr:uid="{B4532671-4508-4A13-9F94-FBF17CB55305}"/>
    <cellStyle name="Comma 4 4 3 4" xfId="1560" xr:uid="{00000000-0005-0000-0000-0000040A0000}"/>
    <cellStyle name="Comma 4 4 3 4 2" xfId="3790" xr:uid="{00000000-0005-0000-0000-0000050A0000}"/>
    <cellStyle name="Comma 4 4 3 4 2 2" xfId="8012" xr:uid="{00000000-0005-0000-0000-0000060A0000}"/>
    <cellStyle name="Comma 4 4 3 4 2 2 2" xfId="24910" xr:uid="{167EA644-F150-4FB4-9C65-9D5238A5581B}"/>
    <cellStyle name="Comma 4 4 3 4 2 2 3" xfId="16462" xr:uid="{FF28D708-EC54-4C31-AA9F-780EC95C584C}"/>
    <cellStyle name="Comma 4 4 3 4 2 3" xfId="20692" xr:uid="{3AF9AE84-D83A-4867-980A-BFC1A81BA179}"/>
    <cellStyle name="Comma 4 4 3 4 2 4" xfId="12244" xr:uid="{FF97963B-1EA5-4432-B78D-300B5C7D6D14}"/>
    <cellStyle name="Comma 4 4 3 4 3" xfId="5867" xr:uid="{00000000-0005-0000-0000-0000070A0000}"/>
    <cellStyle name="Comma 4 4 3 4 3 2" xfId="22765" xr:uid="{4B826715-D0F0-42E3-96D5-97A8FFEFC3FF}"/>
    <cellStyle name="Comma 4 4 3 4 3 3" xfId="14317" xr:uid="{1589E9D3-B669-4935-90C2-AC0B3855FD8D}"/>
    <cellStyle name="Comma 4 4 3 4 4" xfId="18547" xr:uid="{A0899184-FFDF-4844-9344-EA9BD0E3C6B9}"/>
    <cellStyle name="Comma 4 4 3 4 5" xfId="10099" xr:uid="{42457779-E4C8-4310-95AA-F46F29A09BBD}"/>
    <cellStyle name="Comma 4 4 3 5" xfId="1974" xr:uid="{00000000-0005-0000-0000-0000080A0000}"/>
    <cellStyle name="Comma 4 4 3 5 2" xfId="4203" xr:uid="{00000000-0005-0000-0000-0000090A0000}"/>
    <cellStyle name="Comma 4 4 3 5 2 2" xfId="8425" xr:uid="{00000000-0005-0000-0000-00000A0A0000}"/>
    <cellStyle name="Comma 4 4 3 5 2 2 2" xfId="25323" xr:uid="{D0FAD635-2A72-43C9-B761-EADB7588C519}"/>
    <cellStyle name="Comma 4 4 3 5 2 2 3" xfId="16875" xr:uid="{644F4274-C9D0-4784-8EA2-5FE0B0F678C1}"/>
    <cellStyle name="Comma 4 4 3 5 2 3" xfId="21105" xr:uid="{F08FAB62-D920-486B-AA3C-A1A431B357F1}"/>
    <cellStyle name="Comma 4 4 3 5 2 4" xfId="12657" xr:uid="{51D14E9D-EB62-4624-9A16-6F3FE68EC49A}"/>
    <cellStyle name="Comma 4 4 3 5 3" xfId="6280" xr:uid="{00000000-0005-0000-0000-00000B0A0000}"/>
    <cellStyle name="Comma 4 4 3 5 3 2" xfId="23178" xr:uid="{34CD80AC-949A-4A50-886A-090F35BA8AD7}"/>
    <cellStyle name="Comma 4 4 3 5 3 3" xfId="14730" xr:uid="{462A0050-D0AC-4F8D-B239-ECAF4771A88A}"/>
    <cellStyle name="Comma 4 4 3 5 4" xfId="18960" xr:uid="{97B6A1DA-3BD8-469E-8B67-D3A375D61B25}"/>
    <cellStyle name="Comma 4 4 3 5 5" xfId="10512" xr:uid="{73BD9D91-C7A8-4423-9E56-F5F5F3DB83C5}"/>
    <cellStyle name="Comma 4 4 3 6" xfId="2409" xr:uid="{00000000-0005-0000-0000-00000C0A0000}"/>
    <cellStyle name="Comma 4 4 3 6 2" xfId="6693" xr:uid="{00000000-0005-0000-0000-00000D0A0000}"/>
    <cellStyle name="Comma 4 4 3 6 2 2" xfId="23591" xr:uid="{7BF3CF8F-DB2B-4249-84A0-0ABB990F1D6C}"/>
    <cellStyle name="Comma 4 4 3 6 2 3" xfId="15143" xr:uid="{E74FB205-D95A-4CC2-BE2C-30B963A6185B}"/>
    <cellStyle name="Comma 4 4 3 6 3" xfId="19373" xr:uid="{6692C258-EF1E-4B28-95C4-41AB7BD8B5E7}"/>
    <cellStyle name="Comma 4 4 3 6 4" xfId="10925" xr:uid="{3B68DC57-F5F1-47A3-887B-1C4C3154D18F}"/>
    <cellStyle name="Comma 4 4 3 7" xfId="2705" xr:uid="{00000000-0005-0000-0000-00000E0A0000}"/>
    <cellStyle name="Comma 4 4 3 8" xfId="2787" xr:uid="{00000000-0005-0000-0000-00000F0A0000}"/>
    <cellStyle name="Comma 4 4 3 8 2" xfId="7010" xr:uid="{00000000-0005-0000-0000-0000100A0000}"/>
    <cellStyle name="Comma 4 4 3 8 2 2" xfId="23908" xr:uid="{E928DA45-5F48-4CE6-A739-65C0B63D7070}"/>
    <cellStyle name="Comma 4 4 3 8 2 3" xfId="15460" xr:uid="{460A3B4A-64CB-45BF-97F8-DD9BF6D2BDCE}"/>
    <cellStyle name="Comma 4 4 3 8 3" xfId="19690" xr:uid="{02360F57-6947-4E06-A2DD-D6A487A4F38E}"/>
    <cellStyle name="Comma 4 4 3 8 4" xfId="11242" xr:uid="{C19AE788-E07F-4F24-9FE5-876B88D73ECC}"/>
    <cellStyle name="Comma 4 4 3 9" xfId="4627" xr:uid="{00000000-0005-0000-0000-0000110A0000}"/>
    <cellStyle name="Comma 4 4 3 9 2" xfId="21525" xr:uid="{7C5411DC-9CB3-49A9-B6BB-0F1054C4B909}"/>
    <cellStyle name="Comma 4 4 3 9 3" xfId="13077" xr:uid="{7FD30F65-95E3-4790-8E92-1DBD9C9ACB6D}"/>
    <cellStyle name="Comma 4 4 4" xfId="690" xr:uid="{00000000-0005-0000-0000-0000120A0000}"/>
    <cellStyle name="Comma 4 4 4 2" xfId="2961" xr:uid="{00000000-0005-0000-0000-0000130A0000}"/>
    <cellStyle name="Comma 4 4 4 2 2" xfId="7183" xr:uid="{00000000-0005-0000-0000-0000140A0000}"/>
    <cellStyle name="Comma 4 4 4 2 2 2" xfId="24081" xr:uid="{5F7E4A60-639D-4996-9AD2-A0412A7788C5}"/>
    <cellStyle name="Comma 4 4 4 2 2 3" xfId="15633" xr:uid="{1F086690-EC2E-470B-92CB-128BAAA452E1}"/>
    <cellStyle name="Comma 4 4 4 2 3" xfId="19863" xr:uid="{14DAF490-CFA0-4610-9BB0-2F1771B0EA8A}"/>
    <cellStyle name="Comma 4 4 4 2 4" xfId="11415" xr:uid="{9C491407-8C6B-4C6B-9D71-B62A88E6A637}"/>
    <cellStyle name="Comma 4 4 4 3" xfId="5038" xr:uid="{00000000-0005-0000-0000-0000150A0000}"/>
    <cellStyle name="Comma 4 4 4 3 2" xfId="21936" xr:uid="{463F2E26-C481-4E52-9A7B-3993C30D81A6}"/>
    <cellStyle name="Comma 4 4 4 3 3" xfId="13488" xr:uid="{1B90F812-3002-4CEA-8443-C9EE22D72389}"/>
    <cellStyle name="Comma 4 4 4 4" xfId="17718" xr:uid="{EF63B975-0213-48A6-9BDE-E9D25563041C}"/>
    <cellStyle name="Comma 4 4 4 5" xfId="9270" xr:uid="{E30EBFCC-2DE6-47A8-A2C4-65796A9E47C7}"/>
    <cellStyle name="Comma 4 4 5" xfId="1143" xr:uid="{00000000-0005-0000-0000-0000160A0000}"/>
    <cellStyle name="Comma 4 4 5 2" xfId="3374" xr:uid="{00000000-0005-0000-0000-0000170A0000}"/>
    <cellStyle name="Comma 4 4 5 2 2" xfId="7596" xr:uid="{00000000-0005-0000-0000-0000180A0000}"/>
    <cellStyle name="Comma 4 4 5 2 2 2" xfId="24494" xr:uid="{218900CA-3E61-44B8-B480-30EF0993F81E}"/>
    <cellStyle name="Comma 4 4 5 2 2 3" xfId="16046" xr:uid="{AC2C4760-F3B9-4F1E-A12E-26E08D158919}"/>
    <cellStyle name="Comma 4 4 5 2 3" xfId="20276" xr:uid="{8281BFEB-494E-466F-8FEA-C2CFBC227C8A}"/>
    <cellStyle name="Comma 4 4 5 2 4" xfId="11828" xr:uid="{A3E4B82D-07FC-4EE5-94A9-8B6FE0B493F3}"/>
    <cellStyle name="Comma 4 4 5 3" xfId="5451" xr:uid="{00000000-0005-0000-0000-0000190A0000}"/>
    <cellStyle name="Comma 4 4 5 3 2" xfId="22349" xr:uid="{C228A35B-5717-49E0-8FB2-48F442E0D8A6}"/>
    <cellStyle name="Comma 4 4 5 3 3" xfId="13901" xr:uid="{9DCDDFA3-D132-463E-8C52-CDE08783F9AE}"/>
    <cellStyle name="Comma 4 4 5 4" xfId="18131" xr:uid="{FFAE31F9-2EEF-47AC-9706-D0A223E7619D}"/>
    <cellStyle name="Comma 4 4 5 5" xfId="9683" xr:uid="{94FEC894-1BA3-4765-925F-E21076A89298}"/>
    <cellStyle name="Comma 4 4 6" xfId="1557" xr:uid="{00000000-0005-0000-0000-00001A0A0000}"/>
    <cellStyle name="Comma 4 4 6 2" xfId="3787" xr:uid="{00000000-0005-0000-0000-00001B0A0000}"/>
    <cellStyle name="Comma 4 4 6 2 2" xfId="8009" xr:uid="{00000000-0005-0000-0000-00001C0A0000}"/>
    <cellStyle name="Comma 4 4 6 2 2 2" xfId="24907" xr:uid="{8EFEA999-6415-4CBA-96DF-7738BF0C5291}"/>
    <cellStyle name="Comma 4 4 6 2 2 3" xfId="16459" xr:uid="{D1C80B6E-BE15-4D16-914C-756D9C0C31FF}"/>
    <cellStyle name="Comma 4 4 6 2 3" xfId="20689" xr:uid="{439F1852-4BFC-435F-BCF4-6661408D4B08}"/>
    <cellStyle name="Comma 4 4 6 2 4" xfId="12241" xr:uid="{FF200603-F025-441E-B822-7D33852BAACF}"/>
    <cellStyle name="Comma 4 4 6 3" xfId="5864" xr:uid="{00000000-0005-0000-0000-00001D0A0000}"/>
    <cellStyle name="Comma 4 4 6 3 2" xfId="22762" xr:uid="{14BBBD15-ADEB-4E89-BCB5-584BD9E922B1}"/>
    <cellStyle name="Comma 4 4 6 3 3" xfId="14314" xr:uid="{287C7F98-C036-4029-A83E-5AF17BA80683}"/>
    <cellStyle name="Comma 4 4 6 4" xfId="18544" xr:uid="{03B5B76B-7CE0-420E-92CD-E03BC115B5E7}"/>
    <cellStyle name="Comma 4 4 6 5" xfId="10096" xr:uid="{822CDD07-1F98-4BD6-93B7-1A7CF7460AA8}"/>
    <cellStyle name="Comma 4 4 7" xfId="1971" xr:uid="{00000000-0005-0000-0000-00001E0A0000}"/>
    <cellStyle name="Comma 4 4 7 2" xfId="4200" xr:uid="{00000000-0005-0000-0000-00001F0A0000}"/>
    <cellStyle name="Comma 4 4 7 2 2" xfId="8422" xr:uid="{00000000-0005-0000-0000-0000200A0000}"/>
    <cellStyle name="Comma 4 4 7 2 2 2" xfId="25320" xr:uid="{DD1A94E5-EDB3-497A-9E65-F6C77BDF56C7}"/>
    <cellStyle name="Comma 4 4 7 2 2 3" xfId="16872" xr:uid="{24D1FF61-BF19-48F5-9256-2B1FF6EF609F}"/>
    <cellStyle name="Comma 4 4 7 2 3" xfId="21102" xr:uid="{4A0CC62C-F79D-4EFC-A323-19C518DC3042}"/>
    <cellStyle name="Comma 4 4 7 2 4" xfId="12654" xr:uid="{7A13BB2F-5C86-4BD0-ABDD-8CB372DABE93}"/>
    <cellStyle name="Comma 4 4 7 3" xfId="6277" xr:uid="{00000000-0005-0000-0000-0000210A0000}"/>
    <cellStyle name="Comma 4 4 7 3 2" xfId="23175" xr:uid="{76B94FE0-6B8E-42B7-B3CA-CBC16E776889}"/>
    <cellStyle name="Comma 4 4 7 3 3" xfId="14727" xr:uid="{E90C8D85-249A-4CAB-B483-D80C659D54C7}"/>
    <cellStyle name="Comma 4 4 7 4" xfId="18957" xr:uid="{CE560FB1-5417-44A7-94D7-BC87AA1ED99A}"/>
    <cellStyle name="Comma 4 4 7 5" xfId="10509" xr:uid="{AA356DE3-A984-42DD-A051-DD3BB63BB329}"/>
    <cellStyle name="Comma 4 4 8" xfId="2406" xr:uid="{00000000-0005-0000-0000-0000220A0000}"/>
    <cellStyle name="Comma 4 4 8 2" xfId="6690" xr:uid="{00000000-0005-0000-0000-0000230A0000}"/>
    <cellStyle name="Comma 4 4 8 2 2" xfId="23588" xr:uid="{0AA3B0C6-AECB-4949-8FAC-6B8DC5798615}"/>
    <cellStyle name="Comma 4 4 8 2 3" xfId="15140" xr:uid="{FEEB11CA-0607-4852-9AC4-420136B990AB}"/>
    <cellStyle name="Comma 4 4 8 3" xfId="19370" xr:uid="{8C0CD715-4153-4998-B04E-DE907D344E96}"/>
    <cellStyle name="Comma 4 4 8 4" xfId="10922" xr:uid="{3B27AA6C-7F43-4699-9021-007B54EEBBF7}"/>
    <cellStyle name="Comma 4 4 9" xfId="2702" xr:uid="{00000000-0005-0000-0000-0000240A0000}"/>
    <cellStyle name="Comma 4 5" xfId="157" xr:uid="{00000000-0005-0000-0000-0000250A0000}"/>
    <cellStyle name="Comma 4 5 10" xfId="4628" xr:uid="{00000000-0005-0000-0000-0000260A0000}"/>
    <cellStyle name="Comma 4 5 10 2" xfId="21526" xr:uid="{85337752-E22D-4105-AA2D-BDAAC213C6AE}"/>
    <cellStyle name="Comma 4 5 10 3" xfId="13078" xr:uid="{9B679712-3660-4375-9B5A-FBCB3468D4F9}"/>
    <cellStyle name="Comma 4 5 11" xfId="17308" xr:uid="{EEBED3B9-2728-4A68-BFF8-D43D38165D78}"/>
    <cellStyle name="Comma 4 5 12" xfId="8860" xr:uid="{AA66B6FB-0868-4BD7-8A5A-08C8A30DFC70}"/>
    <cellStyle name="Comma 4 5 2" xfId="158" xr:uid="{00000000-0005-0000-0000-0000270A0000}"/>
    <cellStyle name="Comma 4 5 2 10" xfId="17309" xr:uid="{9B28632E-2501-494E-9A25-AD43B592EB20}"/>
    <cellStyle name="Comma 4 5 2 11" xfId="8861" xr:uid="{8CEE1233-3DC9-4DCB-820D-4632EEA88124}"/>
    <cellStyle name="Comma 4 5 2 2" xfId="695" xr:uid="{00000000-0005-0000-0000-0000280A0000}"/>
    <cellStyle name="Comma 4 5 2 2 2" xfId="2966" xr:uid="{00000000-0005-0000-0000-0000290A0000}"/>
    <cellStyle name="Comma 4 5 2 2 2 2" xfId="7188" xr:uid="{00000000-0005-0000-0000-00002A0A0000}"/>
    <cellStyle name="Comma 4 5 2 2 2 2 2" xfId="24086" xr:uid="{86FD31EE-FCAA-4333-8F0C-66E2C03729FB}"/>
    <cellStyle name="Comma 4 5 2 2 2 2 3" xfId="15638" xr:uid="{34EDF8BF-E590-45EA-B977-6B70DCD1BB91}"/>
    <cellStyle name="Comma 4 5 2 2 2 3" xfId="19868" xr:uid="{660D3096-C416-453A-ACB7-359B38D56B4A}"/>
    <cellStyle name="Comma 4 5 2 2 2 4" xfId="11420" xr:uid="{7EC4EEE6-A6C8-4670-A695-817E84117701}"/>
    <cellStyle name="Comma 4 5 2 2 3" xfId="5043" xr:uid="{00000000-0005-0000-0000-00002B0A0000}"/>
    <cellStyle name="Comma 4 5 2 2 3 2" xfId="21941" xr:uid="{E2BD900E-413D-4687-8FBB-8DCFB37C6ADE}"/>
    <cellStyle name="Comma 4 5 2 2 3 3" xfId="13493" xr:uid="{06B02A50-F955-44CC-B90B-7E6C49FE1AF3}"/>
    <cellStyle name="Comma 4 5 2 2 4" xfId="17723" xr:uid="{2388C071-75FF-4FD8-8A49-AF3245C8F3A2}"/>
    <cellStyle name="Comma 4 5 2 2 5" xfId="9275" xr:uid="{C9270AC9-3C74-48C7-B451-72DA1DFACFBF}"/>
    <cellStyle name="Comma 4 5 2 3" xfId="1148" xr:uid="{00000000-0005-0000-0000-00002C0A0000}"/>
    <cellStyle name="Comma 4 5 2 3 2" xfId="3379" xr:uid="{00000000-0005-0000-0000-00002D0A0000}"/>
    <cellStyle name="Comma 4 5 2 3 2 2" xfId="7601" xr:uid="{00000000-0005-0000-0000-00002E0A0000}"/>
    <cellStyle name="Comma 4 5 2 3 2 2 2" xfId="24499" xr:uid="{6F9E409B-70C3-413C-95E0-971F2A07FCA2}"/>
    <cellStyle name="Comma 4 5 2 3 2 2 3" xfId="16051" xr:uid="{A75202BA-09B1-49E7-A4B2-BE5AF460DCC9}"/>
    <cellStyle name="Comma 4 5 2 3 2 3" xfId="20281" xr:uid="{EF61858D-3E0F-4B41-9204-288A38A86931}"/>
    <cellStyle name="Comma 4 5 2 3 2 4" xfId="11833" xr:uid="{1E9DC423-C42D-4CA9-85EB-5EF359A8B55A}"/>
    <cellStyle name="Comma 4 5 2 3 3" xfId="5456" xr:uid="{00000000-0005-0000-0000-00002F0A0000}"/>
    <cellStyle name="Comma 4 5 2 3 3 2" xfId="22354" xr:uid="{FEA77AF8-E551-499B-A34B-58045FFFC20C}"/>
    <cellStyle name="Comma 4 5 2 3 3 3" xfId="13906" xr:uid="{8D91BBEF-15AC-4038-9EA1-58D0BE02DA77}"/>
    <cellStyle name="Comma 4 5 2 3 4" xfId="18136" xr:uid="{7279A472-BD0E-4C95-BCC8-176E3C592FFC}"/>
    <cellStyle name="Comma 4 5 2 3 5" xfId="9688" xr:uid="{153E2A91-4F86-4C57-8055-4BB1F63688ED}"/>
    <cellStyle name="Comma 4 5 2 4" xfId="1562" xr:uid="{00000000-0005-0000-0000-0000300A0000}"/>
    <cellStyle name="Comma 4 5 2 4 2" xfId="3792" xr:uid="{00000000-0005-0000-0000-0000310A0000}"/>
    <cellStyle name="Comma 4 5 2 4 2 2" xfId="8014" xr:uid="{00000000-0005-0000-0000-0000320A0000}"/>
    <cellStyle name="Comma 4 5 2 4 2 2 2" xfId="24912" xr:uid="{C91EC015-DFC3-4E29-AE26-1FF02BDED9FE}"/>
    <cellStyle name="Comma 4 5 2 4 2 2 3" xfId="16464" xr:uid="{160F933B-95EC-4C2F-9FE2-00939DECCDA1}"/>
    <cellStyle name="Comma 4 5 2 4 2 3" xfId="20694" xr:uid="{F1C0D2CA-D0C6-4FB7-B0B9-AE30B9DAC8EB}"/>
    <cellStyle name="Comma 4 5 2 4 2 4" xfId="12246" xr:uid="{98704923-C35A-4ECC-8E05-2898D8F2B93F}"/>
    <cellStyle name="Comma 4 5 2 4 3" xfId="5869" xr:uid="{00000000-0005-0000-0000-0000330A0000}"/>
    <cellStyle name="Comma 4 5 2 4 3 2" xfId="22767" xr:uid="{4903CBEB-C948-490E-AB6B-CFE316D81153}"/>
    <cellStyle name="Comma 4 5 2 4 3 3" xfId="14319" xr:uid="{0E120194-AD42-4885-8039-0666F8B2CE2B}"/>
    <cellStyle name="Comma 4 5 2 4 4" xfId="18549" xr:uid="{999B308F-28A4-43A4-A3B6-5C4B764BAEE4}"/>
    <cellStyle name="Comma 4 5 2 4 5" xfId="10101" xr:uid="{7E99F0E4-324E-4F70-9820-4E7666A492B5}"/>
    <cellStyle name="Comma 4 5 2 5" xfId="1976" xr:uid="{00000000-0005-0000-0000-0000340A0000}"/>
    <cellStyle name="Comma 4 5 2 5 2" xfId="4205" xr:uid="{00000000-0005-0000-0000-0000350A0000}"/>
    <cellStyle name="Comma 4 5 2 5 2 2" xfId="8427" xr:uid="{00000000-0005-0000-0000-0000360A0000}"/>
    <cellStyle name="Comma 4 5 2 5 2 2 2" xfId="25325" xr:uid="{840CF38F-163E-454C-A32E-26BFD722AA3C}"/>
    <cellStyle name="Comma 4 5 2 5 2 2 3" xfId="16877" xr:uid="{12493B41-36A0-4A17-8DAD-4A0160C12905}"/>
    <cellStyle name="Comma 4 5 2 5 2 3" xfId="21107" xr:uid="{8A545C6C-B1A1-4828-951B-1461828134B3}"/>
    <cellStyle name="Comma 4 5 2 5 2 4" xfId="12659" xr:uid="{98E05EA3-DF9F-4737-B8BB-3B94639C04FA}"/>
    <cellStyle name="Comma 4 5 2 5 3" xfId="6282" xr:uid="{00000000-0005-0000-0000-0000370A0000}"/>
    <cellStyle name="Comma 4 5 2 5 3 2" xfId="23180" xr:uid="{F6F3EF3D-F945-403B-94D1-8D279EB6A7D1}"/>
    <cellStyle name="Comma 4 5 2 5 3 3" xfId="14732" xr:uid="{EB0809DE-6F4F-4885-8975-7F4575F98FBA}"/>
    <cellStyle name="Comma 4 5 2 5 4" xfId="18962" xr:uid="{D0B7D90F-C39B-4C4B-9F3C-F06B24CE1B45}"/>
    <cellStyle name="Comma 4 5 2 5 5" xfId="10514" xr:uid="{D9174064-4678-4162-9FBF-F5A1885D9DCD}"/>
    <cellStyle name="Comma 4 5 2 6" xfId="2411" xr:uid="{00000000-0005-0000-0000-0000380A0000}"/>
    <cellStyle name="Comma 4 5 2 6 2" xfId="6695" xr:uid="{00000000-0005-0000-0000-0000390A0000}"/>
    <cellStyle name="Comma 4 5 2 6 2 2" xfId="23593" xr:uid="{4A363001-8ABC-48F5-B96F-2829CF45712C}"/>
    <cellStyle name="Comma 4 5 2 6 2 3" xfId="15145" xr:uid="{9998AA7C-E26B-438B-B3FC-F01FE7D19385}"/>
    <cellStyle name="Comma 4 5 2 6 3" xfId="19375" xr:uid="{9C830EA6-B5C8-4042-9E93-9CB6628FCA45}"/>
    <cellStyle name="Comma 4 5 2 6 4" xfId="10927" xr:uid="{24D55BA7-B260-4BB7-8534-3352E38CB07B}"/>
    <cellStyle name="Comma 4 5 2 7" xfId="2707" xr:uid="{00000000-0005-0000-0000-00003A0A0000}"/>
    <cellStyle name="Comma 4 5 2 8" xfId="2789" xr:uid="{00000000-0005-0000-0000-00003B0A0000}"/>
    <cellStyle name="Comma 4 5 2 8 2" xfId="7012" xr:uid="{00000000-0005-0000-0000-00003C0A0000}"/>
    <cellStyle name="Comma 4 5 2 8 2 2" xfId="23910" xr:uid="{A51F18A9-C144-4B90-A0C9-5460A8A71D84}"/>
    <cellStyle name="Comma 4 5 2 8 2 3" xfId="15462" xr:uid="{27571778-0E5B-45A6-8BE2-9E32A3DEAE59}"/>
    <cellStyle name="Comma 4 5 2 8 3" xfId="19692" xr:uid="{680FE686-35AC-4E43-BAE9-E6361D233107}"/>
    <cellStyle name="Comma 4 5 2 8 4" xfId="11244" xr:uid="{2CC3465E-2FF5-4A78-8798-5A263E6E1DF8}"/>
    <cellStyle name="Comma 4 5 2 9" xfId="4629" xr:uid="{00000000-0005-0000-0000-00003D0A0000}"/>
    <cellStyle name="Comma 4 5 2 9 2" xfId="21527" xr:uid="{DCF280F5-4090-4B43-89FA-E035E73FB59D}"/>
    <cellStyle name="Comma 4 5 2 9 3" xfId="13079" xr:uid="{FDA6B371-B6BD-4AE5-8EC6-944D08E34BB7}"/>
    <cellStyle name="Comma 4 5 3" xfId="694" xr:uid="{00000000-0005-0000-0000-00003E0A0000}"/>
    <cellStyle name="Comma 4 5 3 2" xfId="2965" xr:uid="{00000000-0005-0000-0000-00003F0A0000}"/>
    <cellStyle name="Comma 4 5 3 2 2" xfId="7187" xr:uid="{00000000-0005-0000-0000-0000400A0000}"/>
    <cellStyle name="Comma 4 5 3 2 2 2" xfId="24085" xr:uid="{0B837E35-C341-4F42-9AF3-6DE41B55F8F7}"/>
    <cellStyle name="Comma 4 5 3 2 2 3" xfId="15637" xr:uid="{515903CA-6285-4ADC-A831-E71E6ACA3DD5}"/>
    <cellStyle name="Comma 4 5 3 2 3" xfId="19867" xr:uid="{AAF21D73-0421-4A32-ABCE-73E8067AE302}"/>
    <cellStyle name="Comma 4 5 3 2 4" xfId="11419" xr:uid="{12EE29AC-3DBD-4257-A615-D9D65EA85E5F}"/>
    <cellStyle name="Comma 4 5 3 3" xfId="5042" xr:uid="{00000000-0005-0000-0000-0000410A0000}"/>
    <cellStyle name="Comma 4 5 3 3 2" xfId="21940" xr:uid="{C9A4A237-EF51-4038-9A6C-78D2C783E909}"/>
    <cellStyle name="Comma 4 5 3 3 3" xfId="13492" xr:uid="{0DDA8D8B-AB9D-4309-9D27-9383923EB71E}"/>
    <cellStyle name="Comma 4 5 3 4" xfId="17722" xr:uid="{50F68B8D-E5BE-4143-A893-187B0C958371}"/>
    <cellStyle name="Comma 4 5 3 5" xfId="9274" xr:uid="{CD833AFC-9CFF-4E9D-9C8F-C03A6C5DD2BF}"/>
    <cellStyle name="Comma 4 5 4" xfId="1147" xr:uid="{00000000-0005-0000-0000-0000420A0000}"/>
    <cellStyle name="Comma 4 5 4 2" xfId="3378" xr:uid="{00000000-0005-0000-0000-0000430A0000}"/>
    <cellStyle name="Comma 4 5 4 2 2" xfId="7600" xr:uid="{00000000-0005-0000-0000-0000440A0000}"/>
    <cellStyle name="Comma 4 5 4 2 2 2" xfId="24498" xr:uid="{F35966A4-9E7E-429D-9546-D3A5ABF59D67}"/>
    <cellStyle name="Comma 4 5 4 2 2 3" xfId="16050" xr:uid="{606D0971-86F5-4851-9E2E-7294ABE60941}"/>
    <cellStyle name="Comma 4 5 4 2 3" xfId="20280" xr:uid="{821EBC40-BC97-4D9B-81C5-D43C2879FE49}"/>
    <cellStyle name="Comma 4 5 4 2 4" xfId="11832" xr:uid="{B947F753-1563-4112-A792-4DAD9B7725F5}"/>
    <cellStyle name="Comma 4 5 4 3" xfId="5455" xr:uid="{00000000-0005-0000-0000-0000450A0000}"/>
    <cellStyle name="Comma 4 5 4 3 2" xfId="22353" xr:uid="{85903E48-023B-4616-A9CA-016A0B08AC13}"/>
    <cellStyle name="Comma 4 5 4 3 3" xfId="13905" xr:uid="{E19CBCD8-A9AD-4341-AF25-390B4CEEDE74}"/>
    <cellStyle name="Comma 4 5 4 4" xfId="18135" xr:uid="{EB0AA8B2-9511-470D-BE64-D3945F9A54FA}"/>
    <cellStyle name="Comma 4 5 4 5" xfId="9687" xr:uid="{676EA769-0547-4FBD-9AB4-BB4B1DB195B4}"/>
    <cellStyle name="Comma 4 5 5" xfId="1561" xr:uid="{00000000-0005-0000-0000-0000460A0000}"/>
    <cellStyle name="Comma 4 5 5 2" xfId="3791" xr:uid="{00000000-0005-0000-0000-0000470A0000}"/>
    <cellStyle name="Comma 4 5 5 2 2" xfId="8013" xr:uid="{00000000-0005-0000-0000-0000480A0000}"/>
    <cellStyle name="Comma 4 5 5 2 2 2" xfId="24911" xr:uid="{1A6F23CC-BDE4-4433-B738-82006F9DE942}"/>
    <cellStyle name="Comma 4 5 5 2 2 3" xfId="16463" xr:uid="{232F3250-70F6-4CB6-8A5E-3E8D744AE601}"/>
    <cellStyle name="Comma 4 5 5 2 3" xfId="20693" xr:uid="{7D68457A-A1CD-4532-9E12-914887376B79}"/>
    <cellStyle name="Comma 4 5 5 2 4" xfId="12245" xr:uid="{2EE4957C-AA1B-4AE7-A403-157EE7D6C9F9}"/>
    <cellStyle name="Comma 4 5 5 3" xfId="5868" xr:uid="{00000000-0005-0000-0000-0000490A0000}"/>
    <cellStyle name="Comma 4 5 5 3 2" xfId="22766" xr:uid="{414ABEE7-CA56-479B-BFDB-61908332776D}"/>
    <cellStyle name="Comma 4 5 5 3 3" xfId="14318" xr:uid="{6473B8AC-1F5A-45AC-8F1E-1D1B618A5111}"/>
    <cellStyle name="Comma 4 5 5 4" xfId="18548" xr:uid="{7472ECAB-65DB-4BAA-9E7F-89FBE17174F5}"/>
    <cellStyle name="Comma 4 5 5 5" xfId="10100" xr:uid="{BAB2FC98-D00A-42C3-9580-4E5538582512}"/>
    <cellStyle name="Comma 4 5 6" xfId="1975" xr:uid="{00000000-0005-0000-0000-00004A0A0000}"/>
    <cellStyle name="Comma 4 5 6 2" xfId="4204" xr:uid="{00000000-0005-0000-0000-00004B0A0000}"/>
    <cellStyle name="Comma 4 5 6 2 2" xfId="8426" xr:uid="{00000000-0005-0000-0000-00004C0A0000}"/>
    <cellStyle name="Comma 4 5 6 2 2 2" xfId="25324" xr:uid="{0B32B2B8-918C-4DE9-8AB8-607E146990F2}"/>
    <cellStyle name="Comma 4 5 6 2 2 3" xfId="16876" xr:uid="{0E8A5AF3-0D89-4E2B-BBBB-7FF519072427}"/>
    <cellStyle name="Comma 4 5 6 2 3" xfId="21106" xr:uid="{9BCB7D7E-95FD-4144-833A-F3DC54EBE9DB}"/>
    <cellStyle name="Comma 4 5 6 2 4" xfId="12658" xr:uid="{9511B1FE-0BCA-41F6-A22C-CD5462495A8A}"/>
    <cellStyle name="Comma 4 5 6 3" xfId="6281" xr:uid="{00000000-0005-0000-0000-00004D0A0000}"/>
    <cellStyle name="Comma 4 5 6 3 2" xfId="23179" xr:uid="{B896F5BD-D140-4921-AF46-CF358715E116}"/>
    <cellStyle name="Comma 4 5 6 3 3" xfId="14731" xr:uid="{1DDC5877-EB58-4F0D-A862-B00810DBAA69}"/>
    <cellStyle name="Comma 4 5 6 4" xfId="18961" xr:uid="{B55D8874-7E28-4E93-A13A-1A7467079164}"/>
    <cellStyle name="Comma 4 5 6 5" xfId="10513" xr:uid="{F76DB6AF-6FFA-4D61-9891-6F0E22FD38E5}"/>
    <cellStyle name="Comma 4 5 7" xfId="2410" xr:uid="{00000000-0005-0000-0000-00004E0A0000}"/>
    <cellStyle name="Comma 4 5 7 2" xfId="6694" xr:uid="{00000000-0005-0000-0000-00004F0A0000}"/>
    <cellStyle name="Comma 4 5 7 2 2" xfId="23592" xr:uid="{689F6DFD-EC27-4D60-B80B-BA50887813A6}"/>
    <cellStyle name="Comma 4 5 7 2 3" xfId="15144" xr:uid="{B0FCC25C-913B-45B0-8EBD-40291B7B8CDA}"/>
    <cellStyle name="Comma 4 5 7 3" xfId="19374" xr:uid="{B02F83FF-3826-4158-9EA5-9974895FC6B2}"/>
    <cellStyle name="Comma 4 5 7 4" xfId="10926" xr:uid="{2EC69E41-DA67-4F9F-9209-B2BF38B9F67F}"/>
    <cellStyle name="Comma 4 5 8" xfId="2706" xr:uid="{00000000-0005-0000-0000-0000500A0000}"/>
    <cellStyle name="Comma 4 5 9" xfId="2788" xr:uid="{00000000-0005-0000-0000-0000510A0000}"/>
    <cellStyle name="Comma 4 5 9 2" xfId="7011" xr:uid="{00000000-0005-0000-0000-0000520A0000}"/>
    <cellStyle name="Comma 4 5 9 2 2" xfId="23909" xr:uid="{D52F872E-2E41-4908-906B-C7FCC45CFF03}"/>
    <cellStyle name="Comma 4 5 9 2 3" xfId="15461" xr:uid="{524A2910-5AE9-46EB-9EB7-98CE40DA4706}"/>
    <cellStyle name="Comma 4 5 9 3" xfId="19691" xr:uid="{8C6926C3-0AB8-41F0-8F40-C3D6A896153D}"/>
    <cellStyle name="Comma 4 5 9 4" xfId="11243" xr:uid="{21F098BD-3DCF-4A00-85D2-0F598BB13556}"/>
    <cellStyle name="Comma 4 6" xfId="159" xr:uid="{00000000-0005-0000-0000-0000530A0000}"/>
    <cellStyle name="Comma 4 6 10" xfId="17310" xr:uid="{93EB7CE6-2490-451E-A222-F23A2F1555EA}"/>
    <cellStyle name="Comma 4 6 11" xfId="8862" xr:uid="{9D1D1E91-BA14-4BE7-96E5-5320B5BB6183}"/>
    <cellStyle name="Comma 4 6 2" xfId="696" xr:uid="{00000000-0005-0000-0000-0000540A0000}"/>
    <cellStyle name="Comma 4 6 2 2" xfId="2967" xr:uid="{00000000-0005-0000-0000-0000550A0000}"/>
    <cellStyle name="Comma 4 6 2 2 2" xfId="7189" xr:uid="{00000000-0005-0000-0000-0000560A0000}"/>
    <cellStyle name="Comma 4 6 2 2 2 2" xfId="24087" xr:uid="{2042B52C-4D22-4926-B8FC-A6F753BCF276}"/>
    <cellStyle name="Comma 4 6 2 2 2 3" xfId="15639" xr:uid="{0F5EF6B8-0921-49BE-800D-0E47D2BA7FAE}"/>
    <cellStyle name="Comma 4 6 2 2 3" xfId="19869" xr:uid="{207B01ED-917D-4644-98AC-517DE5BDA96F}"/>
    <cellStyle name="Comma 4 6 2 2 4" xfId="11421" xr:uid="{C774B83E-FAF1-44EF-9129-F32A0BD97657}"/>
    <cellStyle name="Comma 4 6 2 3" xfId="5044" xr:uid="{00000000-0005-0000-0000-0000570A0000}"/>
    <cellStyle name="Comma 4 6 2 3 2" xfId="21942" xr:uid="{82140792-F517-4553-AA76-BE1D6D817DD7}"/>
    <cellStyle name="Comma 4 6 2 3 3" xfId="13494" xr:uid="{027DA92B-9645-458B-856D-29C82FBDAD5C}"/>
    <cellStyle name="Comma 4 6 2 4" xfId="17724" xr:uid="{DC2D6328-7E5A-4404-B943-A787FFF14F9B}"/>
    <cellStyle name="Comma 4 6 2 5" xfId="9276" xr:uid="{6240C0AE-DF4B-42AA-A85F-C024E99E6EDB}"/>
    <cellStyle name="Comma 4 6 3" xfId="1149" xr:uid="{00000000-0005-0000-0000-0000580A0000}"/>
    <cellStyle name="Comma 4 6 3 2" xfId="3380" xr:uid="{00000000-0005-0000-0000-0000590A0000}"/>
    <cellStyle name="Comma 4 6 3 2 2" xfId="7602" xr:uid="{00000000-0005-0000-0000-00005A0A0000}"/>
    <cellStyle name="Comma 4 6 3 2 2 2" xfId="24500" xr:uid="{CBE92BFE-BFE9-4D16-B8E1-0CA23C57D8F0}"/>
    <cellStyle name="Comma 4 6 3 2 2 3" xfId="16052" xr:uid="{935FD7D9-A081-4DE9-8E71-02933CE75CD4}"/>
    <cellStyle name="Comma 4 6 3 2 3" xfId="20282" xr:uid="{ABE197AE-DFDE-43EC-8A57-7E1EC588067D}"/>
    <cellStyle name="Comma 4 6 3 2 4" xfId="11834" xr:uid="{5AAFDECE-54DF-40A5-B0EF-2D6850FDCB16}"/>
    <cellStyle name="Comma 4 6 3 3" xfId="5457" xr:uid="{00000000-0005-0000-0000-00005B0A0000}"/>
    <cellStyle name="Comma 4 6 3 3 2" xfId="22355" xr:uid="{0BA19AA8-0595-4744-88BA-D372B9C01D67}"/>
    <cellStyle name="Comma 4 6 3 3 3" xfId="13907" xr:uid="{1A72E0DF-F750-4245-8D16-E7ED8DDC61AB}"/>
    <cellStyle name="Comma 4 6 3 4" xfId="18137" xr:uid="{E1E64263-1354-45B6-955F-1320C1EA4D25}"/>
    <cellStyle name="Comma 4 6 3 5" xfId="9689" xr:uid="{EA2A3128-76E5-474A-AEBA-137FE37FC14A}"/>
    <cellStyle name="Comma 4 6 4" xfId="1563" xr:uid="{00000000-0005-0000-0000-00005C0A0000}"/>
    <cellStyle name="Comma 4 6 4 2" xfId="3793" xr:uid="{00000000-0005-0000-0000-00005D0A0000}"/>
    <cellStyle name="Comma 4 6 4 2 2" xfId="8015" xr:uid="{00000000-0005-0000-0000-00005E0A0000}"/>
    <cellStyle name="Comma 4 6 4 2 2 2" xfId="24913" xr:uid="{B60D7003-6E7C-463F-ADFF-389257DE79B5}"/>
    <cellStyle name="Comma 4 6 4 2 2 3" xfId="16465" xr:uid="{C64BEA2F-527D-4C66-BE49-111484218500}"/>
    <cellStyle name="Comma 4 6 4 2 3" xfId="20695" xr:uid="{315B7DE2-F5CE-4A9A-AC2F-D356266315FA}"/>
    <cellStyle name="Comma 4 6 4 2 4" xfId="12247" xr:uid="{0C27724A-97FA-4A0B-94C9-E3E784A6D47E}"/>
    <cellStyle name="Comma 4 6 4 3" xfId="5870" xr:uid="{00000000-0005-0000-0000-00005F0A0000}"/>
    <cellStyle name="Comma 4 6 4 3 2" xfId="22768" xr:uid="{F0AB3752-AB55-4733-B456-471B44FCCFCB}"/>
    <cellStyle name="Comma 4 6 4 3 3" xfId="14320" xr:uid="{7E2B8643-37C9-4A78-96C1-8AA93916061B}"/>
    <cellStyle name="Comma 4 6 4 4" xfId="18550" xr:uid="{82AEECFD-5288-4631-8E37-8C506CE0C455}"/>
    <cellStyle name="Comma 4 6 4 5" xfId="10102" xr:uid="{B4F845A1-2930-4CD4-B124-F2E3766F8C98}"/>
    <cellStyle name="Comma 4 6 5" xfId="1977" xr:uid="{00000000-0005-0000-0000-0000600A0000}"/>
    <cellStyle name="Comma 4 6 5 2" xfId="4206" xr:uid="{00000000-0005-0000-0000-0000610A0000}"/>
    <cellStyle name="Comma 4 6 5 2 2" xfId="8428" xr:uid="{00000000-0005-0000-0000-0000620A0000}"/>
    <cellStyle name="Comma 4 6 5 2 2 2" xfId="25326" xr:uid="{51C24100-CAEC-43C7-BA80-560302EDB118}"/>
    <cellStyle name="Comma 4 6 5 2 2 3" xfId="16878" xr:uid="{2FEDBF64-B229-4A56-8B66-05757980CD5C}"/>
    <cellStyle name="Comma 4 6 5 2 3" xfId="21108" xr:uid="{710637E6-E230-4782-8725-F0FA30F53E51}"/>
    <cellStyle name="Comma 4 6 5 2 4" xfId="12660" xr:uid="{6BC036E3-E606-40CB-B470-7808AA50C20A}"/>
    <cellStyle name="Comma 4 6 5 3" xfId="6283" xr:uid="{00000000-0005-0000-0000-0000630A0000}"/>
    <cellStyle name="Comma 4 6 5 3 2" xfId="23181" xr:uid="{2489B3A6-9803-48CC-A324-8C00D9F3650E}"/>
    <cellStyle name="Comma 4 6 5 3 3" xfId="14733" xr:uid="{97B9267B-3BEE-42EA-92C7-6EACF171DA03}"/>
    <cellStyle name="Comma 4 6 5 4" xfId="18963" xr:uid="{524D8FC1-E529-4A5C-879E-C558EFB679BB}"/>
    <cellStyle name="Comma 4 6 5 5" xfId="10515" xr:uid="{17625241-87EA-49AD-BF10-0405A6D3C05D}"/>
    <cellStyle name="Comma 4 6 6" xfId="2412" xr:uid="{00000000-0005-0000-0000-0000640A0000}"/>
    <cellStyle name="Comma 4 6 6 2" xfId="6696" xr:uid="{00000000-0005-0000-0000-0000650A0000}"/>
    <cellStyle name="Comma 4 6 6 2 2" xfId="23594" xr:uid="{9C5FE0EA-8D7D-45E3-BE6C-9FE2F1B8D54D}"/>
    <cellStyle name="Comma 4 6 6 2 3" xfId="15146" xr:uid="{9D2AE089-5560-4997-8E61-EF2A91AC883B}"/>
    <cellStyle name="Comma 4 6 6 3" xfId="19376" xr:uid="{99603B06-C989-44AD-AF4E-5A946A6D86CA}"/>
    <cellStyle name="Comma 4 6 6 4" xfId="10928" xr:uid="{68ECB35D-80E8-4DD9-A77E-8AA7932B9CA8}"/>
    <cellStyle name="Comma 4 6 7" xfId="2708" xr:uid="{00000000-0005-0000-0000-0000660A0000}"/>
    <cellStyle name="Comma 4 6 8" xfId="2790" xr:uid="{00000000-0005-0000-0000-0000670A0000}"/>
    <cellStyle name="Comma 4 6 8 2" xfId="7013" xr:uid="{00000000-0005-0000-0000-0000680A0000}"/>
    <cellStyle name="Comma 4 6 8 2 2" xfId="23911" xr:uid="{FB256493-AC83-4805-AFA3-9A9C4B685F90}"/>
    <cellStyle name="Comma 4 6 8 2 3" xfId="15463" xr:uid="{24552F7A-0A33-4522-8073-568BE2699F10}"/>
    <cellStyle name="Comma 4 6 8 3" xfId="19693" xr:uid="{E34609AC-C5C8-47EE-8B37-BB92D638BFF0}"/>
    <cellStyle name="Comma 4 6 8 4" xfId="11245" xr:uid="{3475748E-71EF-4E78-98E9-1DCB35D1059C}"/>
    <cellStyle name="Comma 4 6 9" xfId="4630" xr:uid="{00000000-0005-0000-0000-0000690A0000}"/>
    <cellStyle name="Comma 4 6 9 2" xfId="21528" xr:uid="{95A5E153-BA35-43BF-8F5F-34F9576DAA91}"/>
    <cellStyle name="Comma 4 6 9 3" xfId="13080" xr:uid="{18C97134-4F69-4142-AABA-E9D5795D58FF}"/>
    <cellStyle name="Comma 4 7" xfId="160" xr:uid="{00000000-0005-0000-0000-00006A0A0000}"/>
    <cellStyle name="Comma 4 7 10" xfId="17311" xr:uid="{3F316758-11F9-4DD3-8D76-23CBAA9BAEA8}"/>
    <cellStyle name="Comma 4 7 11" xfId="8863" xr:uid="{EF3B9CE7-A88D-414B-A449-43AA1AE5FB73}"/>
    <cellStyle name="Comma 4 7 2" xfId="697" xr:uid="{00000000-0005-0000-0000-00006B0A0000}"/>
    <cellStyle name="Comma 4 7 2 2" xfId="2968" xr:uid="{00000000-0005-0000-0000-00006C0A0000}"/>
    <cellStyle name="Comma 4 7 2 2 2" xfId="7190" xr:uid="{00000000-0005-0000-0000-00006D0A0000}"/>
    <cellStyle name="Comma 4 7 2 2 2 2" xfId="24088" xr:uid="{65FFE27B-53DD-40B9-B3E3-BA8E14B8116D}"/>
    <cellStyle name="Comma 4 7 2 2 2 3" xfId="15640" xr:uid="{2C7DE49C-2F11-4F6F-A448-BA18A209B401}"/>
    <cellStyle name="Comma 4 7 2 2 3" xfId="19870" xr:uid="{A3CF0518-4A7F-4E0F-A77E-19B2A6A6352D}"/>
    <cellStyle name="Comma 4 7 2 2 4" xfId="11422" xr:uid="{7F6CC8D5-8030-4845-A60B-B0A9362A773D}"/>
    <cellStyle name="Comma 4 7 2 3" xfId="5045" xr:uid="{00000000-0005-0000-0000-00006E0A0000}"/>
    <cellStyle name="Comma 4 7 2 3 2" xfId="21943" xr:uid="{8D8F26C5-B6E5-461B-9BE8-37676A90E9E3}"/>
    <cellStyle name="Comma 4 7 2 3 3" xfId="13495" xr:uid="{823F5481-9CCF-40EB-AC97-AF1F01FE7D78}"/>
    <cellStyle name="Comma 4 7 2 4" xfId="17725" xr:uid="{EF99D0DB-7073-4CB9-AF88-A36FF4504B82}"/>
    <cellStyle name="Comma 4 7 2 5" xfId="9277" xr:uid="{19B3F948-7E48-4745-BEFE-55F3D23DACB2}"/>
    <cellStyle name="Comma 4 7 3" xfId="1150" xr:uid="{00000000-0005-0000-0000-00006F0A0000}"/>
    <cellStyle name="Comma 4 7 3 2" xfId="3381" xr:uid="{00000000-0005-0000-0000-0000700A0000}"/>
    <cellStyle name="Comma 4 7 3 2 2" xfId="7603" xr:uid="{00000000-0005-0000-0000-0000710A0000}"/>
    <cellStyle name="Comma 4 7 3 2 2 2" xfId="24501" xr:uid="{9FD9370E-3D60-40D3-85B9-4E785F944226}"/>
    <cellStyle name="Comma 4 7 3 2 2 3" xfId="16053" xr:uid="{E9F4CA38-6956-4018-AA4E-A0E61C643201}"/>
    <cellStyle name="Comma 4 7 3 2 3" xfId="20283" xr:uid="{A829B4D3-513F-44AF-BFB7-A07EE8AF0A8D}"/>
    <cellStyle name="Comma 4 7 3 2 4" xfId="11835" xr:uid="{AF16D726-0947-4E78-ACE0-8F19912F1711}"/>
    <cellStyle name="Comma 4 7 3 3" xfId="5458" xr:uid="{00000000-0005-0000-0000-0000720A0000}"/>
    <cellStyle name="Comma 4 7 3 3 2" xfId="22356" xr:uid="{AD108759-3C4B-4D3D-ADFB-0CEE3EF0D028}"/>
    <cellStyle name="Comma 4 7 3 3 3" xfId="13908" xr:uid="{C94B5FF6-F2E0-4291-8D3F-D6A29F16FE80}"/>
    <cellStyle name="Comma 4 7 3 4" xfId="18138" xr:uid="{8917000C-1634-4556-9415-24077C65C20F}"/>
    <cellStyle name="Comma 4 7 3 5" xfId="9690" xr:uid="{5EFB6C18-52E0-4AF3-9B2A-0B3718DF6627}"/>
    <cellStyle name="Comma 4 7 4" xfId="1564" xr:uid="{00000000-0005-0000-0000-0000730A0000}"/>
    <cellStyle name="Comma 4 7 4 2" xfId="3794" xr:uid="{00000000-0005-0000-0000-0000740A0000}"/>
    <cellStyle name="Comma 4 7 4 2 2" xfId="8016" xr:uid="{00000000-0005-0000-0000-0000750A0000}"/>
    <cellStyle name="Comma 4 7 4 2 2 2" xfId="24914" xr:uid="{97334DA7-0D10-4B60-9745-D7586983753E}"/>
    <cellStyle name="Comma 4 7 4 2 2 3" xfId="16466" xr:uid="{566F7C7F-51A5-472C-B2F3-72B2DEF0F3EB}"/>
    <cellStyle name="Comma 4 7 4 2 3" xfId="20696" xr:uid="{15413E34-1E40-42BA-9A2C-6DF1C957ACEF}"/>
    <cellStyle name="Comma 4 7 4 2 4" xfId="12248" xr:uid="{0B66BD6C-6B58-4A37-A614-D639D7239AD5}"/>
    <cellStyle name="Comma 4 7 4 3" xfId="5871" xr:uid="{00000000-0005-0000-0000-0000760A0000}"/>
    <cellStyle name="Comma 4 7 4 3 2" xfId="22769" xr:uid="{78C6F012-B426-4DF6-AC76-E7D9D49EFF14}"/>
    <cellStyle name="Comma 4 7 4 3 3" xfId="14321" xr:uid="{ED5A7269-343A-471B-AC3C-D4ECE18EB4EE}"/>
    <cellStyle name="Comma 4 7 4 4" xfId="18551" xr:uid="{AE4EFC5A-3CEE-429A-9CDD-459B5E9DFDBE}"/>
    <cellStyle name="Comma 4 7 4 5" xfId="10103" xr:uid="{5FE8EC62-7CF4-4154-B35B-8C96CF64D1E6}"/>
    <cellStyle name="Comma 4 7 5" xfId="1978" xr:uid="{00000000-0005-0000-0000-0000770A0000}"/>
    <cellStyle name="Comma 4 7 5 2" xfId="4207" xr:uid="{00000000-0005-0000-0000-0000780A0000}"/>
    <cellStyle name="Comma 4 7 5 2 2" xfId="8429" xr:uid="{00000000-0005-0000-0000-0000790A0000}"/>
    <cellStyle name="Comma 4 7 5 2 2 2" xfId="25327" xr:uid="{9371080A-1E9A-4687-AC61-D3BAE3523CC6}"/>
    <cellStyle name="Comma 4 7 5 2 2 3" xfId="16879" xr:uid="{9D632378-7E75-4566-84E2-B98E5ED307A7}"/>
    <cellStyle name="Comma 4 7 5 2 3" xfId="21109" xr:uid="{2BDB5A9A-377D-4FB9-B6CD-C3FDD8314927}"/>
    <cellStyle name="Comma 4 7 5 2 4" xfId="12661" xr:uid="{BD75BDEB-F59E-4FAD-9CDF-24D4581F37F7}"/>
    <cellStyle name="Comma 4 7 5 3" xfId="6284" xr:uid="{00000000-0005-0000-0000-00007A0A0000}"/>
    <cellStyle name="Comma 4 7 5 3 2" xfId="23182" xr:uid="{CAD0EB9B-2B35-47CA-851D-5B69800F7317}"/>
    <cellStyle name="Comma 4 7 5 3 3" xfId="14734" xr:uid="{CC8C57E9-191E-4A80-AF5F-4860C96E6AD3}"/>
    <cellStyle name="Comma 4 7 5 4" xfId="18964" xr:uid="{DA989B57-E311-4DE1-B77C-FA62C4813DC9}"/>
    <cellStyle name="Comma 4 7 5 5" xfId="10516" xr:uid="{F0F728B6-46D2-4F52-95E9-14A7249AE657}"/>
    <cellStyle name="Comma 4 7 6" xfId="2413" xr:uid="{00000000-0005-0000-0000-00007B0A0000}"/>
    <cellStyle name="Comma 4 7 6 2" xfId="6697" xr:uid="{00000000-0005-0000-0000-00007C0A0000}"/>
    <cellStyle name="Comma 4 7 6 2 2" xfId="23595" xr:uid="{9257534E-98D9-4520-907A-BFB93CBD6936}"/>
    <cellStyle name="Comma 4 7 6 2 3" xfId="15147" xr:uid="{5EF58DEF-CBC8-4AFD-B2EF-3FB2319052A4}"/>
    <cellStyle name="Comma 4 7 6 3" xfId="19377" xr:uid="{A3670AF3-6AC7-483A-9C33-502ED92CF1A0}"/>
    <cellStyle name="Comma 4 7 6 4" xfId="10929" xr:uid="{20038B82-6995-43FD-8DA2-997D92BBB8F3}"/>
    <cellStyle name="Comma 4 7 7" xfId="2709" xr:uid="{00000000-0005-0000-0000-00007D0A0000}"/>
    <cellStyle name="Comma 4 7 8" xfId="2791" xr:uid="{00000000-0005-0000-0000-00007E0A0000}"/>
    <cellStyle name="Comma 4 7 8 2" xfId="7014" xr:uid="{00000000-0005-0000-0000-00007F0A0000}"/>
    <cellStyle name="Comma 4 7 8 2 2" xfId="23912" xr:uid="{82EA92C4-ACAD-4071-9456-29C89CC20DEA}"/>
    <cellStyle name="Comma 4 7 8 2 3" xfId="15464" xr:uid="{8D5FDF2B-45E4-4634-B119-B70B12194503}"/>
    <cellStyle name="Comma 4 7 8 3" xfId="19694" xr:uid="{93548007-365B-4C18-9D2C-F28BB747AC1E}"/>
    <cellStyle name="Comma 4 7 8 4" xfId="11246" xr:uid="{AE2DBE4B-BA33-48DD-99C3-1B949AEBF11E}"/>
    <cellStyle name="Comma 4 7 9" xfId="4631" xr:uid="{00000000-0005-0000-0000-0000800A0000}"/>
    <cellStyle name="Comma 4 7 9 2" xfId="21529" xr:uid="{BAE34A40-2BC4-44CB-B69A-9C9D54392B9A}"/>
    <cellStyle name="Comma 4 7 9 3" xfId="13081" xr:uid="{DBF921B2-2AFA-457E-ADBC-B98872D1963A}"/>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21397" xr:uid="{0617D9EC-A9DB-47F9-8E84-F5C608D69CDB}"/>
    <cellStyle name="Comma 7 3" xfId="12949" xr:uid="{570CD6D5-1BE5-4967-9551-19DE394B4F6D}"/>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25614" xr:uid="{E6794F51-E41C-4CE3-B79E-254161EFC5A9}"/>
    <cellStyle name="Currency 14 2 3" xfId="17166" xr:uid="{93B4BC74-D289-478A-A3F6-8D61F5C34E61}"/>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25630" xr:uid="{B5F1C1B1-85E9-46FD-9663-58F6ACE595A7}"/>
    <cellStyle name="Currency 14 3 2 2 2 2 3" xfId="17182" xr:uid="{CDD4331D-A92B-4A17-98FD-E023D7ECC4E3}"/>
    <cellStyle name="Currency 14 3 2 2 2 3" xfId="25627" xr:uid="{35F56C6E-47AE-4868-87F8-FF604305EB00}"/>
    <cellStyle name="Currency 14 3 2 2 2 4" xfId="17179" xr:uid="{AC602B01-9EB5-4816-9379-B5A1480CAE37}"/>
    <cellStyle name="Currency 14 3 2 2 3" xfId="25623" xr:uid="{A99306DE-B2CE-4AAF-A5F3-D070968C3A96}"/>
    <cellStyle name="Currency 14 3 2 2 4" xfId="17175" xr:uid="{CC2B342E-053F-4C7F-A0FB-9D2CE8069FBF}"/>
    <cellStyle name="Currency 14 3 2 3" xfId="25620" xr:uid="{15245686-269A-4EFD-AD2A-2001E399BD7A}"/>
    <cellStyle name="Currency 14 3 2 4" xfId="17172" xr:uid="{514C4087-ABD0-46F1-BA09-6EC125269538}"/>
    <cellStyle name="Currency 14 3 3" xfId="25617" xr:uid="{03581C81-FFED-4DFA-8E76-45CDC35CE581}"/>
    <cellStyle name="Currency 14 3 4" xfId="17169" xr:uid="{926DDB88-407A-49F2-9449-EA8E4482EEF1}"/>
    <cellStyle name="Currency 14 4" xfId="21400" xr:uid="{277EC777-2ABE-4AAE-81CC-A8B8ABF344CF}"/>
    <cellStyle name="Currency 14 5" xfId="12952" xr:uid="{D5A8CC2D-AF2A-42ED-B056-69F34A74AA52}"/>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23913" xr:uid="{6C838899-8D24-4E0B-A589-E58948F65470}"/>
    <cellStyle name="Currency 3 2 2 10 2 3" xfId="15465" xr:uid="{2E3BFB61-D631-4832-8249-8013742F757E}"/>
    <cellStyle name="Currency 3 2 2 10 3" xfId="19695" xr:uid="{57AF4027-783E-4F38-BFB5-771DF01DE96B}"/>
    <cellStyle name="Currency 3 2 2 10 4" xfId="11247" xr:uid="{6C2B8CE2-B08F-4DEC-9369-F0A8DC6B99DB}"/>
    <cellStyle name="Currency 3 2 2 11" xfId="4632" xr:uid="{00000000-0005-0000-0000-0000A50A0000}"/>
    <cellStyle name="Currency 3 2 2 11 2" xfId="21530" xr:uid="{51D2EAD2-29AC-47A1-8B26-0AE5775A8845}"/>
    <cellStyle name="Currency 3 2 2 11 3" xfId="13082" xr:uid="{E8AE2C4F-373E-47A2-8BEB-0ED0CDE3DA81}"/>
    <cellStyle name="Currency 3 2 2 12" xfId="17312" xr:uid="{44C3CCD0-15C4-40E2-A547-352827CFA6C3}"/>
    <cellStyle name="Currency 3 2 2 13" xfId="8864" xr:uid="{DC0AC740-9592-490F-9C40-FEB87F8E8F16}"/>
    <cellStyle name="Currency 3 2 2 2" xfId="179" xr:uid="{00000000-0005-0000-0000-0000A60A0000}"/>
    <cellStyle name="Currency 3 2 2 2 10" xfId="4633" xr:uid="{00000000-0005-0000-0000-0000A70A0000}"/>
    <cellStyle name="Currency 3 2 2 2 10 2" xfId="21531" xr:uid="{79D4D814-430F-4FE1-89A7-430F59CD0254}"/>
    <cellStyle name="Currency 3 2 2 2 10 3" xfId="13083" xr:uid="{D6485DF6-7611-4199-8963-F46196755F83}"/>
    <cellStyle name="Currency 3 2 2 2 11" xfId="17313" xr:uid="{A0CD9918-5326-43E7-802B-3DE90A1FA12C}"/>
    <cellStyle name="Currency 3 2 2 2 12" xfId="8865" xr:uid="{F8289286-7788-4DAA-A577-183A7B8519C0}"/>
    <cellStyle name="Currency 3 2 2 2 2" xfId="180" xr:uid="{00000000-0005-0000-0000-0000A80A0000}"/>
    <cellStyle name="Currency 3 2 2 2 2 10" xfId="17314" xr:uid="{D57430F1-2A76-4243-9C0C-B84E8FE7DAFE}"/>
    <cellStyle name="Currency 3 2 2 2 2 11" xfId="8866" xr:uid="{A1DECBA3-4FA7-4BAB-9203-E2F5921A60CF}"/>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24091" xr:uid="{39CE5521-19CE-4521-A8FF-5D4FEF471AF1}"/>
    <cellStyle name="Currency 3 2 2 2 2 2 2 2 3" xfId="15643" xr:uid="{C93B1CF4-4BE9-44B7-847C-82BDB25F94CE}"/>
    <cellStyle name="Currency 3 2 2 2 2 2 2 3" xfId="19873" xr:uid="{4BBB17B8-4E8C-4A41-B3CB-EC86A4F75A49}"/>
    <cellStyle name="Currency 3 2 2 2 2 2 2 4" xfId="11425" xr:uid="{4A12EE16-5A80-438D-96D8-8DE5EFDB6B69}"/>
    <cellStyle name="Currency 3 2 2 2 2 2 3" xfId="5048" xr:uid="{00000000-0005-0000-0000-0000AC0A0000}"/>
    <cellStyle name="Currency 3 2 2 2 2 2 3 2" xfId="21946" xr:uid="{FA0A95FC-81E5-4D45-957B-4439AFCC0602}"/>
    <cellStyle name="Currency 3 2 2 2 2 2 3 3" xfId="13498" xr:uid="{458D1BC0-68E6-46B1-9279-A5B097E857B5}"/>
    <cellStyle name="Currency 3 2 2 2 2 2 4" xfId="17728" xr:uid="{47C2E7D3-07EE-49FC-A079-CA19B3C6DF45}"/>
    <cellStyle name="Currency 3 2 2 2 2 2 5" xfId="9280" xr:uid="{34126A76-E93D-44B8-A66C-E798EF2DD4C7}"/>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24504" xr:uid="{C644DC3C-E90B-4221-BDC3-8C82A2CC9C60}"/>
    <cellStyle name="Currency 3 2 2 2 2 3 2 2 3" xfId="16056" xr:uid="{D83C868A-F2A7-4A10-AD37-3E9293C6C316}"/>
    <cellStyle name="Currency 3 2 2 2 2 3 2 3" xfId="20286" xr:uid="{4F73364F-6BA3-43A0-ABBD-7476A05CD3C7}"/>
    <cellStyle name="Currency 3 2 2 2 2 3 2 4" xfId="11838" xr:uid="{01212FA3-E138-4B47-8339-B68D50464BC9}"/>
    <cellStyle name="Currency 3 2 2 2 2 3 3" xfId="5461" xr:uid="{00000000-0005-0000-0000-0000B00A0000}"/>
    <cellStyle name="Currency 3 2 2 2 2 3 3 2" xfId="22359" xr:uid="{AA1643D5-6E1E-45A0-84F9-70490A7D86FF}"/>
    <cellStyle name="Currency 3 2 2 2 2 3 3 3" xfId="13911" xr:uid="{14591A3D-0D90-4829-A8B6-3EA1C14624AE}"/>
    <cellStyle name="Currency 3 2 2 2 2 3 4" xfId="18141" xr:uid="{4AFB3A05-12A4-4E1F-841C-1E14740914F8}"/>
    <cellStyle name="Currency 3 2 2 2 2 3 5" xfId="9693" xr:uid="{B2E3EB13-C86C-40CD-8533-FDC83BBA9BE9}"/>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24917" xr:uid="{A10F2840-86A3-43E7-9FBF-D9C3897D8DE5}"/>
    <cellStyle name="Currency 3 2 2 2 2 4 2 2 3" xfId="16469" xr:uid="{AABF96CE-1E83-4A30-BA20-889CC0E2150F}"/>
    <cellStyle name="Currency 3 2 2 2 2 4 2 3" xfId="20699" xr:uid="{9114C307-4802-4410-9DDB-234C38F38370}"/>
    <cellStyle name="Currency 3 2 2 2 2 4 2 4" xfId="12251" xr:uid="{A9D6E06F-5A6E-40EA-929E-333BED65F631}"/>
    <cellStyle name="Currency 3 2 2 2 2 4 3" xfId="5874" xr:uid="{00000000-0005-0000-0000-0000B40A0000}"/>
    <cellStyle name="Currency 3 2 2 2 2 4 3 2" xfId="22772" xr:uid="{51D2C4F5-9F5E-4889-A38E-84E3DA573F90}"/>
    <cellStyle name="Currency 3 2 2 2 2 4 3 3" xfId="14324" xr:uid="{E02300F8-A11E-4776-AF1A-5C018D6DACA3}"/>
    <cellStyle name="Currency 3 2 2 2 2 4 4" xfId="18554" xr:uid="{39AA9424-4E22-4B62-9DE8-255DEA653464}"/>
    <cellStyle name="Currency 3 2 2 2 2 4 5" xfId="10106" xr:uid="{91B5B9BF-15A5-41CA-BB74-0AD64A1D6B64}"/>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25330" xr:uid="{4D7F25DC-C55D-4734-AF59-A9B8D91C63BB}"/>
    <cellStyle name="Currency 3 2 2 2 2 5 2 2 3" xfId="16882" xr:uid="{DDDFBE8E-C0F5-485D-9854-E71DA82815F9}"/>
    <cellStyle name="Currency 3 2 2 2 2 5 2 3" xfId="21112" xr:uid="{B8D82CCB-9956-4DB7-9EEB-B63E03E32409}"/>
    <cellStyle name="Currency 3 2 2 2 2 5 2 4" xfId="12664" xr:uid="{62A6C8A3-D57F-419A-9CBF-EB8789973FC3}"/>
    <cellStyle name="Currency 3 2 2 2 2 5 3" xfId="6287" xr:uid="{00000000-0005-0000-0000-0000B80A0000}"/>
    <cellStyle name="Currency 3 2 2 2 2 5 3 2" xfId="23185" xr:uid="{F007DCFC-344C-495B-95D2-1B18E4A17B6E}"/>
    <cellStyle name="Currency 3 2 2 2 2 5 3 3" xfId="14737" xr:uid="{24C35DCA-FB4B-4B54-A7E3-6A57D1AC6A1C}"/>
    <cellStyle name="Currency 3 2 2 2 2 5 4" xfId="18967" xr:uid="{398A6A96-29EC-48A8-A54F-5669732DBE9F}"/>
    <cellStyle name="Currency 3 2 2 2 2 5 5" xfId="10519" xr:uid="{20743C4A-A1BD-4F9A-A093-EB9D6B3D2D4C}"/>
    <cellStyle name="Currency 3 2 2 2 2 6" xfId="2416" xr:uid="{00000000-0005-0000-0000-0000B90A0000}"/>
    <cellStyle name="Currency 3 2 2 2 2 6 2" xfId="6700" xr:uid="{00000000-0005-0000-0000-0000BA0A0000}"/>
    <cellStyle name="Currency 3 2 2 2 2 6 2 2" xfId="23598" xr:uid="{59E72AC6-4301-400A-9AA2-1F95E474126A}"/>
    <cellStyle name="Currency 3 2 2 2 2 6 2 3" xfId="15150" xr:uid="{1D0DC262-4A4F-45BC-AF3E-CB960F61017A}"/>
    <cellStyle name="Currency 3 2 2 2 2 6 3" xfId="19380" xr:uid="{41749B2D-78EE-4433-8F0C-31320B73703A}"/>
    <cellStyle name="Currency 3 2 2 2 2 6 4" xfId="10932" xr:uid="{3A2B1721-209D-427B-8230-519D12D0DD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23915" xr:uid="{8151FDEE-FE21-4C52-9B75-29383B42EE91}"/>
    <cellStyle name="Currency 3 2 2 2 2 8 2 3" xfId="15467" xr:uid="{8A235A73-71D5-4C00-B66A-A89B4C246510}"/>
    <cellStyle name="Currency 3 2 2 2 2 8 3" xfId="19697" xr:uid="{967BAF36-8095-401A-A628-F68EA231A49C}"/>
    <cellStyle name="Currency 3 2 2 2 2 8 4" xfId="11249" xr:uid="{1A7EFCAD-D5EC-4896-854F-4159DDCE67BB}"/>
    <cellStyle name="Currency 3 2 2 2 2 9" xfId="4634" xr:uid="{00000000-0005-0000-0000-0000BE0A0000}"/>
    <cellStyle name="Currency 3 2 2 2 2 9 2" xfId="21532" xr:uid="{B66386BE-3CF8-4C39-AE8F-AEC689A02316}"/>
    <cellStyle name="Currency 3 2 2 2 2 9 3" xfId="13084" xr:uid="{43F0D874-5F42-4D1B-9206-E40B0D43BBCA}"/>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24090" xr:uid="{AE090076-0DCC-4621-84FC-2D5A13A3279F}"/>
    <cellStyle name="Currency 3 2 2 2 3 2 2 3" xfId="15642" xr:uid="{B70A3AD8-89FD-4AE1-AE5B-67F188723573}"/>
    <cellStyle name="Currency 3 2 2 2 3 2 3" xfId="19872" xr:uid="{82E03B63-4ACD-4C89-AF9F-21D5976052BD}"/>
    <cellStyle name="Currency 3 2 2 2 3 2 4" xfId="11424" xr:uid="{7877C723-9000-4E7A-8504-FD6C867E3FC9}"/>
    <cellStyle name="Currency 3 2 2 2 3 3" xfId="5047" xr:uid="{00000000-0005-0000-0000-0000C20A0000}"/>
    <cellStyle name="Currency 3 2 2 2 3 3 2" xfId="21945" xr:uid="{04662F40-9FA4-451D-A536-8FC14BAEDF99}"/>
    <cellStyle name="Currency 3 2 2 2 3 3 3" xfId="13497" xr:uid="{3281B28B-3A7B-4CC4-A797-A2C47C300DF5}"/>
    <cellStyle name="Currency 3 2 2 2 3 4" xfId="17727" xr:uid="{426CBB4D-E1F1-418C-A965-065557C7B182}"/>
    <cellStyle name="Currency 3 2 2 2 3 5" xfId="9279" xr:uid="{FAF83397-0579-4EAD-BD4F-DC730D8710A6}"/>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24503" xr:uid="{28A7A908-CEBF-4353-978F-ADF5B7CDE947}"/>
    <cellStyle name="Currency 3 2 2 2 4 2 2 3" xfId="16055" xr:uid="{01AE2A33-36F2-4C48-8E66-6C3DE15E2D7C}"/>
    <cellStyle name="Currency 3 2 2 2 4 2 3" xfId="20285" xr:uid="{55B5F841-D917-4F7F-8C36-A3AA42CB8B74}"/>
    <cellStyle name="Currency 3 2 2 2 4 2 4" xfId="11837" xr:uid="{28A0D17E-7FC6-4692-9C6B-E25B669AEF6B}"/>
    <cellStyle name="Currency 3 2 2 2 4 3" xfId="5460" xr:uid="{00000000-0005-0000-0000-0000C60A0000}"/>
    <cellStyle name="Currency 3 2 2 2 4 3 2" xfId="22358" xr:uid="{21A6C5ED-750E-43F3-B22A-FC6B9C220091}"/>
    <cellStyle name="Currency 3 2 2 2 4 3 3" xfId="13910" xr:uid="{FE9B2CF8-C1D8-430B-A0F4-526D70EC9877}"/>
    <cellStyle name="Currency 3 2 2 2 4 4" xfId="18140" xr:uid="{3FFB7C35-1651-4505-831A-C6BFE332AEA4}"/>
    <cellStyle name="Currency 3 2 2 2 4 5" xfId="9692" xr:uid="{80DB3E76-1ADF-4E5F-BBD9-5032937A6188}"/>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24916" xr:uid="{996B607D-C697-49F0-94A0-F9009F4B672A}"/>
    <cellStyle name="Currency 3 2 2 2 5 2 2 3" xfId="16468" xr:uid="{0DC9B514-7D04-47B8-891D-953E4EA241F3}"/>
    <cellStyle name="Currency 3 2 2 2 5 2 3" xfId="20698" xr:uid="{39C9B507-2397-449C-9127-F6E793F0BDBB}"/>
    <cellStyle name="Currency 3 2 2 2 5 2 4" xfId="12250" xr:uid="{4D579FCB-BC5F-4029-AE76-23D80371D866}"/>
    <cellStyle name="Currency 3 2 2 2 5 3" xfId="5873" xr:uid="{00000000-0005-0000-0000-0000CA0A0000}"/>
    <cellStyle name="Currency 3 2 2 2 5 3 2" xfId="22771" xr:uid="{5768BB24-438A-4171-B262-2F0C0745A1F9}"/>
    <cellStyle name="Currency 3 2 2 2 5 3 3" xfId="14323" xr:uid="{5787B801-7066-4A19-BFB7-7B8CA76D98E7}"/>
    <cellStyle name="Currency 3 2 2 2 5 4" xfId="18553" xr:uid="{9C2FDB83-F482-4FA7-9A1E-68C0AB263D91}"/>
    <cellStyle name="Currency 3 2 2 2 5 5" xfId="10105" xr:uid="{8FD439A3-5981-4F2B-8FE2-72D009DA8AC9}"/>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25329" xr:uid="{6CE0A715-BC19-4891-B483-07BD0D2FFD7F}"/>
    <cellStyle name="Currency 3 2 2 2 6 2 2 3" xfId="16881" xr:uid="{6708821F-1782-4052-A1C6-BC14F03C4030}"/>
    <cellStyle name="Currency 3 2 2 2 6 2 3" xfId="21111" xr:uid="{D9E94CE3-7A63-499F-81D6-1E488AC28106}"/>
    <cellStyle name="Currency 3 2 2 2 6 2 4" xfId="12663" xr:uid="{7F1F2896-28E9-403B-83AE-97E4FBCDC963}"/>
    <cellStyle name="Currency 3 2 2 2 6 3" xfId="6286" xr:uid="{00000000-0005-0000-0000-0000CE0A0000}"/>
    <cellStyle name="Currency 3 2 2 2 6 3 2" xfId="23184" xr:uid="{26BE1665-CFA4-4092-A809-CBB97FB83DCE}"/>
    <cellStyle name="Currency 3 2 2 2 6 3 3" xfId="14736" xr:uid="{36F27D3A-90C6-4F41-903F-00BE75B074C1}"/>
    <cellStyle name="Currency 3 2 2 2 6 4" xfId="18966" xr:uid="{39B4A5B7-5988-46DB-8ED9-76958EED7243}"/>
    <cellStyle name="Currency 3 2 2 2 6 5" xfId="10518" xr:uid="{6388F110-83C4-405E-92A1-68253EC8220B}"/>
    <cellStyle name="Currency 3 2 2 2 7" xfId="2415" xr:uid="{00000000-0005-0000-0000-0000CF0A0000}"/>
    <cellStyle name="Currency 3 2 2 2 7 2" xfId="6699" xr:uid="{00000000-0005-0000-0000-0000D00A0000}"/>
    <cellStyle name="Currency 3 2 2 2 7 2 2" xfId="23597" xr:uid="{5F1AA26C-CD7A-4390-8445-88491F874BCA}"/>
    <cellStyle name="Currency 3 2 2 2 7 2 3" xfId="15149" xr:uid="{9680807D-9CCE-43AA-A765-32729E2E5B36}"/>
    <cellStyle name="Currency 3 2 2 2 7 3" xfId="19379" xr:uid="{84482F19-B6EE-4776-8584-5A5504A810C5}"/>
    <cellStyle name="Currency 3 2 2 2 7 4" xfId="10931" xr:uid="{91A94877-2D8C-4B7A-8C0C-66D3085DEF99}"/>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23914" xr:uid="{9D28A10C-BC79-40D3-89D9-DC96EA26DE9D}"/>
    <cellStyle name="Currency 3 2 2 2 9 2 3" xfId="15466" xr:uid="{E4723588-B597-44C8-8BC3-8B182D93109F}"/>
    <cellStyle name="Currency 3 2 2 2 9 3" xfId="19696" xr:uid="{9C2B75BE-08BA-495D-8903-287183EEF7A9}"/>
    <cellStyle name="Currency 3 2 2 2 9 4" xfId="11248" xr:uid="{D3A43D9F-95B9-44C6-A563-E69FCF5CBD7E}"/>
    <cellStyle name="Currency 3 2 2 3" xfId="181" xr:uid="{00000000-0005-0000-0000-0000D40A0000}"/>
    <cellStyle name="Currency 3 2 2 3 10" xfId="17315" xr:uid="{9ADC738B-5283-4A7B-90A0-D37F09B58807}"/>
    <cellStyle name="Currency 3 2 2 3 11" xfId="8867" xr:uid="{5C58EC27-551A-4A01-993C-36F6A95F31E9}"/>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24092" xr:uid="{36E40463-5B12-493F-A916-5F2EF4ED79C5}"/>
    <cellStyle name="Currency 3 2 2 3 2 2 2 3" xfId="15644" xr:uid="{F46F6D9A-16DB-4130-8784-82888DE6DDBB}"/>
    <cellStyle name="Currency 3 2 2 3 2 2 3" xfId="19874" xr:uid="{B0470609-BCD1-4E31-BAE4-A9CB1901B577}"/>
    <cellStyle name="Currency 3 2 2 3 2 2 4" xfId="11426" xr:uid="{8AEE556B-C8E4-4757-B726-0BC274FC8FB3}"/>
    <cellStyle name="Currency 3 2 2 3 2 3" xfId="5049" xr:uid="{00000000-0005-0000-0000-0000D80A0000}"/>
    <cellStyle name="Currency 3 2 2 3 2 3 2" xfId="21947" xr:uid="{67637B70-6F4D-421B-8902-3C1551F820EB}"/>
    <cellStyle name="Currency 3 2 2 3 2 3 3" xfId="13499" xr:uid="{DF756F96-741D-4E3D-930F-C257F6373719}"/>
    <cellStyle name="Currency 3 2 2 3 2 4" xfId="17729" xr:uid="{6A4DFA0A-A48F-44F9-BAA0-CE3E7C373F10}"/>
    <cellStyle name="Currency 3 2 2 3 2 5" xfId="9281" xr:uid="{692680B9-B9DA-44DE-AE8C-CC19EB2978D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24505" xr:uid="{A393ECF3-87AD-4E10-B3E4-9F0F66CDCF44}"/>
    <cellStyle name="Currency 3 2 2 3 3 2 2 3" xfId="16057" xr:uid="{52CDF6D8-3E04-4ABA-B06A-7EA976F94DD0}"/>
    <cellStyle name="Currency 3 2 2 3 3 2 3" xfId="20287" xr:uid="{895977FC-ED4F-404C-A5F2-BDDCC133A9C4}"/>
    <cellStyle name="Currency 3 2 2 3 3 2 4" xfId="11839" xr:uid="{146325D6-43FA-4D09-991B-C965C65B5C9F}"/>
    <cellStyle name="Currency 3 2 2 3 3 3" xfId="5462" xr:uid="{00000000-0005-0000-0000-0000DC0A0000}"/>
    <cellStyle name="Currency 3 2 2 3 3 3 2" xfId="22360" xr:uid="{F04CE8B7-2B67-4EC1-AE59-DB0B34965814}"/>
    <cellStyle name="Currency 3 2 2 3 3 3 3" xfId="13912" xr:uid="{F38ED3EB-6F7C-4408-A8E5-17B4E199EC8E}"/>
    <cellStyle name="Currency 3 2 2 3 3 4" xfId="18142" xr:uid="{BEE43682-BCA4-4777-A161-3C406A661887}"/>
    <cellStyle name="Currency 3 2 2 3 3 5" xfId="9694" xr:uid="{9FB526E8-DB0D-403F-95F3-195C813E3909}"/>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24918" xr:uid="{A6BF50B0-7C0E-49DF-8BB9-37F9355F6D69}"/>
    <cellStyle name="Currency 3 2 2 3 4 2 2 3" xfId="16470" xr:uid="{0D5F05FD-82E3-4472-86E0-84074D273A07}"/>
    <cellStyle name="Currency 3 2 2 3 4 2 3" xfId="20700" xr:uid="{D9C20300-C018-4559-8228-CCEFB4FFACB5}"/>
    <cellStyle name="Currency 3 2 2 3 4 2 4" xfId="12252" xr:uid="{8530FF99-200F-4665-885A-A7E35F4254FB}"/>
    <cellStyle name="Currency 3 2 2 3 4 3" xfId="5875" xr:uid="{00000000-0005-0000-0000-0000E00A0000}"/>
    <cellStyle name="Currency 3 2 2 3 4 3 2" xfId="22773" xr:uid="{CF46CD32-DE7C-4F9A-A07F-36DFF2176167}"/>
    <cellStyle name="Currency 3 2 2 3 4 3 3" xfId="14325" xr:uid="{C475244D-D596-41A7-AD2C-178EC9336E6B}"/>
    <cellStyle name="Currency 3 2 2 3 4 4" xfId="18555" xr:uid="{29659CF4-9C05-4240-9577-A44AF6245A90}"/>
    <cellStyle name="Currency 3 2 2 3 4 5" xfId="10107" xr:uid="{072F7C65-DBCA-45CF-B4D7-E923AB8B0FB3}"/>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25331" xr:uid="{81C02434-DD70-43D8-A05B-7AEE343F4D64}"/>
    <cellStyle name="Currency 3 2 2 3 5 2 2 3" xfId="16883" xr:uid="{2A4E2664-5D76-4D83-8ED1-25153E343573}"/>
    <cellStyle name="Currency 3 2 2 3 5 2 3" xfId="21113" xr:uid="{AD6EF1C6-F116-4CE6-B4D1-CA72DB106F16}"/>
    <cellStyle name="Currency 3 2 2 3 5 2 4" xfId="12665" xr:uid="{9B2B89AE-AC94-4544-BDD2-02805308AD3E}"/>
    <cellStyle name="Currency 3 2 2 3 5 3" xfId="6288" xr:uid="{00000000-0005-0000-0000-0000E40A0000}"/>
    <cellStyle name="Currency 3 2 2 3 5 3 2" xfId="23186" xr:uid="{4C1F1876-15DC-47C3-B4E3-474A12E5B716}"/>
    <cellStyle name="Currency 3 2 2 3 5 3 3" xfId="14738" xr:uid="{220030B5-296F-4759-BE7A-5967AD88C6C0}"/>
    <cellStyle name="Currency 3 2 2 3 5 4" xfId="18968" xr:uid="{B68CA93E-21DC-46FB-99CB-5E0E1FA3BE90}"/>
    <cellStyle name="Currency 3 2 2 3 5 5" xfId="10520" xr:uid="{11A1FE9C-45BF-4379-B155-96F38F0AA0D9}"/>
    <cellStyle name="Currency 3 2 2 3 6" xfId="2417" xr:uid="{00000000-0005-0000-0000-0000E50A0000}"/>
    <cellStyle name="Currency 3 2 2 3 6 2" xfId="6701" xr:uid="{00000000-0005-0000-0000-0000E60A0000}"/>
    <cellStyle name="Currency 3 2 2 3 6 2 2" xfId="23599" xr:uid="{1FE077E5-4A43-49B9-B9DB-D8D8D76D1317}"/>
    <cellStyle name="Currency 3 2 2 3 6 2 3" xfId="15151" xr:uid="{75CFFE3E-2E60-4F63-8585-C14964B0127D}"/>
    <cellStyle name="Currency 3 2 2 3 6 3" xfId="19381" xr:uid="{B3137489-77D8-4AD7-9130-A5B583BC96A5}"/>
    <cellStyle name="Currency 3 2 2 3 6 4" xfId="10933" xr:uid="{B1A5809A-B0BE-4AA2-ACCF-D39850A13427}"/>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23916" xr:uid="{F3965C63-F340-4BED-97DB-B0D0A2FA9739}"/>
    <cellStyle name="Currency 3 2 2 3 8 2 3" xfId="15468" xr:uid="{92FD3FB3-D2AD-4E1A-A733-6BB7506215C2}"/>
    <cellStyle name="Currency 3 2 2 3 8 3" xfId="19698" xr:uid="{BB6B932A-87F7-4F07-95F7-35F9F8A99DED}"/>
    <cellStyle name="Currency 3 2 2 3 8 4" xfId="11250" xr:uid="{DB224432-36C5-474D-BAB2-E03C7680A5A0}"/>
    <cellStyle name="Currency 3 2 2 3 9" xfId="4635" xr:uid="{00000000-0005-0000-0000-0000EA0A0000}"/>
    <cellStyle name="Currency 3 2 2 3 9 2" xfId="21533" xr:uid="{12666325-0FBF-49B1-9D77-60F6F16FE578}"/>
    <cellStyle name="Currency 3 2 2 3 9 3" xfId="13085" xr:uid="{DE1466B0-C24E-4A7C-BC77-393B9442ECDB}"/>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24089" xr:uid="{FA6799C5-F242-4A0A-83FA-B6B0F00C765F}"/>
    <cellStyle name="Currency 3 2 2 4 2 2 3" xfId="15641" xr:uid="{80C6BD05-B3FD-454F-83A6-72C3A1A3D4EB}"/>
    <cellStyle name="Currency 3 2 2 4 2 3" xfId="19871" xr:uid="{50A3CB48-A570-4533-A63E-8E9FDB496078}"/>
    <cellStyle name="Currency 3 2 2 4 2 4" xfId="11423" xr:uid="{42F47DF5-B541-4105-B1A0-4A285198C8AA}"/>
    <cellStyle name="Currency 3 2 2 4 3" xfId="5046" xr:uid="{00000000-0005-0000-0000-0000EE0A0000}"/>
    <cellStyle name="Currency 3 2 2 4 3 2" xfId="21944" xr:uid="{DDC7BFC3-C216-4B52-AF50-9BCEBD54A351}"/>
    <cellStyle name="Currency 3 2 2 4 3 3" xfId="13496" xr:uid="{D6709386-29B0-49D7-96CC-7A82F0126583}"/>
    <cellStyle name="Currency 3 2 2 4 4" xfId="17726" xr:uid="{F88F4303-7375-4171-BF1F-A1969FB16A35}"/>
    <cellStyle name="Currency 3 2 2 4 5" xfId="9278" xr:uid="{287B8A69-2C32-496C-A9E6-4C06490962A3}"/>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24502" xr:uid="{90D466AA-C6F1-47A2-9700-F6D15CE8BF4C}"/>
    <cellStyle name="Currency 3 2 2 5 2 2 3" xfId="16054" xr:uid="{BC7582E7-2DBB-4BDC-8526-EED4238DA21A}"/>
    <cellStyle name="Currency 3 2 2 5 2 3" xfId="20284" xr:uid="{B811F83A-F164-4CD7-BCEF-68427A1D7706}"/>
    <cellStyle name="Currency 3 2 2 5 2 4" xfId="11836" xr:uid="{96EBDD48-A810-4AAC-B856-A3C5B68574FE}"/>
    <cellStyle name="Currency 3 2 2 5 3" xfId="5459" xr:uid="{00000000-0005-0000-0000-0000F20A0000}"/>
    <cellStyle name="Currency 3 2 2 5 3 2" xfId="22357" xr:uid="{0E97FF66-EA53-4A6C-96E9-61B14D9BFA3C}"/>
    <cellStyle name="Currency 3 2 2 5 3 3" xfId="13909" xr:uid="{5F643AC8-99E6-4DA2-BDCB-F2954C4DF708}"/>
    <cellStyle name="Currency 3 2 2 5 4" xfId="18139" xr:uid="{CF237EA8-0B94-49AB-8ECC-1765C95EB684}"/>
    <cellStyle name="Currency 3 2 2 5 5" xfId="9691" xr:uid="{F6E57425-C28F-4E6F-A894-8128CF81E4C5}"/>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24915" xr:uid="{15E1DF59-BF50-4434-A902-B6F50F79EC58}"/>
    <cellStyle name="Currency 3 2 2 6 2 2 3" xfId="16467" xr:uid="{C9562E24-EE45-4C30-9B6D-9901CDE5AE9B}"/>
    <cellStyle name="Currency 3 2 2 6 2 3" xfId="20697" xr:uid="{CD23C322-015C-4399-864E-2702036B4439}"/>
    <cellStyle name="Currency 3 2 2 6 2 4" xfId="12249" xr:uid="{636A4943-E6EA-4C80-B768-1348CB0E96FF}"/>
    <cellStyle name="Currency 3 2 2 6 3" xfId="5872" xr:uid="{00000000-0005-0000-0000-0000F60A0000}"/>
    <cellStyle name="Currency 3 2 2 6 3 2" xfId="22770" xr:uid="{4BB11F02-2A40-452C-AF5A-50430A27011F}"/>
    <cellStyle name="Currency 3 2 2 6 3 3" xfId="14322" xr:uid="{C25F5D3D-DD84-4743-976F-76C3E8156994}"/>
    <cellStyle name="Currency 3 2 2 6 4" xfId="18552" xr:uid="{BF8CCA3B-E031-4FA3-8499-4EF37E97A5FF}"/>
    <cellStyle name="Currency 3 2 2 6 5" xfId="10104" xr:uid="{4C94E3C5-8CDA-47EA-B08A-389BF831EE4E}"/>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25328" xr:uid="{A90F49E9-48A7-46E7-AD56-982439AD7FAB}"/>
    <cellStyle name="Currency 3 2 2 7 2 2 3" xfId="16880" xr:uid="{DD919427-570E-48B7-BC0A-20C49065044B}"/>
    <cellStyle name="Currency 3 2 2 7 2 3" xfId="21110" xr:uid="{71D6FFA7-D0E9-4A2A-B3E6-D804E34E2D68}"/>
    <cellStyle name="Currency 3 2 2 7 2 4" xfId="12662" xr:uid="{292F2003-7B4C-444B-AE53-550952C39E08}"/>
    <cellStyle name="Currency 3 2 2 7 3" xfId="6285" xr:uid="{00000000-0005-0000-0000-0000FA0A0000}"/>
    <cellStyle name="Currency 3 2 2 7 3 2" xfId="23183" xr:uid="{CA7F3214-A710-4D17-98A7-7962A41C8075}"/>
    <cellStyle name="Currency 3 2 2 7 3 3" xfId="14735" xr:uid="{4D5EB763-A559-4F9D-B688-17D26B024F39}"/>
    <cellStyle name="Currency 3 2 2 7 4" xfId="18965" xr:uid="{E6EF32B1-B8D5-4330-ABD5-778E3FA80447}"/>
    <cellStyle name="Currency 3 2 2 7 5" xfId="10517" xr:uid="{2EEFE6D7-2949-4FCC-97D6-02B525A95DC2}"/>
    <cellStyle name="Currency 3 2 2 8" xfId="2414" xr:uid="{00000000-0005-0000-0000-0000FB0A0000}"/>
    <cellStyle name="Currency 3 2 2 8 2" xfId="6698" xr:uid="{00000000-0005-0000-0000-0000FC0A0000}"/>
    <cellStyle name="Currency 3 2 2 8 2 2" xfId="23596" xr:uid="{B23974E2-33D5-4DFE-B27F-CEAD81ADB151}"/>
    <cellStyle name="Currency 3 2 2 8 2 3" xfId="15148" xr:uid="{93054B42-33B0-49A9-9857-07759BE7264F}"/>
    <cellStyle name="Currency 3 2 2 8 3" xfId="19378" xr:uid="{9B233EF0-47D3-4D8F-8C3B-BE6487324D82}"/>
    <cellStyle name="Currency 3 2 2 8 4" xfId="10930" xr:uid="{3661D58F-6884-456C-92B7-8E912F5F0DFE}"/>
    <cellStyle name="Currency 3 2 2 9" xfId="2711" xr:uid="{00000000-0005-0000-0000-0000FD0A0000}"/>
    <cellStyle name="Currency 3 2 3" xfId="182" xr:uid="{00000000-0005-0000-0000-0000FE0A0000}"/>
    <cellStyle name="Currency 3 2 3 10" xfId="4636" xr:uid="{00000000-0005-0000-0000-0000FF0A0000}"/>
    <cellStyle name="Currency 3 2 3 10 2" xfId="21534" xr:uid="{93934590-F4AD-487B-A846-19F0BBDD5D53}"/>
    <cellStyle name="Currency 3 2 3 10 3" xfId="13086" xr:uid="{EC777ED1-3D1A-4CE7-BBEC-017388C95550}"/>
    <cellStyle name="Currency 3 2 3 11" xfId="17316" xr:uid="{A2010E9D-FA43-421C-BFE4-453BE5CCCD71}"/>
    <cellStyle name="Currency 3 2 3 12" xfId="8868" xr:uid="{3BFAE94B-836B-43B3-A30F-81BBE8434192}"/>
    <cellStyle name="Currency 3 2 3 2" xfId="183" xr:uid="{00000000-0005-0000-0000-0000000B0000}"/>
    <cellStyle name="Currency 3 2 3 2 10" xfId="17317" xr:uid="{C7B1E08F-E276-4898-B6EA-160937EC980C}"/>
    <cellStyle name="Currency 3 2 3 2 11" xfId="8869" xr:uid="{12AF98E8-FD7E-4ACD-BA6E-E7A2F39320AC}"/>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24094" xr:uid="{91237DA7-7A63-481E-AB89-135E7D4A0D25}"/>
    <cellStyle name="Currency 3 2 3 2 2 2 2 3" xfId="15646" xr:uid="{5D951DE5-A78A-4A25-9099-D4ED7A868525}"/>
    <cellStyle name="Currency 3 2 3 2 2 2 3" xfId="19876" xr:uid="{441F3E31-81D3-4E10-BEF7-D71C96F067BE}"/>
    <cellStyle name="Currency 3 2 3 2 2 2 4" xfId="11428" xr:uid="{19529B16-7E2E-447F-B8D3-7771FC870E9C}"/>
    <cellStyle name="Currency 3 2 3 2 2 3" xfId="5051" xr:uid="{00000000-0005-0000-0000-0000040B0000}"/>
    <cellStyle name="Currency 3 2 3 2 2 3 2" xfId="21949" xr:uid="{DDFAB99F-3727-440B-AC7B-1822117EF6F8}"/>
    <cellStyle name="Currency 3 2 3 2 2 3 3" xfId="13501" xr:uid="{81C391F3-8B33-466E-AAA3-352B5AAAF9EA}"/>
    <cellStyle name="Currency 3 2 3 2 2 4" xfId="17731" xr:uid="{2D4826B3-0229-4A9A-BDF1-6A8A0B79B724}"/>
    <cellStyle name="Currency 3 2 3 2 2 5" xfId="9283" xr:uid="{5910869B-FC5A-43A6-93A4-4E9CA60A8833}"/>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24507" xr:uid="{03117573-BC61-4FA8-B387-9675F5F96EE3}"/>
    <cellStyle name="Currency 3 2 3 2 3 2 2 3" xfId="16059" xr:uid="{DF09AD58-00B4-4E30-9533-1B6A1CC2E842}"/>
    <cellStyle name="Currency 3 2 3 2 3 2 3" xfId="20289" xr:uid="{F2E357E8-7E9A-47A8-8FC1-C9ABA2802095}"/>
    <cellStyle name="Currency 3 2 3 2 3 2 4" xfId="11841" xr:uid="{F201FD56-C9BA-4D15-87E5-E15824525EFB}"/>
    <cellStyle name="Currency 3 2 3 2 3 3" xfId="5464" xr:uid="{00000000-0005-0000-0000-0000080B0000}"/>
    <cellStyle name="Currency 3 2 3 2 3 3 2" xfId="22362" xr:uid="{38D51689-4D55-4A73-90EB-76336526B888}"/>
    <cellStyle name="Currency 3 2 3 2 3 3 3" xfId="13914" xr:uid="{377D550D-0AA5-4DC3-A95A-EC642EEEE61F}"/>
    <cellStyle name="Currency 3 2 3 2 3 4" xfId="18144" xr:uid="{FB6A4D71-6B02-491A-BA32-ED235CC7E82C}"/>
    <cellStyle name="Currency 3 2 3 2 3 5" xfId="9696" xr:uid="{79AA1EA2-42AF-430F-B295-5A13FDECE858}"/>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24920" xr:uid="{67D7E788-CFA3-4410-9B43-A1A03B5DE084}"/>
    <cellStyle name="Currency 3 2 3 2 4 2 2 3" xfId="16472" xr:uid="{F989F21D-9541-4485-AED2-63BDB028B276}"/>
    <cellStyle name="Currency 3 2 3 2 4 2 3" xfId="20702" xr:uid="{DFDC3E6B-EF44-4A84-8AA4-E70247C39D6C}"/>
    <cellStyle name="Currency 3 2 3 2 4 2 4" xfId="12254" xr:uid="{78A18518-0BBE-42C4-B67E-3DBB1D677843}"/>
    <cellStyle name="Currency 3 2 3 2 4 3" xfId="5877" xr:uid="{00000000-0005-0000-0000-00000C0B0000}"/>
    <cellStyle name="Currency 3 2 3 2 4 3 2" xfId="22775" xr:uid="{FE94035C-AF0B-41BA-BA53-2329A9586189}"/>
    <cellStyle name="Currency 3 2 3 2 4 3 3" xfId="14327" xr:uid="{4C6A4595-FD95-4ACD-8C97-53765DBCF94D}"/>
    <cellStyle name="Currency 3 2 3 2 4 4" xfId="18557" xr:uid="{D0826B9D-4AA6-464B-983F-14354467E542}"/>
    <cellStyle name="Currency 3 2 3 2 4 5" xfId="10109" xr:uid="{6A029607-6A74-407E-ACAD-CD1FEA3CB381}"/>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25333" xr:uid="{5A8B46AF-08B6-4F39-B60B-CF37B439B312}"/>
    <cellStyle name="Currency 3 2 3 2 5 2 2 3" xfId="16885" xr:uid="{19EFF103-5316-4FA5-8210-CBA7ABD62C5B}"/>
    <cellStyle name="Currency 3 2 3 2 5 2 3" xfId="21115" xr:uid="{13873594-E987-47F7-B1C5-86431975DC57}"/>
    <cellStyle name="Currency 3 2 3 2 5 2 4" xfId="12667" xr:uid="{8E0850D8-20AC-443A-8879-18FC48E785FB}"/>
    <cellStyle name="Currency 3 2 3 2 5 3" xfId="6290" xr:uid="{00000000-0005-0000-0000-0000100B0000}"/>
    <cellStyle name="Currency 3 2 3 2 5 3 2" xfId="23188" xr:uid="{E5190E66-C31C-4FA2-AFF0-240285AFCBDE}"/>
    <cellStyle name="Currency 3 2 3 2 5 3 3" xfId="14740" xr:uid="{F178412E-E302-411C-9873-F588F1C536BF}"/>
    <cellStyle name="Currency 3 2 3 2 5 4" xfId="18970" xr:uid="{E3F3FA80-1E8E-4DD0-A1CC-99112D4129F5}"/>
    <cellStyle name="Currency 3 2 3 2 5 5" xfId="10522" xr:uid="{58EB83CC-096C-4538-AA9F-09351EA622DA}"/>
    <cellStyle name="Currency 3 2 3 2 6" xfId="2419" xr:uid="{00000000-0005-0000-0000-0000110B0000}"/>
    <cellStyle name="Currency 3 2 3 2 6 2" xfId="6703" xr:uid="{00000000-0005-0000-0000-0000120B0000}"/>
    <cellStyle name="Currency 3 2 3 2 6 2 2" xfId="23601" xr:uid="{B47687F1-C3C5-499B-A55A-E1C8010A418C}"/>
    <cellStyle name="Currency 3 2 3 2 6 2 3" xfId="15153" xr:uid="{DAF5162F-725C-4F85-9427-C2CBFC899CB9}"/>
    <cellStyle name="Currency 3 2 3 2 6 3" xfId="19383" xr:uid="{8F75D99F-C2A7-4C92-91F6-156B87F5CA63}"/>
    <cellStyle name="Currency 3 2 3 2 6 4" xfId="10935" xr:uid="{0D0D0091-93C3-4535-BF2A-CEB043CE1C9D}"/>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23918" xr:uid="{298783CB-CDB7-4CA7-BF3E-33BEFFDE9E05}"/>
    <cellStyle name="Currency 3 2 3 2 8 2 3" xfId="15470" xr:uid="{031C7020-3ECD-4D28-9A41-17C9CD92F197}"/>
    <cellStyle name="Currency 3 2 3 2 8 3" xfId="19700" xr:uid="{6177DC0C-593B-4EC9-9EFC-ED75837D798C}"/>
    <cellStyle name="Currency 3 2 3 2 8 4" xfId="11252" xr:uid="{65C41A19-7B8D-40CA-8D88-80BCC91A9003}"/>
    <cellStyle name="Currency 3 2 3 2 9" xfId="4637" xr:uid="{00000000-0005-0000-0000-0000160B0000}"/>
    <cellStyle name="Currency 3 2 3 2 9 2" xfId="21535" xr:uid="{3CDFF567-A16F-4AAA-B595-591CCAB057EE}"/>
    <cellStyle name="Currency 3 2 3 2 9 3" xfId="13087" xr:uid="{D1FFB74D-50A7-4CBB-9E06-26CE4E74F3F7}"/>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24093" xr:uid="{AA42AE1A-A226-490C-8A1D-9739676C9DC1}"/>
    <cellStyle name="Currency 3 2 3 3 2 2 3" xfId="15645" xr:uid="{958ED270-1473-4511-A265-0033BE9577A2}"/>
    <cellStyle name="Currency 3 2 3 3 2 3" xfId="19875" xr:uid="{E5A4B956-E41D-4C8B-A533-34F94FF18C43}"/>
    <cellStyle name="Currency 3 2 3 3 2 4" xfId="11427" xr:uid="{FFAF9D7A-9E9C-469C-9FB0-7C4D9AF5DCC9}"/>
    <cellStyle name="Currency 3 2 3 3 3" xfId="5050" xr:uid="{00000000-0005-0000-0000-00001A0B0000}"/>
    <cellStyle name="Currency 3 2 3 3 3 2" xfId="21948" xr:uid="{192DB7FA-6D8E-4291-8FD4-BD4E226FFEB4}"/>
    <cellStyle name="Currency 3 2 3 3 3 3" xfId="13500" xr:uid="{C70C7311-7923-4A96-8ACB-94756B4A74F6}"/>
    <cellStyle name="Currency 3 2 3 3 4" xfId="17730" xr:uid="{D0FA2EED-5243-437F-B892-49B65A047BCD}"/>
    <cellStyle name="Currency 3 2 3 3 5" xfId="9282" xr:uid="{4557C08D-2D32-42CD-8771-46DEC3DE96B2}"/>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24506" xr:uid="{33CF85A3-3E6A-430E-8A16-595D0CAAE89E}"/>
    <cellStyle name="Currency 3 2 3 4 2 2 3" xfId="16058" xr:uid="{0093B6A5-2BCB-4FB9-B2E5-2A8983A1B2B1}"/>
    <cellStyle name="Currency 3 2 3 4 2 3" xfId="20288" xr:uid="{C36D8913-8154-4175-A02F-BAE216BB7765}"/>
    <cellStyle name="Currency 3 2 3 4 2 4" xfId="11840" xr:uid="{4BFBB691-184A-465E-BDA4-A050F71A5F7E}"/>
    <cellStyle name="Currency 3 2 3 4 3" xfId="5463" xr:uid="{00000000-0005-0000-0000-00001E0B0000}"/>
    <cellStyle name="Currency 3 2 3 4 3 2" xfId="22361" xr:uid="{174F10A0-D38C-40D0-A33D-E33A5AF7A5F0}"/>
    <cellStyle name="Currency 3 2 3 4 3 3" xfId="13913" xr:uid="{CDDD642C-65B2-453A-8315-7E6A6C4F5AE8}"/>
    <cellStyle name="Currency 3 2 3 4 4" xfId="18143" xr:uid="{3F1678B3-EE35-42FA-8CF5-40E3911E3F02}"/>
    <cellStyle name="Currency 3 2 3 4 5" xfId="9695" xr:uid="{4AADF017-7669-4E0F-B11D-2A503FB91747}"/>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24919" xr:uid="{3BE93295-4EC3-4AC7-A3F3-08F72CDBB430}"/>
    <cellStyle name="Currency 3 2 3 5 2 2 3" xfId="16471" xr:uid="{F54B8845-1249-4439-AD2C-E846DE2B9461}"/>
    <cellStyle name="Currency 3 2 3 5 2 3" xfId="20701" xr:uid="{04FE29A2-1578-4F7D-B02B-3D5B7863C745}"/>
    <cellStyle name="Currency 3 2 3 5 2 4" xfId="12253" xr:uid="{BC80DFF8-E6DB-4ED5-82FC-DDB00592C9BE}"/>
    <cellStyle name="Currency 3 2 3 5 3" xfId="5876" xr:uid="{00000000-0005-0000-0000-0000220B0000}"/>
    <cellStyle name="Currency 3 2 3 5 3 2" xfId="22774" xr:uid="{E403C823-0523-480E-BB99-D408C6624B57}"/>
    <cellStyle name="Currency 3 2 3 5 3 3" xfId="14326" xr:uid="{B646A4AD-44A5-4AE1-A739-0E40EE596797}"/>
    <cellStyle name="Currency 3 2 3 5 4" xfId="18556" xr:uid="{A0383703-A311-418E-8B59-5C2348B285BD}"/>
    <cellStyle name="Currency 3 2 3 5 5" xfId="10108" xr:uid="{B2FFED97-81ED-40CA-9E5D-DD8AF449C037}"/>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25332" xr:uid="{0AFD247D-B806-45FE-9C3C-F828CDB9F375}"/>
    <cellStyle name="Currency 3 2 3 6 2 2 3" xfId="16884" xr:uid="{CA8FBA6B-351A-4622-9A13-ADFDF553A8A7}"/>
    <cellStyle name="Currency 3 2 3 6 2 3" xfId="21114" xr:uid="{9936ABA6-D8F4-4EFB-B9DA-808D911F787B}"/>
    <cellStyle name="Currency 3 2 3 6 2 4" xfId="12666" xr:uid="{D8831C63-F326-4541-9D1A-D1EAE2694242}"/>
    <cellStyle name="Currency 3 2 3 6 3" xfId="6289" xr:uid="{00000000-0005-0000-0000-0000260B0000}"/>
    <cellStyle name="Currency 3 2 3 6 3 2" xfId="23187" xr:uid="{856DDBD8-915D-4BE1-B430-6CC66C4961CF}"/>
    <cellStyle name="Currency 3 2 3 6 3 3" xfId="14739" xr:uid="{91218D60-5989-4671-8520-0AAF4BD085C5}"/>
    <cellStyle name="Currency 3 2 3 6 4" xfId="18969" xr:uid="{1CC0DA51-7317-4B4D-A694-4770DD8EBD32}"/>
    <cellStyle name="Currency 3 2 3 6 5" xfId="10521" xr:uid="{9373855B-E6EE-406A-8795-F5BF85973713}"/>
    <cellStyle name="Currency 3 2 3 7" xfId="2418" xr:uid="{00000000-0005-0000-0000-0000270B0000}"/>
    <cellStyle name="Currency 3 2 3 7 2" xfId="6702" xr:uid="{00000000-0005-0000-0000-0000280B0000}"/>
    <cellStyle name="Currency 3 2 3 7 2 2" xfId="23600" xr:uid="{19B89358-24A5-4044-BDCB-EDC83124F8FA}"/>
    <cellStyle name="Currency 3 2 3 7 2 3" xfId="15152" xr:uid="{A39289DD-6EC8-4E0D-B521-CE8F35C9E295}"/>
    <cellStyle name="Currency 3 2 3 7 3" xfId="19382" xr:uid="{0C3F08FA-655E-41B6-81E5-10FF1ABFC55C}"/>
    <cellStyle name="Currency 3 2 3 7 4" xfId="10934" xr:uid="{47E7B8CB-427F-4115-897B-EF976522562F}"/>
    <cellStyle name="Currency 3 2 3 8" xfId="2715" xr:uid="{00000000-0005-0000-0000-0000290B0000}"/>
    <cellStyle name="Currency 3 2 3 9" xfId="2796" xr:uid="{00000000-0005-0000-0000-00002A0B0000}"/>
    <cellStyle name="Currency 3 2 3 9 2" xfId="7019" xr:uid="{00000000-0005-0000-0000-00002B0B0000}"/>
    <cellStyle name="Currency 3 2 3 9 2 2" xfId="23917" xr:uid="{197196E6-1D61-4ACE-9C42-6DFF48979DC5}"/>
    <cellStyle name="Currency 3 2 3 9 2 3" xfId="15469" xr:uid="{FC7515A3-EFF8-4378-B061-99DD3AFD27BB}"/>
    <cellStyle name="Currency 3 2 3 9 3" xfId="19699" xr:uid="{C88CE343-73B3-4490-AB10-18B68676AE95}"/>
    <cellStyle name="Currency 3 2 3 9 4" xfId="11251" xr:uid="{C206B66F-AC2C-4A9E-8D66-B2F9610E4F47}"/>
    <cellStyle name="Currency 3 2 4" xfId="184" xr:uid="{00000000-0005-0000-0000-00002C0B0000}"/>
    <cellStyle name="Currency 3 2 4 10" xfId="17318" xr:uid="{C8969A98-8F1D-432C-B090-354596450AB5}"/>
    <cellStyle name="Currency 3 2 4 11" xfId="8870" xr:uid="{ECE04935-F8F0-435E-8586-405109BA8C5D}"/>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24095" xr:uid="{80FB7215-3EF3-468F-85D6-06F59CBC1A06}"/>
    <cellStyle name="Currency 3 2 4 2 2 2 3" xfId="15647" xr:uid="{37E814EC-7431-45D6-90C6-3344D06EF3C8}"/>
    <cellStyle name="Currency 3 2 4 2 2 3" xfId="19877" xr:uid="{A21C4C6B-F9E7-446D-881B-206BEFFB4845}"/>
    <cellStyle name="Currency 3 2 4 2 2 4" xfId="11429" xr:uid="{B26CCEE3-A238-4E31-B9CE-77486DE45925}"/>
    <cellStyle name="Currency 3 2 4 2 3" xfId="5052" xr:uid="{00000000-0005-0000-0000-0000300B0000}"/>
    <cellStyle name="Currency 3 2 4 2 3 2" xfId="21950" xr:uid="{97CC4D60-2D12-4E16-B6D1-74F8DDE044AB}"/>
    <cellStyle name="Currency 3 2 4 2 3 3" xfId="13502" xr:uid="{34E6B0BC-EB0F-4396-8E55-445067046244}"/>
    <cellStyle name="Currency 3 2 4 2 4" xfId="17732" xr:uid="{93EABB13-F1F7-425B-A4ED-50A7B09545F9}"/>
    <cellStyle name="Currency 3 2 4 2 5" xfId="9284" xr:uid="{E70662FB-B377-4897-B84D-97AB3A170486}"/>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24508" xr:uid="{5DF300FF-D945-4AED-ADAE-FB33A19C7FC3}"/>
    <cellStyle name="Currency 3 2 4 3 2 2 3" xfId="16060" xr:uid="{1CF1A33C-1EFD-4533-BFE6-4D533A3F1F10}"/>
    <cellStyle name="Currency 3 2 4 3 2 3" xfId="20290" xr:uid="{F190280D-0784-472F-8574-90A4E5BD2A61}"/>
    <cellStyle name="Currency 3 2 4 3 2 4" xfId="11842" xr:uid="{F2E87497-5167-4454-AE6A-3E96C41C7CFC}"/>
    <cellStyle name="Currency 3 2 4 3 3" xfId="5465" xr:uid="{00000000-0005-0000-0000-0000340B0000}"/>
    <cellStyle name="Currency 3 2 4 3 3 2" xfId="22363" xr:uid="{68857EB3-9017-44EA-BC9F-550914893F15}"/>
    <cellStyle name="Currency 3 2 4 3 3 3" xfId="13915" xr:uid="{083A3F61-66B1-4F97-90B0-09B7C14E1E49}"/>
    <cellStyle name="Currency 3 2 4 3 4" xfId="18145" xr:uid="{0D8DA6C4-8AB7-4830-85A1-094F06EA5550}"/>
    <cellStyle name="Currency 3 2 4 3 5" xfId="9697" xr:uid="{61BF9007-342A-4BC8-B031-2E83A6BDD556}"/>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24921" xr:uid="{BA114FA0-3C05-4CCC-94C4-E7034E397AF9}"/>
    <cellStyle name="Currency 3 2 4 4 2 2 3" xfId="16473" xr:uid="{601D2243-2CDD-459E-85D8-6CEACEE8E86E}"/>
    <cellStyle name="Currency 3 2 4 4 2 3" xfId="20703" xr:uid="{0C509F1C-AB57-4770-928D-FD4E1FB7BE57}"/>
    <cellStyle name="Currency 3 2 4 4 2 4" xfId="12255" xr:uid="{EA36E786-156E-4DB2-BD03-87E2CD956B06}"/>
    <cellStyle name="Currency 3 2 4 4 3" xfId="5878" xr:uid="{00000000-0005-0000-0000-0000380B0000}"/>
    <cellStyle name="Currency 3 2 4 4 3 2" xfId="22776" xr:uid="{6D56A35A-1B23-4AEC-B4D9-A1337CC7C4DC}"/>
    <cellStyle name="Currency 3 2 4 4 3 3" xfId="14328" xr:uid="{BCC658C0-30B2-4E1D-BD7D-A7598E2F1545}"/>
    <cellStyle name="Currency 3 2 4 4 4" xfId="18558" xr:uid="{4AB8BD2B-929F-4438-B829-AA727AA40508}"/>
    <cellStyle name="Currency 3 2 4 4 5" xfId="10110" xr:uid="{0742EA6D-D541-417D-8772-7CAFD9263B9B}"/>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25334" xr:uid="{86C514D3-BF9B-46A2-8932-8A25AAEA893B}"/>
    <cellStyle name="Currency 3 2 4 5 2 2 3" xfId="16886" xr:uid="{C5869B41-C1B1-4322-AE36-300DC29E32EE}"/>
    <cellStyle name="Currency 3 2 4 5 2 3" xfId="21116" xr:uid="{7FCC5E33-AD3B-4508-A0C9-FD19E36C1CFF}"/>
    <cellStyle name="Currency 3 2 4 5 2 4" xfId="12668" xr:uid="{D67CA292-4835-4234-9389-7BA9A3D893A6}"/>
    <cellStyle name="Currency 3 2 4 5 3" xfId="6291" xr:uid="{00000000-0005-0000-0000-00003C0B0000}"/>
    <cellStyle name="Currency 3 2 4 5 3 2" xfId="23189" xr:uid="{B43235CB-5C06-40FA-B87B-15BB24C63DB2}"/>
    <cellStyle name="Currency 3 2 4 5 3 3" xfId="14741" xr:uid="{BA78DECC-429D-4EA9-9625-5D17BFF40125}"/>
    <cellStyle name="Currency 3 2 4 5 4" xfId="18971" xr:uid="{B873B051-0B2C-49D3-935B-77BC3A3A7272}"/>
    <cellStyle name="Currency 3 2 4 5 5" xfId="10523" xr:uid="{DE4D8F2E-6690-4E2B-BC08-0E29FFD13F3D}"/>
    <cellStyle name="Currency 3 2 4 6" xfId="2420" xr:uid="{00000000-0005-0000-0000-00003D0B0000}"/>
    <cellStyle name="Currency 3 2 4 6 2" xfId="6704" xr:uid="{00000000-0005-0000-0000-00003E0B0000}"/>
    <cellStyle name="Currency 3 2 4 6 2 2" xfId="23602" xr:uid="{49A9CC46-3D10-41D3-892B-8875DBAAAC9B}"/>
    <cellStyle name="Currency 3 2 4 6 2 3" xfId="15154" xr:uid="{62E55617-1E93-41FD-B2DC-ACE068CB946C}"/>
    <cellStyle name="Currency 3 2 4 6 3" xfId="19384" xr:uid="{658D3C92-9C60-4B44-994B-79E139EB8BEF}"/>
    <cellStyle name="Currency 3 2 4 6 4" xfId="10936" xr:uid="{684F693F-6249-4AB6-AD9F-99985FDA3039}"/>
    <cellStyle name="Currency 3 2 4 7" xfId="2717" xr:uid="{00000000-0005-0000-0000-00003F0B0000}"/>
    <cellStyle name="Currency 3 2 4 8" xfId="2798" xr:uid="{00000000-0005-0000-0000-0000400B0000}"/>
    <cellStyle name="Currency 3 2 4 8 2" xfId="7021" xr:uid="{00000000-0005-0000-0000-0000410B0000}"/>
    <cellStyle name="Currency 3 2 4 8 2 2" xfId="23919" xr:uid="{B2665188-13F2-4F7D-B3F0-BA3443E14FC7}"/>
    <cellStyle name="Currency 3 2 4 8 2 3" xfId="15471" xr:uid="{B7304874-079D-470D-8A63-32658AEEB99A}"/>
    <cellStyle name="Currency 3 2 4 8 3" xfId="19701" xr:uid="{8E4CCFF5-3C8C-421C-9250-FDA31CE5CCE0}"/>
    <cellStyle name="Currency 3 2 4 8 4" xfId="11253" xr:uid="{E3687F60-E7B8-4766-A174-E2DFB995766C}"/>
    <cellStyle name="Currency 3 2 4 9" xfId="4638" xr:uid="{00000000-0005-0000-0000-0000420B0000}"/>
    <cellStyle name="Currency 3 2 4 9 2" xfId="21536" xr:uid="{049E6AB3-666E-4163-968B-0C3347A60C92}"/>
    <cellStyle name="Currency 3 2 4 9 3" xfId="13088" xr:uid="{12E79913-3A1B-4989-84DF-EC6F5E0A381B}"/>
    <cellStyle name="Currency 3 2 5" xfId="185" xr:uid="{00000000-0005-0000-0000-0000430B0000}"/>
    <cellStyle name="Currency 3 2 5 10" xfId="17319" xr:uid="{93876E06-350F-406D-9BE4-EBD8D8EB058C}"/>
    <cellStyle name="Currency 3 2 5 11" xfId="8871" xr:uid="{566D088C-AD81-4CCA-A07F-95A8A8650761}"/>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24096" xr:uid="{2A2AE175-698E-4786-B189-A9A7E353D037}"/>
    <cellStyle name="Currency 3 2 5 2 2 2 3" xfId="15648" xr:uid="{EE7DC866-B021-48F7-B0F4-51E530FF415B}"/>
    <cellStyle name="Currency 3 2 5 2 2 3" xfId="19878" xr:uid="{5B5631CC-B8BE-4BC4-858C-E5868BAEBE3D}"/>
    <cellStyle name="Currency 3 2 5 2 2 4" xfId="11430" xr:uid="{FE033D53-8AD2-4FBE-BE0F-F3604E3DC0E8}"/>
    <cellStyle name="Currency 3 2 5 2 3" xfId="5053" xr:uid="{00000000-0005-0000-0000-0000470B0000}"/>
    <cellStyle name="Currency 3 2 5 2 3 2" xfId="21951" xr:uid="{3726B1C3-BF0E-4541-9BFF-C1390DDA15AF}"/>
    <cellStyle name="Currency 3 2 5 2 3 3" xfId="13503" xr:uid="{B578D87D-4044-4EEA-A4AD-A62AF5C94808}"/>
    <cellStyle name="Currency 3 2 5 2 4" xfId="17733" xr:uid="{5257A65A-E45B-4E36-A1C6-69723DA2ED07}"/>
    <cellStyle name="Currency 3 2 5 2 5" xfId="9285" xr:uid="{2FC9E17F-B774-43DA-8E29-345D47F01737}"/>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24509" xr:uid="{A839C61B-F580-4B47-837D-0B8FB96D66F5}"/>
    <cellStyle name="Currency 3 2 5 3 2 2 3" xfId="16061" xr:uid="{F9897C73-E263-4CBE-B0C7-5C90B930AA4B}"/>
    <cellStyle name="Currency 3 2 5 3 2 3" xfId="20291" xr:uid="{BFBC636A-2BF7-487D-8D7C-B8A1FDA11CEE}"/>
    <cellStyle name="Currency 3 2 5 3 2 4" xfId="11843" xr:uid="{5FB7E9CF-F4CF-49BC-829C-77D136DA920E}"/>
    <cellStyle name="Currency 3 2 5 3 3" xfId="5466" xr:uid="{00000000-0005-0000-0000-00004B0B0000}"/>
    <cellStyle name="Currency 3 2 5 3 3 2" xfId="22364" xr:uid="{F959A3B2-5AC6-44E5-988B-FC1159A36985}"/>
    <cellStyle name="Currency 3 2 5 3 3 3" xfId="13916" xr:uid="{F1D224A0-9702-4891-8A29-FC460E71E21C}"/>
    <cellStyle name="Currency 3 2 5 3 4" xfId="18146" xr:uid="{AB810C3B-29AE-462B-BBEB-A108988ABAE4}"/>
    <cellStyle name="Currency 3 2 5 3 5" xfId="9698" xr:uid="{DEBFAB91-BADD-43E8-906E-1CF20FC2FAF4}"/>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24922" xr:uid="{2CE95DFA-1C44-4956-9207-173A0A86E1DC}"/>
    <cellStyle name="Currency 3 2 5 4 2 2 3" xfId="16474" xr:uid="{100FC2B3-1950-4976-8063-A4A3E2839D67}"/>
    <cellStyle name="Currency 3 2 5 4 2 3" xfId="20704" xr:uid="{315B05BD-93BD-4DC7-91C1-5B0704050FBA}"/>
    <cellStyle name="Currency 3 2 5 4 2 4" xfId="12256" xr:uid="{1CFEF049-59DA-4070-B449-87A1FBD9683F}"/>
    <cellStyle name="Currency 3 2 5 4 3" xfId="5879" xr:uid="{00000000-0005-0000-0000-00004F0B0000}"/>
    <cellStyle name="Currency 3 2 5 4 3 2" xfId="22777" xr:uid="{4DF78A50-C564-4E28-82FC-DEA56DCBED6D}"/>
    <cellStyle name="Currency 3 2 5 4 3 3" xfId="14329" xr:uid="{203B2B04-DAD9-428F-BA56-9CAB39E5A64B}"/>
    <cellStyle name="Currency 3 2 5 4 4" xfId="18559" xr:uid="{868E4559-6775-46C5-A3E4-B659A8AB11F0}"/>
    <cellStyle name="Currency 3 2 5 4 5" xfId="10111" xr:uid="{8085182B-22AD-40EF-B4E5-B7D30FE1FE9B}"/>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25335" xr:uid="{2FAEA419-4C41-4857-B4D0-4DBD6A0B303C}"/>
    <cellStyle name="Currency 3 2 5 5 2 2 3" xfId="16887" xr:uid="{88992BD5-734D-4C68-A01B-2D1181DDE1FC}"/>
    <cellStyle name="Currency 3 2 5 5 2 3" xfId="21117" xr:uid="{7AF0B47C-ED1A-4FDA-8F27-E93AA312AC47}"/>
    <cellStyle name="Currency 3 2 5 5 2 4" xfId="12669" xr:uid="{250EEDAB-D435-4061-AA2F-D9B4C76E07A3}"/>
    <cellStyle name="Currency 3 2 5 5 3" xfId="6292" xr:uid="{00000000-0005-0000-0000-0000530B0000}"/>
    <cellStyle name="Currency 3 2 5 5 3 2" xfId="23190" xr:uid="{5BC44049-BA03-44A6-910C-71EC7D29375E}"/>
    <cellStyle name="Currency 3 2 5 5 3 3" xfId="14742" xr:uid="{DD88B335-1D02-4765-B024-30D9AE6A5838}"/>
    <cellStyle name="Currency 3 2 5 5 4" xfId="18972" xr:uid="{AC829BDF-7B30-48D3-9279-CF60090A0ECF}"/>
    <cellStyle name="Currency 3 2 5 5 5" xfId="10524" xr:uid="{C0F3FBB4-270C-4978-B696-056F98CB86C5}"/>
    <cellStyle name="Currency 3 2 5 6" xfId="2421" xr:uid="{00000000-0005-0000-0000-0000540B0000}"/>
    <cellStyle name="Currency 3 2 5 6 2" xfId="6705" xr:uid="{00000000-0005-0000-0000-0000550B0000}"/>
    <cellStyle name="Currency 3 2 5 6 2 2" xfId="23603" xr:uid="{27E78D8A-0C6D-4B48-8E0A-0A3ADAFC99F5}"/>
    <cellStyle name="Currency 3 2 5 6 2 3" xfId="15155" xr:uid="{7EE23CC2-FE36-4298-B8DA-E084B5A02D20}"/>
    <cellStyle name="Currency 3 2 5 6 3" xfId="19385" xr:uid="{3CD23280-E382-4A7A-8EE5-0C84089EA320}"/>
    <cellStyle name="Currency 3 2 5 6 4" xfId="10937" xr:uid="{62DEBA6F-00A2-4DD9-BF6C-E7F425C1DDB7}"/>
    <cellStyle name="Currency 3 2 5 7" xfId="2718" xr:uid="{00000000-0005-0000-0000-0000560B0000}"/>
    <cellStyle name="Currency 3 2 5 8" xfId="2799" xr:uid="{00000000-0005-0000-0000-0000570B0000}"/>
    <cellStyle name="Currency 3 2 5 8 2" xfId="7022" xr:uid="{00000000-0005-0000-0000-0000580B0000}"/>
    <cellStyle name="Currency 3 2 5 8 2 2" xfId="23920" xr:uid="{81EF5B2B-D348-4A7C-824A-CD7D91A36F22}"/>
    <cellStyle name="Currency 3 2 5 8 2 3" xfId="15472" xr:uid="{B9660783-6139-4FF6-9249-3482737F19C0}"/>
    <cellStyle name="Currency 3 2 5 8 3" xfId="19702" xr:uid="{D17F814B-74D4-457B-91FA-C9B82E7E8815}"/>
    <cellStyle name="Currency 3 2 5 8 4" xfId="11254" xr:uid="{67AC4E57-5A8B-4E69-87C5-AEF1319BAE5A}"/>
    <cellStyle name="Currency 3 2 5 9" xfId="4639" xr:uid="{00000000-0005-0000-0000-0000590B0000}"/>
    <cellStyle name="Currency 3 2 5 9 2" xfId="21537" xr:uid="{7C67FE8C-4550-4349-ACE1-781FB92BE966}"/>
    <cellStyle name="Currency 3 2 5 9 3" xfId="13089" xr:uid="{F530C409-9B5F-4B92-BC99-89B26E2AA1BB}"/>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23921" xr:uid="{1397FFCD-74FF-4837-ABB6-C7BD057308DB}"/>
    <cellStyle name="Currency 5 2 2 2 10 2 3" xfId="15473" xr:uid="{5D1885F7-9A19-4658-8C63-9B83EF44EF64}"/>
    <cellStyle name="Currency 5 2 2 2 10 3" xfId="19703" xr:uid="{627BE392-FC8E-45C4-A8C8-B4FC0DACE1BA}"/>
    <cellStyle name="Currency 5 2 2 2 10 4" xfId="11255" xr:uid="{0271734E-FC6F-489D-87F8-7F51266FD6F2}"/>
    <cellStyle name="Currency 5 2 2 2 11" xfId="4640" xr:uid="{00000000-0005-0000-0000-00006C0B0000}"/>
    <cellStyle name="Currency 5 2 2 2 11 2" xfId="21538" xr:uid="{B67D7550-4337-432D-A391-2720BC5D387C}"/>
    <cellStyle name="Currency 5 2 2 2 11 3" xfId="13090" xr:uid="{A5975C64-4972-4B80-B0B1-216E8E96C10C}"/>
    <cellStyle name="Currency 5 2 2 2 12" xfId="17320" xr:uid="{71313F90-DA30-494E-8A89-1A77CA16D2DC}"/>
    <cellStyle name="Currency 5 2 2 2 13" xfId="8872" xr:uid="{554EFF29-D716-4D08-BD5A-3D6D256CA69B}"/>
    <cellStyle name="Currency 5 2 2 2 2" xfId="197" xr:uid="{00000000-0005-0000-0000-00006D0B0000}"/>
    <cellStyle name="Currency 5 2 2 2 2 10" xfId="4641" xr:uid="{00000000-0005-0000-0000-00006E0B0000}"/>
    <cellStyle name="Currency 5 2 2 2 2 10 2" xfId="21539" xr:uid="{0D63933B-82F8-4F21-859E-8971B2B618A0}"/>
    <cellStyle name="Currency 5 2 2 2 2 10 3" xfId="13091" xr:uid="{8D417107-E142-4C28-8EE3-6C86809DF7E1}"/>
    <cellStyle name="Currency 5 2 2 2 2 11" xfId="17321" xr:uid="{34ACFFD4-D15E-4A1C-A499-F0B3DDF74775}"/>
    <cellStyle name="Currency 5 2 2 2 2 12" xfId="8873" xr:uid="{660BF6D0-A56D-46AC-BFD5-68ACB46C5AD5}"/>
    <cellStyle name="Currency 5 2 2 2 2 2" xfId="198" xr:uid="{00000000-0005-0000-0000-00006F0B0000}"/>
    <cellStyle name="Currency 5 2 2 2 2 2 10" xfId="17322" xr:uid="{14974E33-449C-4149-874D-CF87528BA8E2}"/>
    <cellStyle name="Currency 5 2 2 2 2 2 11" xfId="8874" xr:uid="{47CBE2B6-AABA-4BE7-A2B6-DC47C7377734}"/>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24099" xr:uid="{8AA7FD54-56F8-49E4-84D1-8936A76CE7B6}"/>
    <cellStyle name="Currency 5 2 2 2 2 2 2 2 2 3" xfId="15651" xr:uid="{4403F35D-D56B-4AEC-A804-58447000F1B4}"/>
    <cellStyle name="Currency 5 2 2 2 2 2 2 2 3" xfId="19881" xr:uid="{A49E7E6E-A63C-43C4-88A9-613BF063DFB0}"/>
    <cellStyle name="Currency 5 2 2 2 2 2 2 2 4" xfId="11433" xr:uid="{DDEEE600-50AA-4EFA-B445-3F4C9280049A}"/>
    <cellStyle name="Currency 5 2 2 2 2 2 2 3" xfId="5056" xr:uid="{00000000-0005-0000-0000-0000730B0000}"/>
    <cellStyle name="Currency 5 2 2 2 2 2 2 3 2" xfId="21954" xr:uid="{3B2C8920-B716-4980-A588-B1840BC6DA2C}"/>
    <cellStyle name="Currency 5 2 2 2 2 2 2 3 3" xfId="13506" xr:uid="{D724D4D3-FFF3-434B-963D-70C1E5DB39A4}"/>
    <cellStyle name="Currency 5 2 2 2 2 2 2 4" xfId="17736" xr:uid="{98FC20E6-0F32-4111-B024-6699CE228EF1}"/>
    <cellStyle name="Currency 5 2 2 2 2 2 2 5" xfId="9288" xr:uid="{E8149CDE-8EB1-424C-8F0B-DAECEE78B7BE}"/>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24512" xr:uid="{8E617615-CA77-4CD7-BC22-6B91179E4A72}"/>
    <cellStyle name="Currency 5 2 2 2 2 2 3 2 2 3" xfId="16064" xr:uid="{C88CD34C-7ED1-427E-BBAE-CF8886ECB034}"/>
    <cellStyle name="Currency 5 2 2 2 2 2 3 2 3" xfId="20294" xr:uid="{DF5339FB-6165-4014-9A43-8DE81C1791AB}"/>
    <cellStyle name="Currency 5 2 2 2 2 2 3 2 4" xfId="11846" xr:uid="{94E832BD-E62C-4284-B0EF-C8093243FF2A}"/>
    <cellStyle name="Currency 5 2 2 2 2 2 3 3" xfId="5469" xr:uid="{00000000-0005-0000-0000-0000770B0000}"/>
    <cellStyle name="Currency 5 2 2 2 2 2 3 3 2" xfId="22367" xr:uid="{DCAFDBD9-0717-49FD-8B47-2BC654DFD9F8}"/>
    <cellStyle name="Currency 5 2 2 2 2 2 3 3 3" xfId="13919" xr:uid="{DED5E003-95E0-4B55-B61B-FCA840641A5C}"/>
    <cellStyle name="Currency 5 2 2 2 2 2 3 4" xfId="18149" xr:uid="{A1E2FDE7-E6A1-40FA-897A-AD6E339FADD4}"/>
    <cellStyle name="Currency 5 2 2 2 2 2 3 5" xfId="9701" xr:uid="{A3A092D3-33AE-4850-B4CF-DF3AAD40B92D}"/>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24925" xr:uid="{16D7EE50-6C9F-4572-A591-04115C189090}"/>
    <cellStyle name="Currency 5 2 2 2 2 2 4 2 2 3" xfId="16477" xr:uid="{3E8030FD-B432-4DAD-85EC-90C3982D6D93}"/>
    <cellStyle name="Currency 5 2 2 2 2 2 4 2 3" xfId="20707" xr:uid="{7F4786AC-AC48-45A2-B0BC-28EA0304FEB3}"/>
    <cellStyle name="Currency 5 2 2 2 2 2 4 2 4" xfId="12259" xr:uid="{2514AC76-57EC-49B0-A214-D728CB43123D}"/>
    <cellStyle name="Currency 5 2 2 2 2 2 4 3" xfId="5882" xr:uid="{00000000-0005-0000-0000-00007B0B0000}"/>
    <cellStyle name="Currency 5 2 2 2 2 2 4 3 2" xfId="22780" xr:uid="{3A5DB20A-BE0D-4199-B397-67C976734EA2}"/>
    <cellStyle name="Currency 5 2 2 2 2 2 4 3 3" xfId="14332" xr:uid="{F3AE39DA-EC09-4C83-B4CE-A7102CD86A36}"/>
    <cellStyle name="Currency 5 2 2 2 2 2 4 4" xfId="18562" xr:uid="{92215548-D50E-4701-ACE1-84123AFD22AC}"/>
    <cellStyle name="Currency 5 2 2 2 2 2 4 5" xfId="10114" xr:uid="{43528302-DBCC-4DDB-AC4A-0735090F1CF9}"/>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25338" xr:uid="{302417EB-EBDC-4EC1-947F-A6E817AE3E0E}"/>
    <cellStyle name="Currency 5 2 2 2 2 2 5 2 2 3" xfId="16890" xr:uid="{80871389-9427-4E31-AC3E-C17D79C067A6}"/>
    <cellStyle name="Currency 5 2 2 2 2 2 5 2 3" xfId="21120" xr:uid="{E304A15D-B391-4C88-8C25-7739D6DE7C9E}"/>
    <cellStyle name="Currency 5 2 2 2 2 2 5 2 4" xfId="12672" xr:uid="{50BC9F69-C847-45E6-B15E-F5FB1C3C50FC}"/>
    <cellStyle name="Currency 5 2 2 2 2 2 5 3" xfId="6295" xr:uid="{00000000-0005-0000-0000-00007F0B0000}"/>
    <cellStyle name="Currency 5 2 2 2 2 2 5 3 2" xfId="23193" xr:uid="{3F7EB062-8A1C-4C9E-BF7A-8B12330A478F}"/>
    <cellStyle name="Currency 5 2 2 2 2 2 5 3 3" xfId="14745" xr:uid="{BA7C6537-66B8-443C-B51F-7042FA03BCE8}"/>
    <cellStyle name="Currency 5 2 2 2 2 2 5 4" xfId="18975" xr:uid="{BA6059BC-750B-49D3-8BA8-239952E97553}"/>
    <cellStyle name="Currency 5 2 2 2 2 2 5 5" xfId="10527" xr:uid="{66815C7C-2CF2-4882-818D-DE7A69888E42}"/>
    <cellStyle name="Currency 5 2 2 2 2 2 6" xfId="2424" xr:uid="{00000000-0005-0000-0000-0000800B0000}"/>
    <cellStyle name="Currency 5 2 2 2 2 2 6 2" xfId="6708" xr:uid="{00000000-0005-0000-0000-0000810B0000}"/>
    <cellStyle name="Currency 5 2 2 2 2 2 6 2 2" xfId="23606" xr:uid="{B20D621A-696A-47B1-8773-74F7B44D1D35}"/>
    <cellStyle name="Currency 5 2 2 2 2 2 6 2 3" xfId="15158" xr:uid="{01336634-B115-4DD0-B091-80675714DE7A}"/>
    <cellStyle name="Currency 5 2 2 2 2 2 6 3" xfId="19388" xr:uid="{35B030BE-C527-44A6-8CAC-0B6E9A0085D6}"/>
    <cellStyle name="Currency 5 2 2 2 2 2 6 4" xfId="10940" xr:uid="{D9D42400-EA09-4FD8-87CA-F7A1361B1E9C}"/>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23923" xr:uid="{30EDF73B-1DC4-4953-8923-B6BAD2BF2F16}"/>
    <cellStyle name="Currency 5 2 2 2 2 2 8 2 3" xfId="15475" xr:uid="{6C17D6AC-CC97-4AAA-8BA0-809340D9D41B}"/>
    <cellStyle name="Currency 5 2 2 2 2 2 8 3" xfId="19705" xr:uid="{5D6CC420-93D5-4D89-9B59-5948E0307F2C}"/>
    <cellStyle name="Currency 5 2 2 2 2 2 8 4" xfId="11257" xr:uid="{0E5EE9CA-CAA7-4136-9E03-17979273AA16}"/>
    <cellStyle name="Currency 5 2 2 2 2 2 9" xfId="4642" xr:uid="{00000000-0005-0000-0000-0000850B0000}"/>
    <cellStyle name="Currency 5 2 2 2 2 2 9 2" xfId="21540" xr:uid="{C9F40C8A-0DAA-4AD4-A02F-76AE0E4F9680}"/>
    <cellStyle name="Currency 5 2 2 2 2 2 9 3" xfId="13092" xr:uid="{4EF530AD-85F8-4F22-8819-F444AF6DC4E9}"/>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24098" xr:uid="{D2484F29-BECF-4BE8-85E9-38A44364ABFC}"/>
    <cellStyle name="Currency 5 2 2 2 2 3 2 2 3" xfId="15650" xr:uid="{B4E908BD-EE21-4508-8EB6-A46372E37EF7}"/>
    <cellStyle name="Currency 5 2 2 2 2 3 2 3" xfId="19880" xr:uid="{AC5076D6-C8E3-4832-8EDF-C70D9C0B3416}"/>
    <cellStyle name="Currency 5 2 2 2 2 3 2 4" xfId="11432" xr:uid="{4D1A0AC7-82C9-4FCE-82A7-D4B51B31BBD0}"/>
    <cellStyle name="Currency 5 2 2 2 2 3 3" xfId="5055" xr:uid="{00000000-0005-0000-0000-0000890B0000}"/>
    <cellStyle name="Currency 5 2 2 2 2 3 3 2" xfId="21953" xr:uid="{BC231F69-979B-4FA2-B99D-3EC4F9E4F0F1}"/>
    <cellStyle name="Currency 5 2 2 2 2 3 3 3" xfId="13505" xr:uid="{D82AC85F-974B-4F0B-B9B1-D7FEA66C209B}"/>
    <cellStyle name="Currency 5 2 2 2 2 3 4" xfId="17735" xr:uid="{28C1BD4E-0AEF-46A1-97A6-83A7BCF1F9EE}"/>
    <cellStyle name="Currency 5 2 2 2 2 3 5" xfId="9287" xr:uid="{51B85511-7347-44D0-BF7A-622FADC3DAA6}"/>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24511" xr:uid="{AE910411-A70B-421B-A784-9DE4D281D266}"/>
    <cellStyle name="Currency 5 2 2 2 2 4 2 2 3" xfId="16063" xr:uid="{D65E25FC-2AA0-49FE-B79B-3A27AEE88E43}"/>
    <cellStyle name="Currency 5 2 2 2 2 4 2 3" xfId="20293" xr:uid="{53BEDC17-B386-428A-8B29-0C92C9DA4A0F}"/>
    <cellStyle name="Currency 5 2 2 2 2 4 2 4" xfId="11845" xr:uid="{7DD62431-332B-46DE-BA21-7B42ECD26389}"/>
    <cellStyle name="Currency 5 2 2 2 2 4 3" xfId="5468" xr:uid="{00000000-0005-0000-0000-00008D0B0000}"/>
    <cellStyle name="Currency 5 2 2 2 2 4 3 2" xfId="22366" xr:uid="{38AAC135-7205-40B9-80DE-295F40CC3FC9}"/>
    <cellStyle name="Currency 5 2 2 2 2 4 3 3" xfId="13918" xr:uid="{2A49E907-62CD-48B8-AF24-DE2DEDC95C8D}"/>
    <cellStyle name="Currency 5 2 2 2 2 4 4" xfId="18148" xr:uid="{02C0D4A9-EB5F-4579-8ED3-045BFD931AF9}"/>
    <cellStyle name="Currency 5 2 2 2 2 4 5" xfId="9700" xr:uid="{0B09FA39-E384-4D12-9AA1-55D99BEBC1C7}"/>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24924" xr:uid="{5B0134EB-EFF9-49D5-8C46-7856047B405D}"/>
    <cellStyle name="Currency 5 2 2 2 2 5 2 2 3" xfId="16476" xr:uid="{528599F3-FD9E-4E4E-81C0-F0D80BDF1D92}"/>
    <cellStyle name="Currency 5 2 2 2 2 5 2 3" xfId="20706" xr:uid="{A74E3F7F-F93E-4236-AEDB-6428CB34EF2D}"/>
    <cellStyle name="Currency 5 2 2 2 2 5 2 4" xfId="12258" xr:uid="{EF7D14CC-42F2-4130-9E85-C8B0CBB8921E}"/>
    <cellStyle name="Currency 5 2 2 2 2 5 3" xfId="5881" xr:uid="{00000000-0005-0000-0000-0000910B0000}"/>
    <cellStyle name="Currency 5 2 2 2 2 5 3 2" xfId="22779" xr:uid="{E939F462-6415-4A25-B5C7-A2396665E6F2}"/>
    <cellStyle name="Currency 5 2 2 2 2 5 3 3" xfId="14331" xr:uid="{20BC14F6-F3A6-427A-99CA-3CDB226458C0}"/>
    <cellStyle name="Currency 5 2 2 2 2 5 4" xfId="18561" xr:uid="{03B0FB86-C178-4279-81A0-7C9B8B746EB0}"/>
    <cellStyle name="Currency 5 2 2 2 2 5 5" xfId="10113" xr:uid="{FFB9FDCB-F263-453B-9AD5-604180BBA033}"/>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25337" xr:uid="{466460A2-23AF-47B6-93C4-E38BB172F5D9}"/>
    <cellStyle name="Currency 5 2 2 2 2 6 2 2 3" xfId="16889" xr:uid="{6F0615FA-B4B2-4C1B-AEBF-5B97B60262F8}"/>
    <cellStyle name="Currency 5 2 2 2 2 6 2 3" xfId="21119" xr:uid="{6AA74B26-FB1C-4E03-9DF2-871817F0285B}"/>
    <cellStyle name="Currency 5 2 2 2 2 6 2 4" xfId="12671" xr:uid="{E4DC7F22-DDB8-412F-8563-E1D86EABB423}"/>
    <cellStyle name="Currency 5 2 2 2 2 6 3" xfId="6294" xr:uid="{00000000-0005-0000-0000-0000950B0000}"/>
    <cellStyle name="Currency 5 2 2 2 2 6 3 2" xfId="23192" xr:uid="{CA140BF3-4D60-432D-AFD9-C3B609CA2BEB}"/>
    <cellStyle name="Currency 5 2 2 2 2 6 3 3" xfId="14744" xr:uid="{9B7A2D01-3332-4333-BA68-932A33097F57}"/>
    <cellStyle name="Currency 5 2 2 2 2 6 4" xfId="18974" xr:uid="{852CAEDE-E4A2-4C19-A329-9BB299867DDE}"/>
    <cellStyle name="Currency 5 2 2 2 2 6 5" xfId="10526" xr:uid="{ECE6C8AE-446B-4E9F-935A-046E12735BEC}"/>
    <cellStyle name="Currency 5 2 2 2 2 7" xfId="2423" xr:uid="{00000000-0005-0000-0000-0000960B0000}"/>
    <cellStyle name="Currency 5 2 2 2 2 7 2" xfId="6707" xr:uid="{00000000-0005-0000-0000-0000970B0000}"/>
    <cellStyle name="Currency 5 2 2 2 2 7 2 2" xfId="23605" xr:uid="{90093619-55E0-42D3-8811-145FF8B86E87}"/>
    <cellStyle name="Currency 5 2 2 2 2 7 2 3" xfId="15157" xr:uid="{C0923AE5-321E-4F43-90FC-8161E88C2432}"/>
    <cellStyle name="Currency 5 2 2 2 2 7 3" xfId="19387" xr:uid="{09CAD7FB-50FD-4050-9DEC-D353F23FB8FA}"/>
    <cellStyle name="Currency 5 2 2 2 2 7 4" xfId="10939" xr:uid="{463AC0C3-0F7B-44A5-B404-97E7D436DEC3}"/>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23922" xr:uid="{744DF85F-EF11-4A4F-A785-0745DCA92D9A}"/>
    <cellStyle name="Currency 5 2 2 2 2 9 2 3" xfId="15474" xr:uid="{F60BD4F4-480D-45E4-A6DC-AD75F29AF0B4}"/>
    <cellStyle name="Currency 5 2 2 2 2 9 3" xfId="19704" xr:uid="{FBE61B74-90B6-441E-A437-74660260058D}"/>
    <cellStyle name="Currency 5 2 2 2 2 9 4" xfId="11256" xr:uid="{96FD827B-8CA0-4E83-8FF4-8B04D99A836D}"/>
    <cellStyle name="Currency 5 2 2 2 3" xfId="199" xr:uid="{00000000-0005-0000-0000-00009B0B0000}"/>
    <cellStyle name="Currency 5 2 2 2 3 10" xfId="17323" xr:uid="{B53ABCDE-0107-4F81-8738-C4F1CEAE6E42}"/>
    <cellStyle name="Currency 5 2 2 2 3 11" xfId="8875" xr:uid="{A3F3BA2B-7E8F-46E0-9EB2-2826F143E9EA}"/>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24100" xr:uid="{52E4DFE4-7D4A-4853-A10E-FA77D8885CBC}"/>
    <cellStyle name="Currency 5 2 2 2 3 2 2 2 3" xfId="15652" xr:uid="{C0408F29-2A13-4DB6-8F32-24C6C0E05DCD}"/>
    <cellStyle name="Currency 5 2 2 2 3 2 2 3" xfId="19882" xr:uid="{567C807F-3140-4669-B640-860D49D61E32}"/>
    <cellStyle name="Currency 5 2 2 2 3 2 2 4" xfId="11434" xr:uid="{830054CA-6A55-4F22-B96E-6DF50E62015B}"/>
    <cellStyle name="Currency 5 2 2 2 3 2 3" xfId="5057" xr:uid="{00000000-0005-0000-0000-00009F0B0000}"/>
    <cellStyle name="Currency 5 2 2 2 3 2 3 2" xfId="21955" xr:uid="{6B40F532-592D-43EB-8E4B-4E32A33FB412}"/>
    <cellStyle name="Currency 5 2 2 2 3 2 3 3" xfId="13507" xr:uid="{1C4453AC-E2DD-40EE-AF06-07446CF8D402}"/>
    <cellStyle name="Currency 5 2 2 2 3 2 4" xfId="17737" xr:uid="{DEACB30B-7872-4B0C-8BCC-2956609A79D6}"/>
    <cellStyle name="Currency 5 2 2 2 3 2 5" xfId="9289" xr:uid="{05B2E208-54B8-4ECF-BD57-2C48D0333B94}"/>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24513" xr:uid="{1191B132-C4EE-48BA-8297-B85CD0912A1F}"/>
    <cellStyle name="Currency 5 2 2 2 3 3 2 2 3" xfId="16065" xr:uid="{D6F5B12E-1EAD-44A3-828F-8ABE14B9ADFC}"/>
    <cellStyle name="Currency 5 2 2 2 3 3 2 3" xfId="20295" xr:uid="{C6158519-D5D0-45D8-9FFD-4CA72F0C867F}"/>
    <cellStyle name="Currency 5 2 2 2 3 3 2 4" xfId="11847" xr:uid="{BE90977E-0302-4938-B453-C90AB5330703}"/>
    <cellStyle name="Currency 5 2 2 2 3 3 3" xfId="5470" xr:uid="{00000000-0005-0000-0000-0000A30B0000}"/>
    <cellStyle name="Currency 5 2 2 2 3 3 3 2" xfId="22368" xr:uid="{C5303D4D-94C9-44B1-A391-C74B9E8FDE1B}"/>
    <cellStyle name="Currency 5 2 2 2 3 3 3 3" xfId="13920" xr:uid="{4BCE1C1B-6EC0-44B7-9923-7C89FEE41F03}"/>
    <cellStyle name="Currency 5 2 2 2 3 3 4" xfId="18150" xr:uid="{9AB82652-11D1-4763-9E0F-2BADB7364648}"/>
    <cellStyle name="Currency 5 2 2 2 3 3 5" xfId="9702" xr:uid="{C0746355-2598-4E3E-9103-545C94DFEA6F}"/>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24926" xr:uid="{B4B57C66-FB1B-478F-9C48-45CFBDA4CED8}"/>
    <cellStyle name="Currency 5 2 2 2 3 4 2 2 3" xfId="16478" xr:uid="{A91CD435-6903-4F26-BEE8-EEC8541A1F81}"/>
    <cellStyle name="Currency 5 2 2 2 3 4 2 3" xfId="20708" xr:uid="{B853B3F4-9DF8-43B4-A872-CDC4E3971107}"/>
    <cellStyle name="Currency 5 2 2 2 3 4 2 4" xfId="12260" xr:uid="{228CC3AB-288D-4C77-BECC-F1740718AC19}"/>
    <cellStyle name="Currency 5 2 2 2 3 4 3" xfId="5883" xr:uid="{00000000-0005-0000-0000-0000A70B0000}"/>
    <cellStyle name="Currency 5 2 2 2 3 4 3 2" xfId="22781" xr:uid="{15844254-E89E-4DD0-89FE-8677CCDEE693}"/>
    <cellStyle name="Currency 5 2 2 2 3 4 3 3" xfId="14333" xr:uid="{A72B1FC5-204E-4457-8B71-E15C88A5FF6C}"/>
    <cellStyle name="Currency 5 2 2 2 3 4 4" xfId="18563" xr:uid="{BB84FF74-CF05-47C3-A859-822441C550EB}"/>
    <cellStyle name="Currency 5 2 2 2 3 4 5" xfId="10115" xr:uid="{5EBAA037-AAEA-4D83-9AC1-AAFA1373E4D2}"/>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25339" xr:uid="{B17356C2-18D0-4EF8-9314-175A43D8B1D7}"/>
    <cellStyle name="Currency 5 2 2 2 3 5 2 2 3" xfId="16891" xr:uid="{35FF736E-5D51-4750-9758-9D4EBE2D917F}"/>
    <cellStyle name="Currency 5 2 2 2 3 5 2 3" xfId="21121" xr:uid="{91C9037B-171B-4757-87FE-59CC78FB7CDE}"/>
    <cellStyle name="Currency 5 2 2 2 3 5 2 4" xfId="12673" xr:uid="{FD9E4BC8-06A1-47A9-ACA8-77684E6670B6}"/>
    <cellStyle name="Currency 5 2 2 2 3 5 3" xfId="6296" xr:uid="{00000000-0005-0000-0000-0000AB0B0000}"/>
    <cellStyle name="Currency 5 2 2 2 3 5 3 2" xfId="23194" xr:uid="{2AB6E9FA-D5ED-4C50-9DBD-226BC47DEDCA}"/>
    <cellStyle name="Currency 5 2 2 2 3 5 3 3" xfId="14746" xr:uid="{BAC6F101-C427-4433-A08B-3E1654721E4E}"/>
    <cellStyle name="Currency 5 2 2 2 3 5 4" xfId="18976" xr:uid="{60D41F6E-57F4-4500-BFB1-0A5EE9EB7188}"/>
    <cellStyle name="Currency 5 2 2 2 3 5 5" xfId="10528" xr:uid="{C50D371D-7368-4581-9B41-6C7A82255707}"/>
    <cellStyle name="Currency 5 2 2 2 3 6" xfId="2425" xr:uid="{00000000-0005-0000-0000-0000AC0B0000}"/>
    <cellStyle name="Currency 5 2 2 2 3 6 2" xfId="6709" xr:uid="{00000000-0005-0000-0000-0000AD0B0000}"/>
    <cellStyle name="Currency 5 2 2 2 3 6 2 2" xfId="23607" xr:uid="{1B897D20-E630-4535-9D52-60E839193243}"/>
    <cellStyle name="Currency 5 2 2 2 3 6 2 3" xfId="15159" xr:uid="{78C3900B-FF70-46D4-B34E-91BCA69FD517}"/>
    <cellStyle name="Currency 5 2 2 2 3 6 3" xfId="19389" xr:uid="{7530099C-8FC7-454B-8715-EEFB5455113C}"/>
    <cellStyle name="Currency 5 2 2 2 3 6 4" xfId="10941" xr:uid="{34BD36B7-AC33-40D5-9191-EEFD16B1EEEF}"/>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23924" xr:uid="{D75194D6-A50E-455F-B204-AF7A684F27AE}"/>
    <cellStyle name="Currency 5 2 2 2 3 8 2 3" xfId="15476" xr:uid="{DD5BA51B-E16C-4200-8B77-0EA17922B99C}"/>
    <cellStyle name="Currency 5 2 2 2 3 8 3" xfId="19706" xr:uid="{3A84B456-E2F2-45D7-A9B6-ABB1CC1AAD6A}"/>
    <cellStyle name="Currency 5 2 2 2 3 8 4" xfId="11258" xr:uid="{D09FE5CD-EA8B-476C-A6C2-8A38A60CF34D}"/>
    <cellStyle name="Currency 5 2 2 2 3 9" xfId="4643" xr:uid="{00000000-0005-0000-0000-0000B10B0000}"/>
    <cellStyle name="Currency 5 2 2 2 3 9 2" xfId="21541" xr:uid="{8D46DFF3-AAEA-422F-926B-2D3B351FE5AC}"/>
    <cellStyle name="Currency 5 2 2 2 3 9 3" xfId="13093" xr:uid="{78830990-EB48-49C1-BF27-C87F4A5955C1}"/>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24097" xr:uid="{E34E00FD-53C1-4B52-9D20-4BBBD1AECF7A}"/>
    <cellStyle name="Currency 5 2 2 2 4 2 2 3" xfId="15649" xr:uid="{71693EBD-AF56-4D1F-BD91-6AFC35F4FA0C}"/>
    <cellStyle name="Currency 5 2 2 2 4 2 3" xfId="19879" xr:uid="{6CBB1A5A-9F1A-4EF5-8E8C-0351635C0657}"/>
    <cellStyle name="Currency 5 2 2 2 4 2 4" xfId="11431" xr:uid="{FD74D576-DB89-4B60-B9C6-C99C900E3EA6}"/>
    <cellStyle name="Currency 5 2 2 2 4 3" xfId="5054" xr:uid="{00000000-0005-0000-0000-0000B50B0000}"/>
    <cellStyle name="Currency 5 2 2 2 4 3 2" xfId="21952" xr:uid="{AF4ADC22-ECBB-4DFF-9ED5-568E134219F5}"/>
    <cellStyle name="Currency 5 2 2 2 4 3 3" xfId="13504" xr:uid="{43567CB4-5662-44CB-93B5-F05D0DFFA6AA}"/>
    <cellStyle name="Currency 5 2 2 2 4 4" xfId="17734" xr:uid="{B3279C4D-F22B-47B8-9A70-96B2C9A2A062}"/>
    <cellStyle name="Currency 5 2 2 2 4 5" xfId="9286" xr:uid="{9F1D118F-54AC-45E5-B85D-DCE4313C63A8}"/>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24510" xr:uid="{2822C4CC-E30D-4321-8A1A-0228DB337F45}"/>
    <cellStyle name="Currency 5 2 2 2 5 2 2 3" xfId="16062" xr:uid="{63B8B507-92BE-4607-B8BD-3B7DC1091CC9}"/>
    <cellStyle name="Currency 5 2 2 2 5 2 3" xfId="20292" xr:uid="{FE60B875-A281-490E-8D5C-F017619B4F7C}"/>
    <cellStyle name="Currency 5 2 2 2 5 2 4" xfId="11844" xr:uid="{C7EC3822-398E-4C60-8040-4F59FCBF32D8}"/>
    <cellStyle name="Currency 5 2 2 2 5 3" xfId="5467" xr:uid="{00000000-0005-0000-0000-0000B90B0000}"/>
    <cellStyle name="Currency 5 2 2 2 5 3 2" xfId="22365" xr:uid="{6F0DAA0C-E49F-4A93-9019-993134AF3DC3}"/>
    <cellStyle name="Currency 5 2 2 2 5 3 3" xfId="13917" xr:uid="{FFA6B6D9-4D56-4860-92B0-9274E69A1292}"/>
    <cellStyle name="Currency 5 2 2 2 5 4" xfId="18147" xr:uid="{EFCF62EA-CAF0-47BA-A43D-D6B6AA58D852}"/>
    <cellStyle name="Currency 5 2 2 2 5 5" xfId="9699" xr:uid="{A68B13AA-7362-477F-8776-B25349409ED9}"/>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24923" xr:uid="{F3472105-A9A6-4BA6-8274-228A51D339E9}"/>
    <cellStyle name="Currency 5 2 2 2 6 2 2 3" xfId="16475" xr:uid="{023301AF-A8E6-42DB-94E5-C9EAE9C15344}"/>
    <cellStyle name="Currency 5 2 2 2 6 2 3" xfId="20705" xr:uid="{B9EBF6DA-AC7A-401C-A878-344851080DF1}"/>
    <cellStyle name="Currency 5 2 2 2 6 2 4" xfId="12257" xr:uid="{8AED60FE-07AC-4E70-AD04-6D3E4CDAB4A4}"/>
    <cellStyle name="Currency 5 2 2 2 6 3" xfId="5880" xr:uid="{00000000-0005-0000-0000-0000BD0B0000}"/>
    <cellStyle name="Currency 5 2 2 2 6 3 2" xfId="22778" xr:uid="{AD1911FE-708F-4509-AB39-B48784E45745}"/>
    <cellStyle name="Currency 5 2 2 2 6 3 3" xfId="14330" xr:uid="{A84D83C9-70F0-436C-ABEA-6DD74508E283}"/>
    <cellStyle name="Currency 5 2 2 2 6 4" xfId="18560" xr:uid="{3194ADE3-5401-4888-BC50-2CBB46559DF5}"/>
    <cellStyle name="Currency 5 2 2 2 6 5" xfId="10112" xr:uid="{24E3B204-5C2F-4B20-B8FC-F4CE80B10DA1}"/>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25336" xr:uid="{D95647EA-3D3A-47C7-8C1F-4E6AF1013897}"/>
    <cellStyle name="Currency 5 2 2 2 7 2 2 3" xfId="16888" xr:uid="{ECDFECF4-222F-4D48-8A0C-36F845FB25BF}"/>
    <cellStyle name="Currency 5 2 2 2 7 2 3" xfId="21118" xr:uid="{D07390E9-C2AC-45A0-8B5D-8AAC758B76C2}"/>
    <cellStyle name="Currency 5 2 2 2 7 2 4" xfId="12670" xr:uid="{6F00BA46-A231-4560-BC12-13B9E733B957}"/>
    <cellStyle name="Currency 5 2 2 2 7 3" xfId="6293" xr:uid="{00000000-0005-0000-0000-0000C10B0000}"/>
    <cellStyle name="Currency 5 2 2 2 7 3 2" xfId="23191" xr:uid="{EA63A4AA-217B-4E0F-BFE3-09B9063A6A8A}"/>
    <cellStyle name="Currency 5 2 2 2 7 3 3" xfId="14743" xr:uid="{B0C7304A-EDB1-43BA-A31A-5800A343F868}"/>
    <cellStyle name="Currency 5 2 2 2 7 4" xfId="18973" xr:uid="{05C6DD22-B25B-497E-A809-C640730A0915}"/>
    <cellStyle name="Currency 5 2 2 2 7 5" xfId="10525" xr:uid="{092A8E49-A45E-4563-A23E-F2657F5F8A26}"/>
    <cellStyle name="Currency 5 2 2 2 8" xfId="2422" xr:uid="{00000000-0005-0000-0000-0000C20B0000}"/>
    <cellStyle name="Currency 5 2 2 2 8 2" xfId="6706" xr:uid="{00000000-0005-0000-0000-0000C30B0000}"/>
    <cellStyle name="Currency 5 2 2 2 8 2 2" xfId="23604" xr:uid="{75CE97B5-D8AD-4401-803A-E197B018C357}"/>
    <cellStyle name="Currency 5 2 2 2 8 2 3" xfId="15156" xr:uid="{113F5564-9CD9-4CAD-B656-5BE67B27E4A7}"/>
    <cellStyle name="Currency 5 2 2 2 8 3" xfId="19386" xr:uid="{73016A4B-46AD-4918-BD08-83027381C15F}"/>
    <cellStyle name="Currency 5 2 2 2 8 4" xfId="10938" xr:uid="{F4FBAE91-A6A6-4FC4-ACDF-BD52D6AA2304}"/>
    <cellStyle name="Currency 5 2 2 2 9" xfId="2719" xr:uid="{00000000-0005-0000-0000-0000C40B0000}"/>
    <cellStyle name="Currency 5 2 2 3" xfId="200" xr:uid="{00000000-0005-0000-0000-0000C50B0000}"/>
    <cellStyle name="Currency 5 2 2 3 10" xfId="4644" xr:uid="{00000000-0005-0000-0000-0000C60B0000}"/>
    <cellStyle name="Currency 5 2 2 3 10 2" xfId="21542" xr:uid="{F092341C-52D5-460D-BFB4-795EFDC299F6}"/>
    <cellStyle name="Currency 5 2 2 3 10 3" xfId="13094" xr:uid="{43B44789-8692-4479-838C-D5E802F105FA}"/>
    <cellStyle name="Currency 5 2 2 3 11" xfId="17324" xr:uid="{9F9474C7-6459-4821-A5A1-DBAD80492907}"/>
    <cellStyle name="Currency 5 2 2 3 12" xfId="8876" xr:uid="{A27D5719-529D-44BD-8D1B-346031938522}"/>
    <cellStyle name="Currency 5 2 2 3 2" xfId="201" xr:uid="{00000000-0005-0000-0000-0000C70B0000}"/>
    <cellStyle name="Currency 5 2 2 3 2 10" xfId="17325" xr:uid="{D6D14533-8D61-4EE6-B5D8-7DC92D0B9FE1}"/>
    <cellStyle name="Currency 5 2 2 3 2 11" xfId="8877" xr:uid="{D27E0E80-D3ED-49AF-B567-43C6800F94D8}"/>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24102" xr:uid="{12B91F2A-29B1-4D2D-9099-BA886D306386}"/>
    <cellStyle name="Currency 5 2 2 3 2 2 2 2 3" xfId="15654" xr:uid="{84F8C666-E287-43D0-B103-6E3E91B1E437}"/>
    <cellStyle name="Currency 5 2 2 3 2 2 2 3" xfId="19884" xr:uid="{93BF1674-0385-4CE9-A239-805A1486E197}"/>
    <cellStyle name="Currency 5 2 2 3 2 2 2 4" xfId="11436" xr:uid="{58C6E600-5A6D-41FC-AE08-5FA40AFBE0AE}"/>
    <cellStyle name="Currency 5 2 2 3 2 2 3" xfId="5059" xr:uid="{00000000-0005-0000-0000-0000CB0B0000}"/>
    <cellStyle name="Currency 5 2 2 3 2 2 3 2" xfId="21957" xr:uid="{0066ED2E-09BF-4E4E-9570-DB0B614F42B0}"/>
    <cellStyle name="Currency 5 2 2 3 2 2 3 3" xfId="13509" xr:uid="{7BED87B5-0045-4E79-B727-2EE27F7417C8}"/>
    <cellStyle name="Currency 5 2 2 3 2 2 4" xfId="17739" xr:uid="{D212EEE5-599E-4E26-932E-1F959ED08BC3}"/>
    <cellStyle name="Currency 5 2 2 3 2 2 5" xfId="9291" xr:uid="{DA7E257A-17D9-49AF-B396-04A475C6F9B5}"/>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24515" xr:uid="{97AFC76E-8723-451C-AFD1-CAB0513BBAB8}"/>
    <cellStyle name="Currency 5 2 2 3 2 3 2 2 3" xfId="16067" xr:uid="{0EFD6077-F1DE-418A-ADEF-5B8531574787}"/>
    <cellStyle name="Currency 5 2 2 3 2 3 2 3" xfId="20297" xr:uid="{992F0D00-EF76-4D56-8170-0E2AFBD7295B}"/>
    <cellStyle name="Currency 5 2 2 3 2 3 2 4" xfId="11849" xr:uid="{635DDBD6-B266-41E7-B220-ECDA2DCD4815}"/>
    <cellStyle name="Currency 5 2 2 3 2 3 3" xfId="5472" xr:uid="{00000000-0005-0000-0000-0000CF0B0000}"/>
    <cellStyle name="Currency 5 2 2 3 2 3 3 2" xfId="22370" xr:uid="{5945DCD8-6F74-4C16-9722-E94B8B5A2B92}"/>
    <cellStyle name="Currency 5 2 2 3 2 3 3 3" xfId="13922" xr:uid="{FF748F7F-5692-408F-9EA2-A2E63A88F538}"/>
    <cellStyle name="Currency 5 2 2 3 2 3 4" xfId="18152" xr:uid="{E5DA4888-E11F-45EF-822C-FE2020B3E517}"/>
    <cellStyle name="Currency 5 2 2 3 2 3 5" xfId="9704" xr:uid="{9BB2AD72-43C3-4F11-B9D2-527E1A25B4C2}"/>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24928" xr:uid="{3C5A543E-2FA8-4311-B70F-217E9D524F43}"/>
    <cellStyle name="Currency 5 2 2 3 2 4 2 2 3" xfId="16480" xr:uid="{6AB23A74-A73E-4214-9BC0-262A6AC2CCF7}"/>
    <cellStyle name="Currency 5 2 2 3 2 4 2 3" xfId="20710" xr:uid="{25D355F3-3ED9-4C62-924C-F57E938D9D69}"/>
    <cellStyle name="Currency 5 2 2 3 2 4 2 4" xfId="12262" xr:uid="{20DC47BA-5B0E-4BB9-8ADD-C957496F5556}"/>
    <cellStyle name="Currency 5 2 2 3 2 4 3" xfId="5885" xr:uid="{00000000-0005-0000-0000-0000D30B0000}"/>
    <cellStyle name="Currency 5 2 2 3 2 4 3 2" xfId="22783" xr:uid="{6F9B4C33-849F-4DC6-81A0-9EC121AFB6FD}"/>
    <cellStyle name="Currency 5 2 2 3 2 4 3 3" xfId="14335" xr:uid="{CEBCA7A8-5E60-44A1-8C9C-AF2DA856AE1D}"/>
    <cellStyle name="Currency 5 2 2 3 2 4 4" xfId="18565" xr:uid="{4A24B5FB-2498-4263-86D3-12B34FFCDFD3}"/>
    <cellStyle name="Currency 5 2 2 3 2 4 5" xfId="10117" xr:uid="{41283A23-D50B-4099-A011-AC56A9789679}"/>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25341" xr:uid="{9FDF52ED-1192-4BF2-9DF8-195C4E988FAA}"/>
    <cellStyle name="Currency 5 2 2 3 2 5 2 2 3" xfId="16893" xr:uid="{8F13EFD8-40E9-439B-A1EF-16A779A73787}"/>
    <cellStyle name="Currency 5 2 2 3 2 5 2 3" xfId="21123" xr:uid="{AA9F5BA4-FAB7-4742-954E-FA774116AC56}"/>
    <cellStyle name="Currency 5 2 2 3 2 5 2 4" xfId="12675" xr:uid="{9396E00D-B2A7-4780-A1DF-3E1ADD69B851}"/>
    <cellStyle name="Currency 5 2 2 3 2 5 3" xfId="6298" xr:uid="{00000000-0005-0000-0000-0000D70B0000}"/>
    <cellStyle name="Currency 5 2 2 3 2 5 3 2" xfId="23196" xr:uid="{917AED8D-5ED9-423A-80D1-4A60870FCF14}"/>
    <cellStyle name="Currency 5 2 2 3 2 5 3 3" xfId="14748" xr:uid="{1959A145-CED5-4222-B994-8F20AC7DAF7F}"/>
    <cellStyle name="Currency 5 2 2 3 2 5 4" xfId="18978" xr:uid="{31ECBF9F-8185-4654-A1D2-61C5BCA4CAFA}"/>
    <cellStyle name="Currency 5 2 2 3 2 5 5" xfId="10530" xr:uid="{B9BADC40-265D-4717-90B4-500EC9C38FB8}"/>
    <cellStyle name="Currency 5 2 2 3 2 6" xfId="2427" xr:uid="{00000000-0005-0000-0000-0000D80B0000}"/>
    <cellStyle name="Currency 5 2 2 3 2 6 2" xfId="6711" xr:uid="{00000000-0005-0000-0000-0000D90B0000}"/>
    <cellStyle name="Currency 5 2 2 3 2 6 2 2" xfId="23609" xr:uid="{2F154CDA-D235-4F80-B518-FA2BBB9C521C}"/>
    <cellStyle name="Currency 5 2 2 3 2 6 2 3" xfId="15161" xr:uid="{B9B2461A-9E3E-4B2B-8EE5-704FA11B1726}"/>
    <cellStyle name="Currency 5 2 2 3 2 6 3" xfId="19391" xr:uid="{D101E276-DF3E-4D05-ADA0-95C14137ECB4}"/>
    <cellStyle name="Currency 5 2 2 3 2 6 4" xfId="10943" xr:uid="{B3B5A15C-DAAF-4F03-AE60-6C9564A5D259}"/>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23926" xr:uid="{B0432CC7-8787-494C-977B-A35BC6E302F4}"/>
    <cellStyle name="Currency 5 2 2 3 2 8 2 3" xfId="15478" xr:uid="{5DA5875B-B4B2-4A82-A038-15961EAA01F7}"/>
    <cellStyle name="Currency 5 2 2 3 2 8 3" xfId="19708" xr:uid="{D5876D2D-4317-458F-9A6B-3792C88188D1}"/>
    <cellStyle name="Currency 5 2 2 3 2 8 4" xfId="11260" xr:uid="{299CBE37-883D-4078-8E8C-C80D535F31D3}"/>
    <cellStyle name="Currency 5 2 2 3 2 9" xfId="4645" xr:uid="{00000000-0005-0000-0000-0000DD0B0000}"/>
    <cellStyle name="Currency 5 2 2 3 2 9 2" xfId="21543" xr:uid="{AF239E97-CCFC-4F1E-924F-DF1DE836CDD3}"/>
    <cellStyle name="Currency 5 2 2 3 2 9 3" xfId="13095" xr:uid="{C77BA8AC-E9C3-4721-9AA6-13DB02095F12}"/>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24101" xr:uid="{3BCEE21D-0C06-48C9-82AA-655F296D7317}"/>
    <cellStyle name="Currency 5 2 2 3 3 2 2 3" xfId="15653" xr:uid="{37EE7946-49DF-4BF1-9D6C-BB76684299C5}"/>
    <cellStyle name="Currency 5 2 2 3 3 2 3" xfId="19883" xr:uid="{FD29A969-BD97-4667-9BE8-2197BA32E393}"/>
    <cellStyle name="Currency 5 2 2 3 3 2 4" xfId="11435" xr:uid="{5C87590F-AD26-490D-A149-64E960D2118E}"/>
    <cellStyle name="Currency 5 2 2 3 3 3" xfId="5058" xr:uid="{00000000-0005-0000-0000-0000E10B0000}"/>
    <cellStyle name="Currency 5 2 2 3 3 3 2" xfId="21956" xr:uid="{424447E2-6786-4B55-927F-0BE9FE7A393C}"/>
    <cellStyle name="Currency 5 2 2 3 3 3 3" xfId="13508" xr:uid="{F944DA9B-90EC-4A96-A0B8-485C341EDA9D}"/>
    <cellStyle name="Currency 5 2 2 3 3 4" xfId="17738" xr:uid="{6EE7AE83-41C2-494A-9BA2-DF9BC33E39BB}"/>
    <cellStyle name="Currency 5 2 2 3 3 5" xfId="9290" xr:uid="{1BF74DBA-EAAB-4EA9-9DA3-D167A45C56A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24514" xr:uid="{523A4BA4-E964-49CA-BC53-F23C127E7D3D}"/>
    <cellStyle name="Currency 5 2 2 3 4 2 2 3" xfId="16066" xr:uid="{EB51905E-DEFE-4DE8-BDB4-299711E00593}"/>
    <cellStyle name="Currency 5 2 2 3 4 2 3" xfId="20296" xr:uid="{3D2E04A7-D9D6-47C9-8D9B-92706ED1130F}"/>
    <cellStyle name="Currency 5 2 2 3 4 2 4" xfId="11848" xr:uid="{8E082743-B2C8-44FE-860A-7210CC13E923}"/>
    <cellStyle name="Currency 5 2 2 3 4 3" xfId="5471" xr:uid="{00000000-0005-0000-0000-0000E50B0000}"/>
    <cellStyle name="Currency 5 2 2 3 4 3 2" xfId="22369" xr:uid="{94426DA4-2E1C-47F2-B869-149AC6941A90}"/>
    <cellStyle name="Currency 5 2 2 3 4 3 3" xfId="13921" xr:uid="{27216398-4B2F-4158-AF15-45CFFECBE36D}"/>
    <cellStyle name="Currency 5 2 2 3 4 4" xfId="18151" xr:uid="{B40BCAFB-20F9-468F-9490-CCF4F60626D8}"/>
    <cellStyle name="Currency 5 2 2 3 4 5" xfId="9703" xr:uid="{2234582A-1EC7-45BF-904D-918C249DCA7A}"/>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24927" xr:uid="{DD93E9AF-FA82-48A1-861F-F2F42310A278}"/>
    <cellStyle name="Currency 5 2 2 3 5 2 2 3" xfId="16479" xr:uid="{72C54E22-D2B0-4C9F-953F-140549705B21}"/>
    <cellStyle name="Currency 5 2 2 3 5 2 3" xfId="20709" xr:uid="{A4AEF111-828F-4E4D-85CC-A10537D4CD6C}"/>
    <cellStyle name="Currency 5 2 2 3 5 2 4" xfId="12261" xr:uid="{31AAFF11-F434-47B2-ACED-3FD8A2F96280}"/>
    <cellStyle name="Currency 5 2 2 3 5 3" xfId="5884" xr:uid="{00000000-0005-0000-0000-0000E90B0000}"/>
    <cellStyle name="Currency 5 2 2 3 5 3 2" xfId="22782" xr:uid="{8AC34B08-36FF-40A3-9A37-0FBBCA2CEA33}"/>
    <cellStyle name="Currency 5 2 2 3 5 3 3" xfId="14334" xr:uid="{F0731FAA-3065-44DD-BA91-390A6C003AC6}"/>
    <cellStyle name="Currency 5 2 2 3 5 4" xfId="18564" xr:uid="{AACAB091-5EB1-4252-8548-23284F65C564}"/>
    <cellStyle name="Currency 5 2 2 3 5 5" xfId="10116" xr:uid="{3844DF16-810D-435C-9EC3-4C99E6307DAE}"/>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25340" xr:uid="{55F17F9E-2C54-4A4A-81B6-2A55B3653101}"/>
    <cellStyle name="Currency 5 2 2 3 6 2 2 3" xfId="16892" xr:uid="{C4CF54E8-419C-4226-A6FA-AE78965373A0}"/>
    <cellStyle name="Currency 5 2 2 3 6 2 3" xfId="21122" xr:uid="{57686323-8CF0-4427-B495-D5F57FEBB770}"/>
    <cellStyle name="Currency 5 2 2 3 6 2 4" xfId="12674" xr:uid="{AB4E2381-A11D-4122-BD3F-CE28A38EE597}"/>
    <cellStyle name="Currency 5 2 2 3 6 3" xfId="6297" xr:uid="{00000000-0005-0000-0000-0000ED0B0000}"/>
    <cellStyle name="Currency 5 2 2 3 6 3 2" xfId="23195" xr:uid="{0E94C120-074D-46A6-B0C0-7E07B36E36BE}"/>
    <cellStyle name="Currency 5 2 2 3 6 3 3" xfId="14747" xr:uid="{B60FB0EA-6FD1-4769-9388-F6C411BDF52E}"/>
    <cellStyle name="Currency 5 2 2 3 6 4" xfId="18977" xr:uid="{6BAFD5F4-3F4D-4962-A0EB-B2D1C8F6D021}"/>
    <cellStyle name="Currency 5 2 2 3 6 5" xfId="10529" xr:uid="{79FE305C-AC30-4722-9308-1409BCECCFCB}"/>
    <cellStyle name="Currency 5 2 2 3 7" xfId="2426" xr:uid="{00000000-0005-0000-0000-0000EE0B0000}"/>
    <cellStyle name="Currency 5 2 2 3 7 2" xfId="6710" xr:uid="{00000000-0005-0000-0000-0000EF0B0000}"/>
    <cellStyle name="Currency 5 2 2 3 7 2 2" xfId="23608" xr:uid="{E4510E4A-25D8-4689-AA30-C7DD3A09B737}"/>
    <cellStyle name="Currency 5 2 2 3 7 2 3" xfId="15160" xr:uid="{66E83944-BA30-4B03-9D69-D545F1D09F0D}"/>
    <cellStyle name="Currency 5 2 2 3 7 3" xfId="19390" xr:uid="{F5674440-2EEB-42E5-99FF-CE3C6D82F799}"/>
    <cellStyle name="Currency 5 2 2 3 7 4" xfId="10942" xr:uid="{44F38823-3489-464F-9702-4CB16CB5A68B}"/>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23925" xr:uid="{3067AF73-F312-46A2-885A-A781130D3BBF}"/>
    <cellStyle name="Currency 5 2 2 3 9 2 3" xfId="15477" xr:uid="{05E25044-C30E-4D3A-B70E-C3D9E30BE443}"/>
    <cellStyle name="Currency 5 2 2 3 9 3" xfId="19707" xr:uid="{BD80365E-7A36-482C-B5EB-9D480B1A9179}"/>
    <cellStyle name="Currency 5 2 2 3 9 4" xfId="11259" xr:uid="{5014B239-0AB5-4157-B232-461290778E61}"/>
    <cellStyle name="Currency 5 2 2 4" xfId="202" xr:uid="{00000000-0005-0000-0000-0000F30B0000}"/>
    <cellStyle name="Currency 5 2 2 4 10" xfId="17326" xr:uid="{F1706CB9-303F-4A54-9C72-9D6A8DE1F931}"/>
    <cellStyle name="Currency 5 2 2 4 11" xfId="8878" xr:uid="{F9A84FB9-1919-44A9-95A0-EA256F98F81D}"/>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24103" xr:uid="{F95362EB-6339-4113-A41B-C182CC10BEE5}"/>
    <cellStyle name="Currency 5 2 2 4 2 2 2 3" xfId="15655" xr:uid="{703BEF51-3BAB-4CC1-99BC-83AC86838168}"/>
    <cellStyle name="Currency 5 2 2 4 2 2 3" xfId="19885" xr:uid="{877C3286-CA44-428E-BD3D-32B9BF112FA7}"/>
    <cellStyle name="Currency 5 2 2 4 2 2 4" xfId="11437" xr:uid="{83DA8BD0-C73A-43DD-9000-13416255BC16}"/>
    <cellStyle name="Currency 5 2 2 4 2 3" xfId="5060" xr:uid="{00000000-0005-0000-0000-0000F70B0000}"/>
    <cellStyle name="Currency 5 2 2 4 2 3 2" xfId="21958" xr:uid="{2B0AFE88-82D4-406F-AC9B-3440182AFCE6}"/>
    <cellStyle name="Currency 5 2 2 4 2 3 3" xfId="13510" xr:uid="{28623087-7FCC-4EBB-8E3C-0E560B3B3630}"/>
    <cellStyle name="Currency 5 2 2 4 2 4" xfId="17740" xr:uid="{D268F8B4-15AF-485D-8FD6-9F383449273A}"/>
    <cellStyle name="Currency 5 2 2 4 2 5" xfId="9292" xr:uid="{F6678C07-6233-47C0-82E1-CE435DE6388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24516" xr:uid="{92E872CE-D53D-4D67-A2B2-2B7D397C3A0E}"/>
    <cellStyle name="Currency 5 2 2 4 3 2 2 3" xfId="16068" xr:uid="{E80E9FF2-7425-42F7-B22E-19C79F050C36}"/>
    <cellStyle name="Currency 5 2 2 4 3 2 3" xfId="20298" xr:uid="{7DFD7452-294A-47A2-B511-4F1F9FA05F26}"/>
    <cellStyle name="Currency 5 2 2 4 3 2 4" xfId="11850" xr:uid="{8904EB0C-2C6B-40D0-939D-3800C07201D6}"/>
    <cellStyle name="Currency 5 2 2 4 3 3" xfId="5473" xr:uid="{00000000-0005-0000-0000-0000FB0B0000}"/>
    <cellStyle name="Currency 5 2 2 4 3 3 2" xfId="22371" xr:uid="{46BC400D-BC8D-4C13-89F1-BCEA08252403}"/>
    <cellStyle name="Currency 5 2 2 4 3 3 3" xfId="13923" xr:uid="{6910E938-EF52-4756-AF65-75D33DE602F2}"/>
    <cellStyle name="Currency 5 2 2 4 3 4" xfId="18153" xr:uid="{D0C1E318-3F32-4EF2-93BC-9361C9CCFE10}"/>
    <cellStyle name="Currency 5 2 2 4 3 5" xfId="9705" xr:uid="{3F21C40A-4469-4FD5-B197-DCAC59AB770A}"/>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24929" xr:uid="{B1A4A1DF-F696-4790-A852-72CAC8A0AFD0}"/>
    <cellStyle name="Currency 5 2 2 4 4 2 2 3" xfId="16481" xr:uid="{9CCBFBC9-A394-4BBB-ACED-E49621206F5C}"/>
    <cellStyle name="Currency 5 2 2 4 4 2 3" xfId="20711" xr:uid="{D038BC68-98FF-4923-A713-1BC386E58C39}"/>
    <cellStyle name="Currency 5 2 2 4 4 2 4" xfId="12263" xr:uid="{DB22E944-58CD-4BE8-B294-06420ACF55DD}"/>
    <cellStyle name="Currency 5 2 2 4 4 3" xfId="5886" xr:uid="{00000000-0005-0000-0000-0000FF0B0000}"/>
    <cellStyle name="Currency 5 2 2 4 4 3 2" xfId="22784" xr:uid="{5F186B46-E773-479F-824C-BA9C54D7DE11}"/>
    <cellStyle name="Currency 5 2 2 4 4 3 3" xfId="14336" xr:uid="{9038C859-018C-4EA8-A321-E09E52F779C7}"/>
    <cellStyle name="Currency 5 2 2 4 4 4" xfId="18566" xr:uid="{B90A3B24-EF64-47DD-B2C1-EC60EC369AF0}"/>
    <cellStyle name="Currency 5 2 2 4 4 5" xfId="10118" xr:uid="{79D9C66C-6AAC-43C7-91FD-A47BAF8F09D9}"/>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25342" xr:uid="{3ECA1014-C9B9-4EF9-BB47-EFC9EC465CDE}"/>
    <cellStyle name="Currency 5 2 2 4 5 2 2 3" xfId="16894" xr:uid="{52BFDAC8-B0F4-4D08-9A13-22F04FE8210F}"/>
    <cellStyle name="Currency 5 2 2 4 5 2 3" xfId="21124" xr:uid="{1C575386-927C-4BB6-90FF-996D05DD3297}"/>
    <cellStyle name="Currency 5 2 2 4 5 2 4" xfId="12676" xr:uid="{76FEB45C-DF07-4DDE-A09C-58DD0499DF3A}"/>
    <cellStyle name="Currency 5 2 2 4 5 3" xfId="6299" xr:uid="{00000000-0005-0000-0000-0000030C0000}"/>
    <cellStyle name="Currency 5 2 2 4 5 3 2" xfId="23197" xr:uid="{D9C5F07F-4DE7-44DC-9662-25A5C08BD5E0}"/>
    <cellStyle name="Currency 5 2 2 4 5 3 3" xfId="14749" xr:uid="{EB387548-F0E2-4329-A58B-FEE27BB4604F}"/>
    <cellStyle name="Currency 5 2 2 4 5 4" xfId="18979" xr:uid="{8607A754-0502-4BB2-928E-D005CA303357}"/>
    <cellStyle name="Currency 5 2 2 4 5 5" xfId="10531" xr:uid="{C30A5040-9198-45DD-84A9-C763F25978BC}"/>
    <cellStyle name="Currency 5 2 2 4 6" xfId="2428" xr:uid="{00000000-0005-0000-0000-0000040C0000}"/>
    <cellStyle name="Currency 5 2 2 4 6 2" xfId="6712" xr:uid="{00000000-0005-0000-0000-0000050C0000}"/>
    <cellStyle name="Currency 5 2 2 4 6 2 2" xfId="23610" xr:uid="{02FC8F9B-99C0-4B63-99BC-27F7915CC028}"/>
    <cellStyle name="Currency 5 2 2 4 6 2 3" xfId="15162" xr:uid="{9B428E41-006F-4251-9475-19FFA577D195}"/>
    <cellStyle name="Currency 5 2 2 4 6 3" xfId="19392" xr:uid="{8271B0F9-2AA7-467C-9226-B7FE6B70A65F}"/>
    <cellStyle name="Currency 5 2 2 4 6 4" xfId="10944" xr:uid="{933FA340-C4A3-4890-9E38-7B1A2C64DC4D}"/>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23927" xr:uid="{40E055FC-2F5C-4931-A6B8-08C472034E4F}"/>
    <cellStyle name="Currency 5 2 2 4 8 2 3" xfId="15479" xr:uid="{4EDF3E60-2DCC-4457-92E5-30F36BE6831A}"/>
    <cellStyle name="Currency 5 2 2 4 8 3" xfId="19709" xr:uid="{892B70D8-F8AC-40A6-81BB-203340B5CA5B}"/>
    <cellStyle name="Currency 5 2 2 4 8 4" xfId="11261" xr:uid="{6C3DDC24-ADF5-4570-8B2A-93BEE6106258}"/>
    <cellStyle name="Currency 5 2 2 4 9" xfId="4646" xr:uid="{00000000-0005-0000-0000-0000090C0000}"/>
    <cellStyle name="Currency 5 2 2 4 9 2" xfId="21544" xr:uid="{31C8EE18-E14A-4D8D-8366-B1972A43DD30}"/>
    <cellStyle name="Currency 5 2 2 4 9 3" xfId="13096" xr:uid="{E967E581-6992-428C-93CD-9F7CAF065FD5}"/>
    <cellStyle name="Currency 5 2 2 5" xfId="203" xr:uid="{00000000-0005-0000-0000-00000A0C0000}"/>
    <cellStyle name="Currency 5 2 2 5 10" xfId="17327" xr:uid="{01BEC1BC-502F-4EBB-A8F5-F089E1848BFC}"/>
    <cellStyle name="Currency 5 2 2 5 11" xfId="8879" xr:uid="{05B823CF-ACEC-4AA1-B610-209496A1432F}"/>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24104" xr:uid="{3E5D1D16-74F4-4BA6-ADC2-D1E2C9AFE88C}"/>
    <cellStyle name="Currency 5 2 2 5 2 2 2 3" xfId="15656" xr:uid="{D4A75023-9566-422C-8CC0-FD21B03A3263}"/>
    <cellStyle name="Currency 5 2 2 5 2 2 3" xfId="19886" xr:uid="{E9CECB36-6EEF-4D0E-81E8-FB5ADB2861FE}"/>
    <cellStyle name="Currency 5 2 2 5 2 2 4" xfId="11438" xr:uid="{2E98F545-85DB-44D1-9B72-984C24F1FBA0}"/>
    <cellStyle name="Currency 5 2 2 5 2 3" xfId="5061" xr:uid="{00000000-0005-0000-0000-00000E0C0000}"/>
    <cellStyle name="Currency 5 2 2 5 2 3 2" xfId="21959" xr:uid="{A5A133F9-09B4-4FD9-A434-FD1354482C6C}"/>
    <cellStyle name="Currency 5 2 2 5 2 3 3" xfId="13511" xr:uid="{56489EA8-399D-4E8E-994B-7A8DD85AF4BC}"/>
    <cellStyle name="Currency 5 2 2 5 2 4" xfId="17741" xr:uid="{A85F6CE9-6951-497C-9D13-E749D46239A9}"/>
    <cellStyle name="Currency 5 2 2 5 2 5" xfId="9293" xr:uid="{29625904-9AC9-4B3E-A701-D6FDA9E9E1F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24517" xr:uid="{CF6738F7-1B16-4C1F-AB76-6C22C6DA61FA}"/>
    <cellStyle name="Currency 5 2 2 5 3 2 2 3" xfId="16069" xr:uid="{33501B40-43C7-42C4-ADB3-F0FDF94DDE25}"/>
    <cellStyle name="Currency 5 2 2 5 3 2 3" xfId="20299" xr:uid="{89726DC4-EED9-44DB-8097-7A6F8DC455C6}"/>
    <cellStyle name="Currency 5 2 2 5 3 2 4" xfId="11851" xr:uid="{E4AC20EC-8171-4791-BD57-ACF36E59BB9A}"/>
    <cellStyle name="Currency 5 2 2 5 3 3" xfId="5474" xr:uid="{00000000-0005-0000-0000-0000120C0000}"/>
    <cellStyle name="Currency 5 2 2 5 3 3 2" xfId="22372" xr:uid="{81B35294-E221-4BB3-BDB2-0E1ABA737B28}"/>
    <cellStyle name="Currency 5 2 2 5 3 3 3" xfId="13924" xr:uid="{7F4F39B4-AC70-43D8-8DE0-94EA8389279E}"/>
    <cellStyle name="Currency 5 2 2 5 3 4" xfId="18154" xr:uid="{1B95989A-DD9A-4461-B821-AE0C5F799389}"/>
    <cellStyle name="Currency 5 2 2 5 3 5" xfId="9706" xr:uid="{CDC48329-076B-4B43-8FE3-845D1B93054D}"/>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24930" xr:uid="{DB4DC61C-78CB-440C-A4E5-DD24A2C6122E}"/>
    <cellStyle name="Currency 5 2 2 5 4 2 2 3" xfId="16482" xr:uid="{FB3BD216-1578-4248-9BF2-40D76B779975}"/>
    <cellStyle name="Currency 5 2 2 5 4 2 3" xfId="20712" xr:uid="{39BC0AA3-668E-40AC-99EB-9E05B0C5E48C}"/>
    <cellStyle name="Currency 5 2 2 5 4 2 4" xfId="12264" xr:uid="{61E160E5-4F37-42B2-A97A-194C972CC39E}"/>
    <cellStyle name="Currency 5 2 2 5 4 3" xfId="5887" xr:uid="{00000000-0005-0000-0000-0000160C0000}"/>
    <cellStyle name="Currency 5 2 2 5 4 3 2" xfId="22785" xr:uid="{8B15AC3F-0121-4711-AC1C-34443B7E6E06}"/>
    <cellStyle name="Currency 5 2 2 5 4 3 3" xfId="14337" xr:uid="{1768A978-6AAB-48EE-A0CB-8A94BDEA37B9}"/>
    <cellStyle name="Currency 5 2 2 5 4 4" xfId="18567" xr:uid="{2DEC7B6E-280B-428B-A633-172A9EDD1568}"/>
    <cellStyle name="Currency 5 2 2 5 4 5" xfId="10119" xr:uid="{3385CEF2-3D25-4182-B684-69B18FEEAEBF}"/>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25343" xr:uid="{71E551C0-DE7B-4C65-9F45-C114754EEC82}"/>
    <cellStyle name="Currency 5 2 2 5 5 2 2 3" xfId="16895" xr:uid="{8D2A6A70-F5F8-44C4-B154-695C669B0FA2}"/>
    <cellStyle name="Currency 5 2 2 5 5 2 3" xfId="21125" xr:uid="{79A15B00-AC46-4C73-8992-549708CC3490}"/>
    <cellStyle name="Currency 5 2 2 5 5 2 4" xfId="12677" xr:uid="{68435978-FAAC-4E67-B670-A5C8BD6BC445}"/>
    <cellStyle name="Currency 5 2 2 5 5 3" xfId="6300" xr:uid="{00000000-0005-0000-0000-00001A0C0000}"/>
    <cellStyle name="Currency 5 2 2 5 5 3 2" xfId="23198" xr:uid="{FF778BB4-2913-4537-832A-3B82F7B9C0AC}"/>
    <cellStyle name="Currency 5 2 2 5 5 3 3" xfId="14750" xr:uid="{06B5059B-A48D-434B-8E61-A481022776B3}"/>
    <cellStyle name="Currency 5 2 2 5 5 4" xfId="18980" xr:uid="{821E66A0-997D-44EA-90D7-A44127EF10D7}"/>
    <cellStyle name="Currency 5 2 2 5 5 5" xfId="10532" xr:uid="{DADE82C0-4696-450D-9B2C-CDEB0EC28024}"/>
    <cellStyle name="Currency 5 2 2 5 6" xfId="2429" xr:uid="{00000000-0005-0000-0000-00001B0C0000}"/>
    <cellStyle name="Currency 5 2 2 5 6 2" xfId="6713" xr:uid="{00000000-0005-0000-0000-00001C0C0000}"/>
    <cellStyle name="Currency 5 2 2 5 6 2 2" xfId="23611" xr:uid="{19EA3FA7-D765-4849-82BE-06B10592EB3E}"/>
    <cellStyle name="Currency 5 2 2 5 6 2 3" xfId="15163" xr:uid="{D3D38835-5840-40BF-95F4-6F64EA7509AE}"/>
    <cellStyle name="Currency 5 2 2 5 6 3" xfId="19393" xr:uid="{AECE3A65-931E-4EB1-A535-605EAC95ECCD}"/>
    <cellStyle name="Currency 5 2 2 5 6 4" xfId="10945" xr:uid="{6DA1B06F-3FF7-469E-A9D8-57A00AD6FA6F}"/>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23928" xr:uid="{26237ED8-54E6-4893-A4A3-0278DF237821}"/>
    <cellStyle name="Currency 5 2 2 5 8 2 3" xfId="15480" xr:uid="{B94B493B-37F8-42F3-BB28-EB544D80ED9E}"/>
    <cellStyle name="Currency 5 2 2 5 8 3" xfId="19710" xr:uid="{093F061C-9E9F-4456-B512-BC7B9D55B109}"/>
    <cellStyle name="Currency 5 2 2 5 8 4" xfId="11262" xr:uid="{844A9EF3-3C55-4D79-B299-FDB500697F0D}"/>
    <cellStyle name="Currency 5 2 2 5 9" xfId="4647" xr:uid="{00000000-0005-0000-0000-0000200C0000}"/>
    <cellStyle name="Currency 5 2 2 5 9 2" xfId="21545" xr:uid="{A63C73F2-ED1E-4558-A47D-B28D971DB7B9}"/>
    <cellStyle name="Currency 5 2 2 5 9 3" xfId="13097" xr:uid="{D30586EF-FFC1-41A8-9150-ECE6F167DB89}"/>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21546" xr:uid="{19E1DC21-9F4D-4CE6-877A-016E3FD478BB}"/>
    <cellStyle name="Currency 5 2 4 10 3" xfId="13098" xr:uid="{AFA4CA34-696B-4FD2-9614-D8051C23CEF5}"/>
    <cellStyle name="Currency 5 2 4 11" xfId="17328" xr:uid="{22286C7B-F957-4255-AD32-3B01933A79B2}"/>
    <cellStyle name="Currency 5 2 4 12" xfId="8880" xr:uid="{023B9213-E910-4E31-B094-7023831090F5}"/>
    <cellStyle name="Currency 5 2 4 2" xfId="206" xr:uid="{00000000-0005-0000-0000-0000250C0000}"/>
    <cellStyle name="Currency 5 2 4 2 10" xfId="17329" xr:uid="{C453FE0E-813A-4D99-ACA4-27F375E4C412}"/>
    <cellStyle name="Currency 5 2 4 2 11" xfId="8881" xr:uid="{56BD1903-F3E1-46E4-AA9C-943B1614B081}"/>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24106" xr:uid="{D289C926-B6B0-4230-BBDA-F8E0FF026E41}"/>
    <cellStyle name="Currency 5 2 4 2 2 2 2 3" xfId="15658" xr:uid="{AB3A46B7-3D44-4B9B-BC11-8DA0B5C36420}"/>
    <cellStyle name="Currency 5 2 4 2 2 2 3" xfId="19888" xr:uid="{E9FC72EC-40B6-4970-AE1F-4FC939DC3231}"/>
    <cellStyle name="Currency 5 2 4 2 2 2 4" xfId="11440" xr:uid="{CFFAA091-B04B-4DEC-909E-E10745FEC258}"/>
    <cellStyle name="Currency 5 2 4 2 2 3" xfId="5063" xr:uid="{00000000-0005-0000-0000-0000290C0000}"/>
    <cellStyle name="Currency 5 2 4 2 2 3 2" xfId="21961" xr:uid="{6CAD37B6-E1B5-4291-84D3-F29C5424CCDB}"/>
    <cellStyle name="Currency 5 2 4 2 2 3 3" xfId="13513" xr:uid="{387ED3F0-5BA4-4419-AFCE-19A653764C22}"/>
    <cellStyle name="Currency 5 2 4 2 2 4" xfId="17743" xr:uid="{3177F10A-F53E-4A3B-805D-2863BEFC1547}"/>
    <cellStyle name="Currency 5 2 4 2 2 5" xfId="9295" xr:uid="{44ED9FD0-2915-49A1-A59F-09C51E20D25B}"/>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24519" xr:uid="{16AA7F48-1956-4A6B-B2B7-B475953A5AF9}"/>
    <cellStyle name="Currency 5 2 4 2 3 2 2 3" xfId="16071" xr:uid="{F5694479-AC74-493D-AC43-F9357EE353B6}"/>
    <cellStyle name="Currency 5 2 4 2 3 2 3" xfId="20301" xr:uid="{8D3CF938-E6E3-4D65-8226-76101226CF0C}"/>
    <cellStyle name="Currency 5 2 4 2 3 2 4" xfId="11853" xr:uid="{8063A206-65B0-48AE-A1AD-84BD955AA551}"/>
    <cellStyle name="Currency 5 2 4 2 3 3" xfId="5476" xr:uid="{00000000-0005-0000-0000-00002D0C0000}"/>
    <cellStyle name="Currency 5 2 4 2 3 3 2" xfId="22374" xr:uid="{323F8656-07A6-47A0-9AF2-215C9F7A3F92}"/>
    <cellStyle name="Currency 5 2 4 2 3 3 3" xfId="13926" xr:uid="{1F00961F-3688-4A74-8C75-3AE419B53E3F}"/>
    <cellStyle name="Currency 5 2 4 2 3 4" xfId="18156" xr:uid="{30B251C8-6D8A-4B41-8488-A72AC1862011}"/>
    <cellStyle name="Currency 5 2 4 2 3 5" xfId="9708" xr:uid="{5FCA0418-CDD6-48CD-B981-74C49BE67BC6}"/>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24932" xr:uid="{0E2C0E05-E95A-4017-8A5F-547AE504CBF1}"/>
    <cellStyle name="Currency 5 2 4 2 4 2 2 3" xfId="16484" xr:uid="{A95F95CA-0FDA-4206-85F6-AC71D2D437EE}"/>
    <cellStyle name="Currency 5 2 4 2 4 2 3" xfId="20714" xr:uid="{A1B3358E-3492-40D5-A3B9-97DEA06606C5}"/>
    <cellStyle name="Currency 5 2 4 2 4 2 4" xfId="12266" xr:uid="{97B19199-8E5C-4B38-9CCC-E16873F7D155}"/>
    <cellStyle name="Currency 5 2 4 2 4 3" xfId="5889" xr:uid="{00000000-0005-0000-0000-0000310C0000}"/>
    <cellStyle name="Currency 5 2 4 2 4 3 2" xfId="22787" xr:uid="{CE0E7487-5714-4A73-A829-EC64115146F4}"/>
    <cellStyle name="Currency 5 2 4 2 4 3 3" xfId="14339" xr:uid="{4405CD72-416B-4420-9132-D6BAA46F2B13}"/>
    <cellStyle name="Currency 5 2 4 2 4 4" xfId="18569" xr:uid="{052AA118-0803-452B-ACA9-1FEBC5C42B1D}"/>
    <cellStyle name="Currency 5 2 4 2 4 5" xfId="10121" xr:uid="{459C9CF3-F615-4362-9376-628B002182E2}"/>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25345" xr:uid="{9C9E7EB9-5240-4F5A-8A22-245DEA559442}"/>
    <cellStyle name="Currency 5 2 4 2 5 2 2 3" xfId="16897" xr:uid="{6ACEEE30-0259-4CB0-96FB-16603760E413}"/>
    <cellStyle name="Currency 5 2 4 2 5 2 3" xfId="21127" xr:uid="{5BA1BCEB-B359-49BE-9AAE-6AC509A4752D}"/>
    <cellStyle name="Currency 5 2 4 2 5 2 4" xfId="12679" xr:uid="{555826BA-A34A-45F3-BEBC-ADFDFF18E54B}"/>
    <cellStyle name="Currency 5 2 4 2 5 3" xfId="6302" xr:uid="{00000000-0005-0000-0000-0000350C0000}"/>
    <cellStyle name="Currency 5 2 4 2 5 3 2" xfId="23200" xr:uid="{1E724A24-9007-4F61-92A3-8E17F7EF0362}"/>
    <cellStyle name="Currency 5 2 4 2 5 3 3" xfId="14752" xr:uid="{C8C0E5F7-EFEE-4881-BEC4-8C506FA79CC3}"/>
    <cellStyle name="Currency 5 2 4 2 5 4" xfId="18982" xr:uid="{05A4D1D1-462F-4A80-93EC-4E4DF2C959EF}"/>
    <cellStyle name="Currency 5 2 4 2 5 5" xfId="10534" xr:uid="{6B6B0A72-F2A7-4C9F-B7CD-9CCC5F07834A}"/>
    <cellStyle name="Currency 5 2 4 2 6" xfId="2431" xr:uid="{00000000-0005-0000-0000-0000360C0000}"/>
    <cellStyle name="Currency 5 2 4 2 6 2" xfId="6715" xr:uid="{00000000-0005-0000-0000-0000370C0000}"/>
    <cellStyle name="Currency 5 2 4 2 6 2 2" xfId="23613" xr:uid="{1C162276-7C72-4313-B995-8A5408F47131}"/>
    <cellStyle name="Currency 5 2 4 2 6 2 3" xfId="15165" xr:uid="{6895D215-2679-4BBA-8C6C-876FB124DC83}"/>
    <cellStyle name="Currency 5 2 4 2 6 3" xfId="19395" xr:uid="{46764D50-ECE2-428E-B8C2-4D0182ADBA08}"/>
    <cellStyle name="Currency 5 2 4 2 6 4" xfId="10947" xr:uid="{8D53E010-C8D5-4092-9F9D-95D8B16A170E}"/>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23930" xr:uid="{E9A64D22-BBF4-466D-82B2-5C99C334734A}"/>
    <cellStyle name="Currency 5 2 4 2 8 2 3" xfId="15482" xr:uid="{F56C8509-E817-4D1E-B6DA-35FC6C74C038}"/>
    <cellStyle name="Currency 5 2 4 2 8 3" xfId="19712" xr:uid="{1372AE4A-C16C-49D5-A98A-B61344E77099}"/>
    <cellStyle name="Currency 5 2 4 2 8 4" xfId="11264" xr:uid="{D7BCBD48-4B2A-4762-A9FB-FFA6C850B33C}"/>
    <cellStyle name="Currency 5 2 4 2 9" xfId="4649" xr:uid="{00000000-0005-0000-0000-00003B0C0000}"/>
    <cellStyle name="Currency 5 2 4 2 9 2" xfId="21547" xr:uid="{2B87391A-FCF1-4824-816A-842417AA9492}"/>
    <cellStyle name="Currency 5 2 4 2 9 3" xfId="13099" xr:uid="{1469F487-D56C-49B3-8299-6F17C7CEA469}"/>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24105" xr:uid="{7E34FD01-0DF6-4C74-B444-9BA5BBC551F1}"/>
    <cellStyle name="Currency 5 2 4 3 2 2 3" xfId="15657" xr:uid="{ABCEB8EE-C6D3-447D-A655-A149FDB5D5B3}"/>
    <cellStyle name="Currency 5 2 4 3 2 3" xfId="19887" xr:uid="{7A44FE10-FFFF-4C83-92EF-8EDE19A8ACCF}"/>
    <cellStyle name="Currency 5 2 4 3 2 4" xfId="11439" xr:uid="{7F6C0F97-7B24-4967-BCEB-E1B3D1D52DE7}"/>
    <cellStyle name="Currency 5 2 4 3 3" xfId="5062" xr:uid="{00000000-0005-0000-0000-00003F0C0000}"/>
    <cellStyle name="Currency 5 2 4 3 3 2" xfId="21960" xr:uid="{E77F0BC5-F352-4CCB-BF40-F15FF9484818}"/>
    <cellStyle name="Currency 5 2 4 3 3 3" xfId="13512" xr:uid="{5BA1B614-55A6-40C9-BDD7-69FD0F1B8B07}"/>
    <cellStyle name="Currency 5 2 4 3 4" xfId="17742" xr:uid="{3C0B15DA-9E12-44A2-A690-13C5D4DFCE75}"/>
    <cellStyle name="Currency 5 2 4 3 5" xfId="9294" xr:uid="{499D1360-EF48-4B03-835F-9FFD9CB816EB}"/>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24518" xr:uid="{E4F3C918-C971-4541-94BD-FC60A8B35DF3}"/>
    <cellStyle name="Currency 5 2 4 4 2 2 3" xfId="16070" xr:uid="{BF2973D1-F92A-4C90-AD2C-8F7267EC7CF2}"/>
    <cellStyle name="Currency 5 2 4 4 2 3" xfId="20300" xr:uid="{058CAAB1-30DF-4A67-BEEC-12D06494BCA3}"/>
    <cellStyle name="Currency 5 2 4 4 2 4" xfId="11852" xr:uid="{E3D67160-0B85-45EF-9104-1B866175E9F9}"/>
    <cellStyle name="Currency 5 2 4 4 3" xfId="5475" xr:uid="{00000000-0005-0000-0000-0000430C0000}"/>
    <cellStyle name="Currency 5 2 4 4 3 2" xfId="22373" xr:uid="{68C0F5E6-88EE-4226-B22C-24F10F178FB9}"/>
    <cellStyle name="Currency 5 2 4 4 3 3" xfId="13925" xr:uid="{7BD34513-8C64-46D6-A37A-579290058DEC}"/>
    <cellStyle name="Currency 5 2 4 4 4" xfId="18155" xr:uid="{EBF95F2A-3F40-4761-BE40-748D9553E887}"/>
    <cellStyle name="Currency 5 2 4 4 5" xfId="9707" xr:uid="{965454F8-55EB-428A-A0EA-9ECE1993C217}"/>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24931" xr:uid="{0F7438C4-AACD-47C5-971B-D3E3ECA967F6}"/>
    <cellStyle name="Currency 5 2 4 5 2 2 3" xfId="16483" xr:uid="{578595C8-4547-403B-9963-0703580C4DD0}"/>
    <cellStyle name="Currency 5 2 4 5 2 3" xfId="20713" xr:uid="{754E2E9B-DF3C-4ED0-AB51-0EBBE0D41E7E}"/>
    <cellStyle name="Currency 5 2 4 5 2 4" xfId="12265" xr:uid="{E8CF6434-7757-47EE-92B1-999CE7393B8D}"/>
    <cellStyle name="Currency 5 2 4 5 3" xfId="5888" xr:uid="{00000000-0005-0000-0000-0000470C0000}"/>
    <cellStyle name="Currency 5 2 4 5 3 2" xfId="22786" xr:uid="{0D6C378A-0EFC-4FEB-899C-A2E45168552F}"/>
    <cellStyle name="Currency 5 2 4 5 3 3" xfId="14338" xr:uid="{7E6A9430-0DF8-479C-8F4B-3916B50B39BD}"/>
    <cellStyle name="Currency 5 2 4 5 4" xfId="18568" xr:uid="{2129BE0E-10B7-4059-82E7-2ECE0AA7A45E}"/>
    <cellStyle name="Currency 5 2 4 5 5" xfId="10120" xr:uid="{42139A02-91DE-4F25-9BDD-4D84698BF5CA}"/>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25344" xr:uid="{743AFC55-2677-46D4-B344-010A4FFE62E4}"/>
    <cellStyle name="Currency 5 2 4 6 2 2 3" xfId="16896" xr:uid="{7A722598-E0C6-4BF6-ACDB-CF417B1044C7}"/>
    <cellStyle name="Currency 5 2 4 6 2 3" xfId="21126" xr:uid="{3D81987B-28B3-47D5-B642-903C1214C7C7}"/>
    <cellStyle name="Currency 5 2 4 6 2 4" xfId="12678" xr:uid="{36B90F52-0DAE-460F-9DD4-36FB35B15C28}"/>
    <cellStyle name="Currency 5 2 4 6 3" xfId="6301" xr:uid="{00000000-0005-0000-0000-00004B0C0000}"/>
    <cellStyle name="Currency 5 2 4 6 3 2" xfId="23199" xr:uid="{E3DB346C-210D-4AB7-8CFA-25F9E687BA9F}"/>
    <cellStyle name="Currency 5 2 4 6 3 3" xfId="14751" xr:uid="{4CA7E5F4-7193-4578-B84B-5C38BE7E960E}"/>
    <cellStyle name="Currency 5 2 4 6 4" xfId="18981" xr:uid="{97282707-7BD4-4337-9DC7-EB12229EFA72}"/>
    <cellStyle name="Currency 5 2 4 6 5" xfId="10533" xr:uid="{B1B58BE6-4055-49DB-9AA8-7492FE07E044}"/>
    <cellStyle name="Currency 5 2 4 7" xfId="2430" xr:uid="{00000000-0005-0000-0000-00004C0C0000}"/>
    <cellStyle name="Currency 5 2 4 7 2" xfId="6714" xr:uid="{00000000-0005-0000-0000-00004D0C0000}"/>
    <cellStyle name="Currency 5 2 4 7 2 2" xfId="23612" xr:uid="{6EE6A9FA-B070-43C1-939B-37C1D68BAA9E}"/>
    <cellStyle name="Currency 5 2 4 7 2 3" xfId="15164" xr:uid="{A66F62D4-038B-455C-BC8C-176D701EDEAE}"/>
    <cellStyle name="Currency 5 2 4 7 3" xfId="19394" xr:uid="{986B9F54-556E-4575-A196-76DBF588FBB7}"/>
    <cellStyle name="Currency 5 2 4 7 4" xfId="10946" xr:uid="{92FBEE96-0B73-43F6-9DFB-C786728BCEA9}"/>
    <cellStyle name="Currency 5 2 4 8" xfId="2727" xr:uid="{00000000-0005-0000-0000-00004E0C0000}"/>
    <cellStyle name="Currency 5 2 4 9" xfId="2808" xr:uid="{00000000-0005-0000-0000-00004F0C0000}"/>
    <cellStyle name="Currency 5 2 4 9 2" xfId="7031" xr:uid="{00000000-0005-0000-0000-0000500C0000}"/>
    <cellStyle name="Currency 5 2 4 9 2 2" xfId="23929" xr:uid="{E5B3EF7D-E087-4C4A-A321-AE5CE73B337D}"/>
    <cellStyle name="Currency 5 2 4 9 2 3" xfId="15481" xr:uid="{6EA67C4D-ABE4-4C0E-8BF8-CD6FBECCA0F7}"/>
    <cellStyle name="Currency 5 2 4 9 3" xfId="19711" xr:uid="{D33B4A0B-34BD-429C-8703-F046D3A99461}"/>
    <cellStyle name="Currency 5 2 4 9 4" xfId="11263" xr:uid="{CB92D4B8-8DAB-4651-9772-D624BFC7DF41}"/>
    <cellStyle name="Currency 5 2 5" xfId="207" xr:uid="{00000000-0005-0000-0000-0000510C0000}"/>
    <cellStyle name="Currency 5 2 5 10" xfId="17330" xr:uid="{9144636F-5B7E-4A3B-9662-609255686F12}"/>
    <cellStyle name="Currency 5 2 5 11" xfId="8882" xr:uid="{C1D1D8A8-F933-4DD4-A1BC-FC029905ED2E}"/>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24107" xr:uid="{0B381769-4DD5-4AF1-8BF4-C264D13448F0}"/>
    <cellStyle name="Currency 5 2 5 2 2 2 3" xfId="15659" xr:uid="{CBEB90AA-9DE7-4B09-9C07-A2EC37DD07E5}"/>
    <cellStyle name="Currency 5 2 5 2 2 3" xfId="19889" xr:uid="{0B95AAEC-C0FD-43EF-809B-461013476A6A}"/>
    <cellStyle name="Currency 5 2 5 2 2 4" xfId="11441" xr:uid="{1641E549-E5E2-459D-8B5D-3A0891EB50C3}"/>
    <cellStyle name="Currency 5 2 5 2 3" xfId="5064" xr:uid="{00000000-0005-0000-0000-0000550C0000}"/>
    <cellStyle name="Currency 5 2 5 2 3 2" xfId="21962" xr:uid="{3CF1C69D-6216-4DF6-BA93-748918D168CE}"/>
    <cellStyle name="Currency 5 2 5 2 3 3" xfId="13514" xr:uid="{A59CE4D5-BD26-4872-BDC5-5975858552E7}"/>
    <cellStyle name="Currency 5 2 5 2 4" xfId="17744" xr:uid="{4FC27F55-8999-4938-86DF-8EDED5D4650C}"/>
    <cellStyle name="Currency 5 2 5 2 5" xfId="9296" xr:uid="{D6C4D798-2461-4B8A-8CD2-312E38072F5B}"/>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24520" xr:uid="{75570B61-D629-4321-A696-8903A63DBD24}"/>
    <cellStyle name="Currency 5 2 5 3 2 2 3" xfId="16072" xr:uid="{91B37255-99DD-49B0-9754-51E2E2874904}"/>
    <cellStyle name="Currency 5 2 5 3 2 3" xfId="20302" xr:uid="{8A398C67-F522-4244-B2AA-75BB896AA79A}"/>
    <cellStyle name="Currency 5 2 5 3 2 4" xfId="11854" xr:uid="{930CB632-88EB-4578-981F-F0B2D38DCD22}"/>
    <cellStyle name="Currency 5 2 5 3 3" xfId="5477" xr:uid="{00000000-0005-0000-0000-0000590C0000}"/>
    <cellStyle name="Currency 5 2 5 3 3 2" xfId="22375" xr:uid="{6C30B520-1FBC-4CB4-B310-0EFF5309F668}"/>
    <cellStyle name="Currency 5 2 5 3 3 3" xfId="13927" xr:uid="{02382602-5994-4185-8CDC-D20FCD6DF5D9}"/>
    <cellStyle name="Currency 5 2 5 3 4" xfId="18157" xr:uid="{DC7FF4A1-B9AC-4875-A7EE-FEDF16612970}"/>
    <cellStyle name="Currency 5 2 5 3 5" xfId="9709" xr:uid="{E79389FB-EBA4-446C-9F0E-D4F70B9C2173}"/>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24933" xr:uid="{4B7DBBEA-1AD7-449A-A123-A9008E6EE477}"/>
    <cellStyle name="Currency 5 2 5 4 2 2 3" xfId="16485" xr:uid="{64E48474-03F9-406A-A014-4254923575D7}"/>
    <cellStyle name="Currency 5 2 5 4 2 3" xfId="20715" xr:uid="{22EAD148-038E-4A7B-9D3B-7F5ED39B6E77}"/>
    <cellStyle name="Currency 5 2 5 4 2 4" xfId="12267" xr:uid="{732DC2D1-E6C0-4DE2-B521-5143E84CA31C}"/>
    <cellStyle name="Currency 5 2 5 4 3" xfId="5890" xr:uid="{00000000-0005-0000-0000-00005D0C0000}"/>
    <cellStyle name="Currency 5 2 5 4 3 2" xfId="22788" xr:uid="{233DD7C7-62A4-4F1A-8D66-D2B72FA94BB3}"/>
    <cellStyle name="Currency 5 2 5 4 3 3" xfId="14340" xr:uid="{E9989663-5205-4718-8169-BB294672C770}"/>
    <cellStyle name="Currency 5 2 5 4 4" xfId="18570" xr:uid="{34006D23-8BCA-4F60-B1B6-27E6DA433DB1}"/>
    <cellStyle name="Currency 5 2 5 4 5" xfId="10122" xr:uid="{3DA22023-D17E-42C6-9034-C409E6DBCCFB}"/>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25346" xr:uid="{7CD51BC4-2165-45BF-81C6-99B147D4CD93}"/>
    <cellStyle name="Currency 5 2 5 5 2 2 3" xfId="16898" xr:uid="{0262A128-640C-4E95-8FF4-AA9DFA75D8D7}"/>
    <cellStyle name="Currency 5 2 5 5 2 3" xfId="21128" xr:uid="{6F36C79F-2522-46ED-9E10-2E363BE21A3B}"/>
    <cellStyle name="Currency 5 2 5 5 2 4" xfId="12680" xr:uid="{6BB79D5D-DEFF-46D0-A6BE-673FC19B5AD6}"/>
    <cellStyle name="Currency 5 2 5 5 3" xfId="6303" xr:uid="{00000000-0005-0000-0000-0000610C0000}"/>
    <cellStyle name="Currency 5 2 5 5 3 2" xfId="23201" xr:uid="{FD851560-33E1-47CC-8409-3C022427BDD5}"/>
    <cellStyle name="Currency 5 2 5 5 3 3" xfId="14753" xr:uid="{0D0E8954-4C49-4CD7-9A56-0742C2C6A8D1}"/>
    <cellStyle name="Currency 5 2 5 5 4" xfId="18983" xr:uid="{A6C2AB35-C5CE-40FD-BF98-B77981A2473F}"/>
    <cellStyle name="Currency 5 2 5 5 5" xfId="10535" xr:uid="{49655F26-2269-4E40-BE05-2A250382A6DC}"/>
    <cellStyle name="Currency 5 2 5 6" xfId="2432" xr:uid="{00000000-0005-0000-0000-0000620C0000}"/>
    <cellStyle name="Currency 5 2 5 6 2" xfId="6716" xr:uid="{00000000-0005-0000-0000-0000630C0000}"/>
    <cellStyle name="Currency 5 2 5 6 2 2" xfId="23614" xr:uid="{BEB96F00-E23F-4905-87CF-BFC7FC464D3B}"/>
    <cellStyle name="Currency 5 2 5 6 2 3" xfId="15166" xr:uid="{95A5EEBB-E60C-4417-B58D-360E3448FCDF}"/>
    <cellStyle name="Currency 5 2 5 6 3" xfId="19396" xr:uid="{ACC06B69-F19D-4C57-BA0A-FB5FFA9ADB8D}"/>
    <cellStyle name="Currency 5 2 5 6 4" xfId="10948" xr:uid="{AE0F198D-5606-4157-BDC4-3D1E57A8CC33}"/>
    <cellStyle name="Currency 5 2 5 7" xfId="2729" xr:uid="{00000000-0005-0000-0000-0000640C0000}"/>
    <cellStyle name="Currency 5 2 5 8" xfId="2810" xr:uid="{00000000-0005-0000-0000-0000650C0000}"/>
    <cellStyle name="Currency 5 2 5 8 2" xfId="7033" xr:uid="{00000000-0005-0000-0000-0000660C0000}"/>
    <cellStyle name="Currency 5 2 5 8 2 2" xfId="23931" xr:uid="{F48B03C7-C5FF-4490-8DB0-921A4428D9B3}"/>
    <cellStyle name="Currency 5 2 5 8 2 3" xfId="15483" xr:uid="{0407F598-B962-4526-B540-8155D8DFBF2F}"/>
    <cellStyle name="Currency 5 2 5 8 3" xfId="19713" xr:uid="{0A15FB51-AC84-4190-ADDA-4675B27B36DB}"/>
    <cellStyle name="Currency 5 2 5 8 4" xfId="11265" xr:uid="{79C21D26-FD98-410F-BCE7-462EB6D42B2E}"/>
    <cellStyle name="Currency 5 2 5 9" xfId="4650" xr:uid="{00000000-0005-0000-0000-0000670C0000}"/>
    <cellStyle name="Currency 5 2 5 9 2" xfId="21548" xr:uid="{2CF9E5E5-D279-4C9E-AAAF-4824847F179D}"/>
    <cellStyle name="Currency 5 2 5 9 3" xfId="13100" xr:uid="{29CEB2C3-1122-44E8-BC4A-770C5D86F298}"/>
    <cellStyle name="Currency 5 2 6" xfId="208" xr:uid="{00000000-0005-0000-0000-0000680C0000}"/>
    <cellStyle name="Currency 5 2 6 10" xfId="17331" xr:uid="{4BBCF175-09D4-4710-8B80-72F55E00828A}"/>
    <cellStyle name="Currency 5 2 6 11" xfId="8883" xr:uid="{D441D00F-B119-4BD0-B611-27BEA9250A5F}"/>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24108" xr:uid="{C9042CC4-8FFD-43DE-B464-1A157DEBA881}"/>
    <cellStyle name="Currency 5 2 6 2 2 2 3" xfId="15660" xr:uid="{7406D890-9F43-4D34-A5A8-5FF4D789B09B}"/>
    <cellStyle name="Currency 5 2 6 2 2 3" xfId="19890" xr:uid="{561DB70C-0C56-4D6A-A9F8-563304F0CCAD}"/>
    <cellStyle name="Currency 5 2 6 2 2 4" xfId="11442" xr:uid="{97E9EAB1-6B15-4B21-BED0-0640945CE30C}"/>
    <cellStyle name="Currency 5 2 6 2 3" xfId="5065" xr:uid="{00000000-0005-0000-0000-00006C0C0000}"/>
    <cellStyle name="Currency 5 2 6 2 3 2" xfId="21963" xr:uid="{971F2307-147C-479F-8817-17EACC824611}"/>
    <cellStyle name="Currency 5 2 6 2 3 3" xfId="13515" xr:uid="{1925A8D7-3A03-4448-BB22-3B16CEE23D55}"/>
    <cellStyle name="Currency 5 2 6 2 4" xfId="17745" xr:uid="{B9101994-D855-45B3-9FA3-F117D877D41C}"/>
    <cellStyle name="Currency 5 2 6 2 5" xfId="9297" xr:uid="{8D5F32D2-BF70-44B9-B838-94BC7FAFB794}"/>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24521" xr:uid="{756B2EA9-B4B4-4CEF-813D-41097089B8BB}"/>
    <cellStyle name="Currency 5 2 6 3 2 2 3" xfId="16073" xr:uid="{98791022-CE49-42A2-B620-D2C1BB6BBD97}"/>
    <cellStyle name="Currency 5 2 6 3 2 3" xfId="20303" xr:uid="{FEF819CA-A7B6-45A5-93E5-192855109C56}"/>
    <cellStyle name="Currency 5 2 6 3 2 4" xfId="11855" xr:uid="{771382FF-BA8D-4B1B-91CA-09981196B9B0}"/>
    <cellStyle name="Currency 5 2 6 3 3" xfId="5478" xr:uid="{00000000-0005-0000-0000-0000700C0000}"/>
    <cellStyle name="Currency 5 2 6 3 3 2" xfId="22376" xr:uid="{F7005314-A1AB-41BC-914D-2317E2FF44E3}"/>
    <cellStyle name="Currency 5 2 6 3 3 3" xfId="13928" xr:uid="{CFD8731A-52C2-46E6-A965-29BDD85F4F27}"/>
    <cellStyle name="Currency 5 2 6 3 4" xfId="18158" xr:uid="{35842054-5717-43B1-A300-01F248FB3B7F}"/>
    <cellStyle name="Currency 5 2 6 3 5" xfId="9710" xr:uid="{734A6D17-7940-4757-9473-965CA1B25297}"/>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24934" xr:uid="{84552236-CEFD-4641-8401-F5466821225D}"/>
    <cellStyle name="Currency 5 2 6 4 2 2 3" xfId="16486" xr:uid="{65905AC5-EE7B-4C43-AC33-49E9D0233B48}"/>
    <cellStyle name="Currency 5 2 6 4 2 3" xfId="20716" xr:uid="{19DD8767-E223-46F7-A177-73A01F7C86C4}"/>
    <cellStyle name="Currency 5 2 6 4 2 4" xfId="12268" xr:uid="{B5678F0B-1507-4912-A15E-955E5CE86F88}"/>
    <cellStyle name="Currency 5 2 6 4 3" xfId="5891" xr:uid="{00000000-0005-0000-0000-0000740C0000}"/>
    <cellStyle name="Currency 5 2 6 4 3 2" xfId="22789" xr:uid="{C3EFB233-DDA9-4F87-8AE6-8F695364686D}"/>
    <cellStyle name="Currency 5 2 6 4 3 3" xfId="14341" xr:uid="{2D0ECF63-EC04-4C4D-BDEA-36367DE45B34}"/>
    <cellStyle name="Currency 5 2 6 4 4" xfId="18571" xr:uid="{A1B2FA6F-1542-4DDE-8B10-5E7A1D02CCD3}"/>
    <cellStyle name="Currency 5 2 6 4 5" xfId="10123" xr:uid="{65732C00-0FEC-42D3-BB39-9B115D3F4D71}"/>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25347" xr:uid="{27D4D925-CE79-45C4-9B44-6FA541994FDC}"/>
    <cellStyle name="Currency 5 2 6 5 2 2 3" xfId="16899" xr:uid="{3EB3FE8F-DBB3-401A-97F2-EE6964516F60}"/>
    <cellStyle name="Currency 5 2 6 5 2 3" xfId="21129" xr:uid="{6E4E7E58-0727-48EA-B99B-BDBC45955DC9}"/>
    <cellStyle name="Currency 5 2 6 5 2 4" xfId="12681" xr:uid="{E2C9B0E7-825D-486B-AADF-2F156F3CCBCD}"/>
    <cellStyle name="Currency 5 2 6 5 3" xfId="6304" xr:uid="{00000000-0005-0000-0000-0000780C0000}"/>
    <cellStyle name="Currency 5 2 6 5 3 2" xfId="23202" xr:uid="{F0C68DCA-7187-4A60-B553-B361A3FC0D50}"/>
    <cellStyle name="Currency 5 2 6 5 3 3" xfId="14754" xr:uid="{2D8E985A-BA7A-4D7F-B02F-77831424A42F}"/>
    <cellStyle name="Currency 5 2 6 5 4" xfId="18984" xr:uid="{0C281FBE-8FAD-4560-9136-98459A489265}"/>
    <cellStyle name="Currency 5 2 6 5 5" xfId="10536" xr:uid="{45DD5D69-C9C8-4DF7-B321-724F10E35052}"/>
    <cellStyle name="Currency 5 2 6 6" xfId="2433" xr:uid="{00000000-0005-0000-0000-0000790C0000}"/>
    <cellStyle name="Currency 5 2 6 6 2" xfId="6717" xr:uid="{00000000-0005-0000-0000-00007A0C0000}"/>
    <cellStyle name="Currency 5 2 6 6 2 2" xfId="23615" xr:uid="{93E1D97C-A81B-4D1C-9C6F-77EC988761B9}"/>
    <cellStyle name="Currency 5 2 6 6 2 3" xfId="15167" xr:uid="{987EAE5E-82AC-4CBC-9FB0-81CD15CCE915}"/>
    <cellStyle name="Currency 5 2 6 6 3" xfId="19397" xr:uid="{C85C9697-1036-43C3-9086-696B7FD8FC97}"/>
    <cellStyle name="Currency 5 2 6 6 4" xfId="10949" xr:uid="{E31CA7E5-4DF4-46C8-B72B-2786D149B25A}"/>
    <cellStyle name="Currency 5 2 6 7" xfId="2730" xr:uid="{00000000-0005-0000-0000-00007B0C0000}"/>
    <cellStyle name="Currency 5 2 6 8" xfId="2811" xr:uid="{00000000-0005-0000-0000-00007C0C0000}"/>
    <cellStyle name="Currency 5 2 6 8 2" xfId="7034" xr:uid="{00000000-0005-0000-0000-00007D0C0000}"/>
    <cellStyle name="Currency 5 2 6 8 2 2" xfId="23932" xr:uid="{69344D72-10DD-4169-A0BF-E27B333E9DE2}"/>
    <cellStyle name="Currency 5 2 6 8 2 3" xfId="15484" xr:uid="{08E6656A-3869-4C5F-BF4D-6BB76EFE16C7}"/>
    <cellStyle name="Currency 5 2 6 8 3" xfId="19714" xr:uid="{34A78BA6-D279-45A0-8994-E324FCDC3AB8}"/>
    <cellStyle name="Currency 5 2 6 8 4" xfId="11266" xr:uid="{0E227117-0399-4359-9EB7-CEC6A865BED3}"/>
    <cellStyle name="Currency 5 2 6 9" xfId="4651" xr:uid="{00000000-0005-0000-0000-00007E0C0000}"/>
    <cellStyle name="Currency 5 2 6 9 2" xfId="21549" xr:uid="{1146D037-6B9D-4ABB-B611-0CE220B2AB16}"/>
    <cellStyle name="Currency 5 2 6 9 3" xfId="13101" xr:uid="{6473CB3E-10BD-4021-BF8B-CBD835FD2E7F}"/>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23933" xr:uid="{E87C9CF1-8909-43E2-AE99-51DBA8C44ABB}"/>
    <cellStyle name="Currency 5 3 2 10 2 3" xfId="15485" xr:uid="{F67843C1-CFD8-4304-BF6E-80F30D6E9179}"/>
    <cellStyle name="Currency 5 3 2 10 3" xfId="19715" xr:uid="{36E46AA9-B241-4A0C-8676-93DB4F612F34}"/>
    <cellStyle name="Currency 5 3 2 10 4" xfId="11267" xr:uid="{8DFC4B20-B51E-466E-AB7D-C4BDA700D005}"/>
    <cellStyle name="Currency 5 3 2 11" xfId="4652" xr:uid="{00000000-0005-0000-0000-0000840C0000}"/>
    <cellStyle name="Currency 5 3 2 11 2" xfId="21550" xr:uid="{69EB1F69-DB48-46C3-80E2-7CA2D9029334}"/>
    <cellStyle name="Currency 5 3 2 11 3" xfId="13102" xr:uid="{A7EA206D-8FC9-4EEC-9257-8F7D2D9253FD}"/>
    <cellStyle name="Currency 5 3 2 12" xfId="17332" xr:uid="{BA500236-33D3-4371-BD57-2A8C60CDBC11}"/>
    <cellStyle name="Currency 5 3 2 13" xfId="8884" xr:uid="{E329E090-4BF8-4CF1-AEB7-D9CEEEED494B}"/>
    <cellStyle name="Currency 5 3 2 2" xfId="211" xr:uid="{00000000-0005-0000-0000-0000850C0000}"/>
    <cellStyle name="Currency 5 3 2 2 10" xfId="4653" xr:uid="{00000000-0005-0000-0000-0000860C0000}"/>
    <cellStyle name="Currency 5 3 2 2 10 2" xfId="21551" xr:uid="{1AC5847C-03AA-4FB0-AFD6-E25CC78D819B}"/>
    <cellStyle name="Currency 5 3 2 2 10 3" xfId="13103" xr:uid="{CECD2134-AE4B-44A3-A92F-63870E8AA117}"/>
    <cellStyle name="Currency 5 3 2 2 11" xfId="17333" xr:uid="{DDC661C4-59F3-4271-A393-6BC5184BEB42}"/>
    <cellStyle name="Currency 5 3 2 2 12" xfId="8885" xr:uid="{6BE0CC5C-8284-4803-A1B6-7A085D145F18}"/>
    <cellStyle name="Currency 5 3 2 2 2" xfId="212" xr:uid="{00000000-0005-0000-0000-0000870C0000}"/>
    <cellStyle name="Currency 5 3 2 2 2 10" xfId="17334" xr:uid="{B94C24C7-F59A-4C57-AAE7-28AF03A8F03E}"/>
    <cellStyle name="Currency 5 3 2 2 2 11" xfId="8886" xr:uid="{48FDD733-2180-4501-A373-0BD0FD43D504}"/>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24111" xr:uid="{E2D2FB56-9497-4269-B7E3-734AEF2AB662}"/>
    <cellStyle name="Currency 5 3 2 2 2 2 2 2 3" xfId="15663" xr:uid="{4DFFDEDD-57F7-40DA-82FF-A51475080130}"/>
    <cellStyle name="Currency 5 3 2 2 2 2 2 3" xfId="19893" xr:uid="{B9A7C848-73FA-467B-BD14-AEB28FD7227C}"/>
    <cellStyle name="Currency 5 3 2 2 2 2 2 4" xfId="11445" xr:uid="{C7517696-11C4-40C9-A195-C856CDC56A87}"/>
    <cellStyle name="Currency 5 3 2 2 2 2 3" xfId="5068" xr:uid="{00000000-0005-0000-0000-00008B0C0000}"/>
    <cellStyle name="Currency 5 3 2 2 2 2 3 2" xfId="21966" xr:uid="{56B03DD2-3623-4064-83F0-4FB2196534EB}"/>
    <cellStyle name="Currency 5 3 2 2 2 2 3 3" xfId="13518" xr:uid="{6658F860-CC5C-4FF8-829D-9AC0B9CF457B}"/>
    <cellStyle name="Currency 5 3 2 2 2 2 4" xfId="17748" xr:uid="{0D69B007-DD41-4BBD-BEAD-D95C56F841C4}"/>
    <cellStyle name="Currency 5 3 2 2 2 2 5" xfId="9300" xr:uid="{033E046B-0923-4B23-9BB3-69B984ADEDAE}"/>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24524" xr:uid="{7A6C8E48-4768-4C24-A6F4-F5260A889407}"/>
    <cellStyle name="Currency 5 3 2 2 2 3 2 2 3" xfId="16076" xr:uid="{EFECED91-A5D8-4477-B07E-1A3B99E10809}"/>
    <cellStyle name="Currency 5 3 2 2 2 3 2 3" xfId="20306" xr:uid="{CA81E436-F86E-443C-A709-E9C59DC17D7C}"/>
    <cellStyle name="Currency 5 3 2 2 2 3 2 4" xfId="11858" xr:uid="{489AAFCE-107E-4357-8F80-17E2E2F14F57}"/>
    <cellStyle name="Currency 5 3 2 2 2 3 3" xfId="5481" xr:uid="{00000000-0005-0000-0000-00008F0C0000}"/>
    <cellStyle name="Currency 5 3 2 2 2 3 3 2" xfId="22379" xr:uid="{96203907-7470-4386-B5BD-302896A30566}"/>
    <cellStyle name="Currency 5 3 2 2 2 3 3 3" xfId="13931" xr:uid="{8AB383F0-E159-456D-8AAB-12D2474797FB}"/>
    <cellStyle name="Currency 5 3 2 2 2 3 4" xfId="18161" xr:uid="{B837B25F-BA0A-47BB-AE18-57DE3DBB578B}"/>
    <cellStyle name="Currency 5 3 2 2 2 3 5" xfId="9713" xr:uid="{B0177CB3-7E28-419C-B9EF-9FF810D196A9}"/>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24937" xr:uid="{B914F9F4-D753-4FEF-A16B-A82C08E8DC85}"/>
    <cellStyle name="Currency 5 3 2 2 2 4 2 2 3" xfId="16489" xr:uid="{920A2F1F-7A7F-46D4-B280-B68BA7E01660}"/>
    <cellStyle name="Currency 5 3 2 2 2 4 2 3" xfId="20719" xr:uid="{DC42F2ED-4B0B-4D0A-9BF5-69165631846E}"/>
    <cellStyle name="Currency 5 3 2 2 2 4 2 4" xfId="12271" xr:uid="{F9A7781A-DF30-40F8-AC2E-704D74E326F1}"/>
    <cellStyle name="Currency 5 3 2 2 2 4 3" xfId="5894" xr:uid="{00000000-0005-0000-0000-0000930C0000}"/>
    <cellStyle name="Currency 5 3 2 2 2 4 3 2" xfId="22792" xr:uid="{5FCE1A92-01A6-4CA8-A350-9F8A32F726C0}"/>
    <cellStyle name="Currency 5 3 2 2 2 4 3 3" xfId="14344" xr:uid="{592F6C06-40F7-4EFF-8378-51EBCF03D0D5}"/>
    <cellStyle name="Currency 5 3 2 2 2 4 4" xfId="18574" xr:uid="{22F3A470-A5D4-47D3-A4B8-6902A4B01A43}"/>
    <cellStyle name="Currency 5 3 2 2 2 4 5" xfId="10126" xr:uid="{86C28B78-5B74-4090-A21F-4D0EB90C2EF5}"/>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25350" xr:uid="{B659B99B-817A-4A85-94C0-CA7EF806C7F1}"/>
    <cellStyle name="Currency 5 3 2 2 2 5 2 2 3" xfId="16902" xr:uid="{3303001A-C575-4EB6-A0E4-A2F7B8505C42}"/>
    <cellStyle name="Currency 5 3 2 2 2 5 2 3" xfId="21132" xr:uid="{4FB5C17E-E453-4A00-A7CA-8DDE3E85CAF5}"/>
    <cellStyle name="Currency 5 3 2 2 2 5 2 4" xfId="12684" xr:uid="{FE114738-FD81-4CE1-A999-1C142393A1B1}"/>
    <cellStyle name="Currency 5 3 2 2 2 5 3" xfId="6307" xr:uid="{00000000-0005-0000-0000-0000970C0000}"/>
    <cellStyle name="Currency 5 3 2 2 2 5 3 2" xfId="23205" xr:uid="{01DB6416-E5D2-46B2-8D79-0C432A4EDCC0}"/>
    <cellStyle name="Currency 5 3 2 2 2 5 3 3" xfId="14757" xr:uid="{35A24076-8E69-444F-B5DC-0A638AFEA59C}"/>
    <cellStyle name="Currency 5 3 2 2 2 5 4" xfId="18987" xr:uid="{622A668E-45A9-41E3-ABD4-3E0CBBCF9ACC}"/>
    <cellStyle name="Currency 5 3 2 2 2 5 5" xfId="10539" xr:uid="{80A053E0-7682-476E-AAED-4FB8DBC23EB8}"/>
    <cellStyle name="Currency 5 3 2 2 2 6" xfId="2436" xr:uid="{00000000-0005-0000-0000-0000980C0000}"/>
    <cellStyle name="Currency 5 3 2 2 2 6 2" xfId="6720" xr:uid="{00000000-0005-0000-0000-0000990C0000}"/>
    <cellStyle name="Currency 5 3 2 2 2 6 2 2" xfId="23618" xr:uid="{9B042087-0E12-4F0C-BD24-36F2BFE72DFD}"/>
    <cellStyle name="Currency 5 3 2 2 2 6 2 3" xfId="15170" xr:uid="{DE2FE1EA-5573-4826-A429-E30F6ED84263}"/>
    <cellStyle name="Currency 5 3 2 2 2 6 3" xfId="19400" xr:uid="{A43F9359-8967-4F5C-9FD7-7199D36527E8}"/>
    <cellStyle name="Currency 5 3 2 2 2 6 4" xfId="10952" xr:uid="{040003E1-5B34-484F-B0FB-393B8351F33A}"/>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23935" xr:uid="{99444660-286B-444E-B8C2-6CE128229880}"/>
    <cellStyle name="Currency 5 3 2 2 2 8 2 3" xfId="15487" xr:uid="{DBD07729-2D12-4698-B127-3A5AEAE0890A}"/>
    <cellStyle name="Currency 5 3 2 2 2 8 3" xfId="19717" xr:uid="{E2B0A94E-8D55-484C-B75E-91A0DA815C15}"/>
    <cellStyle name="Currency 5 3 2 2 2 8 4" xfId="11269" xr:uid="{D0990966-7FFC-43BA-8E5D-054B733E90F2}"/>
    <cellStyle name="Currency 5 3 2 2 2 9" xfId="4654" xr:uid="{00000000-0005-0000-0000-00009D0C0000}"/>
    <cellStyle name="Currency 5 3 2 2 2 9 2" xfId="21552" xr:uid="{B7FF3B92-6DB8-495E-8D4B-98ED3F8F85ED}"/>
    <cellStyle name="Currency 5 3 2 2 2 9 3" xfId="13104" xr:uid="{2E34C85C-D1BC-4C28-9B35-169487E57711}"/>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24110" xr:uid="{62F2F246-8451-47DC-8E8F-5550D6EE8BA3}"/>
    <cellStyle name="Currency 5 3 2 2 3 2 2 3" xfId="15662" xr:uid="{97B6DA37-737E-411D-B898-CFAC76C2E80F}"/>
    <cellStyle name="Currency 5 3 2 2 3 2 3" xfId="19892" xr:uid="{3AE6C709-AFA3-4117-BF3A-A9F5A9429BE9}"/>
    <cellStyle name="Currency 5 3 2 2 3 2 4" xfId="11444" xr:uid="{A69461DB-B7FB-4A95-9B05-7C72C79E6F89}"/>
    <cellStyle name="Currency 5 3 2 2 3 3" xfId="5067" xr:uid="{00000000-0005-0000-0000-0000A10C0000}"/>
    <cellStyle name="Currency 5 3 2 2 3 3 2" xfId="21965" xr:uid="{7C446A91-0AD6-4EF6-8368-D53944EACBE2}"/>
    <cellStyle name="Currency 5 3 2 2 3 3 3" xfId="13517" xr:uid="{F1D8FC71-42B0-4EE9-8866-FFB58AC22FE3}"/>
    <cellStyle name="Currency 5 3 2 2 3 4" xfId="17747" xr:uid="{CBCA0861-8E81-47A4-809F-D202357C39A8}"/>
    <cellStyle name="Currency 5 3 2 2 3 5" xfId="9299" xr:uid="{23A35D5C-889C-4021-8DDF-F0E6FDBFE47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24523" xr:uid="{31A188A9-2694-4C64-8BDC-19B3402CF3BA}"/>
    <cellStyle name="Currency 5 3 2 2 4 2 2 3" xfId="16075" xr:uid="{B3491AD8-2AE5-4F83-B011-E9755A28AA1B}"/>
    <cellStyle name="Currency 5 3 2 2 4 2 3" xfId="20305" xr:uid="{0481BEBE-3925-4449-80F2-7C9C0D7385BB}"/>
    <cellStyle name="Currency 5 3 2 2 4 2 4" xfId="11857" xr:uid="{2DCFE9AF-D4FF-4D0C-B807-856A3A37A96F}"/>
    <cellStyle name="Currency 5 3 2 2 4 3" xfId="5480" xr:uid="{00000000-0005-0000-0000-0000A50C0000}"/>
    <cellStyle name="Currency 5 3 2 2 4 3 2" xfId="22378" xr:uid="{D5046252-38AE-4DBB-903E-EBF88DF2A1FC}"/>
    <cellStyle name="Currency 5 3 2 2 4 3 3" xfId="13930" xr:uid="{AF6A23F9-3A64-49E0-BE06-0895CCD5A4E8}"/>
    <cellStyle name="Currency 5 3 2 2 4 4" xfId="18160" xr:uid="{AAFC4A0C-2959-4CF1-AB5A-93C4CE6B02B0}"/>
    <cellStyle name="Currency 5 3 2 2 4 5" xfId="9712" xr:uid="{F697B2CD-5ADE-43BB-99E9-4C40F6847C96}"/>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24936" xr:uid="{04F9FD78-4B3F-4827-8E65-0F919296FE8C}"/>
    <cellStyle name="Currency 5 3 2 2 5 2 2 3" xfId="16488" xr:uid="{2553D5C0-A101-4DB7-A66D-D094E988D360}"/>
    <cellStyle name="Currency 5 3 2 2 5 2 3" xfId="20718" xr:uid="{9ECE13DE-AA5A-4583-974A-B159E7B454CE}"/>
    <cellStyle name="Currency 5 3 2 2 5 2 4" xfId="12270" xr:uid="{8379B05C-3979-4DDA-B257-86B8B611DAD8}"/>
    <cellStyle name="Currency 5 3 2 2 5 3" xfId="5893" xr:uid="{00000000-0005-0000-0000-0000A90C0000}"/>
    <cellStyle name="Currency 5 3 2 2 5 3 2" xfId="22791" xr:uid="{73299A8B-4E48-41BE-AEA2-A9EE5EF9C6A0}"/>
    <cellStyle name="Currency 5 3 2 2 5 3 3" xfId="14343" xr:uid="{1D3DEE39-2C76-44BE-8449-46D890A9F27F}"/>
    <cellStyle name="Currency 5 3 2 2 5 4" xfId="18573" xr:uid="{E4579B42-2188-48A1-AA67-39690E1C8833}"/>
    <cellStyle name="Currency 5 3 2 2 5 5" xfId="10125" xr:uid="{426FC438-ECBA-4091-9D17-B6510B7B5C32}"/>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25349" xr:uid="{112FEEB9-1CC2-426E-8C0E-C9EB6AB1A5B2}"/>
    <cellStyle name="Currency 5 3 2 2 6 2 2 3" xfId="16901" xr:uid="{C10FEFE1-4FAA-44D9-9BD3-ED3FADAE3B04}"/>
    <cellStyle name="Currency 5 3 2 2 6 2 3" xfId="21131" xr:uid="{06A0728F-9113-48B9-876F-9A0378563D5A}"/>
    <cellStyle name="Currency 5 3 2 2 6 2 4" xfId="12683" xr:uid="{2611D214-F1A8-4EB0-82D8-5A98E67888F9}"/>
    <cellStyle name="Currency 5 3 2 2 6 3" xfId="6306" xr:uid="{00000000-0005-0000-0000-0000AD0C0000}"/>
    <cellStyle name="Currency 5 3 2 2 6 3 2" xfId="23204" xr:uid="{569D8295-3332-405E-8E52-E7890915D351}"/>
    <cellStyle name="Currency 5 3 2 2 6 3 3" xfId="14756" xr:uid="{86B72B31-306D-45DA-8875-425A5E6C98F5}"/>
    <cellStyle name="Currency 5 3 2 2 6 4" xfId="18986" xr:uid="{FE13AECD-0899-433D-AC19-F39A24CFC48C}"/>
    <cellStyle name="Currency 5 3 2 2 6 5" xfId="10538" xr:uid="{DC6F8CC1-A620-4A72-A93D-52375164837F}"/>
    <cellStyle name="Currency 5 3 2 2 7" xfId="2435" xr:uid="{00000000-0005-0000-0000-0000AE0C0000}"/>
    <cellStyle name="Currency 5 3 2 2 7 2" xfId="6719" xr:uid="{00000000-0005-0000-0000-0000AF0C0000}"/>
    <cellStyle name="Currency 5 3 2 2 7 2 2" xfId="23617" xr:uid="{F0D08C15-9B2A-4DAA-A60C-CC4C37D330B4}"/>
    <cellStyle name="Currency 5 3 2 2 7 2 3" xfId="15169" xr:uid="{A04B8A25-B516-4867-9F51-EF1115AC3861}"/>
    <cellStyle name="Currency 5 3 2 2 7 3" xfId="19399" xr:uid="{6C24A4B0-A944-41A9-B465-D13C351A5359}"/>
    <cellStyle name="Currency 5 3 2 2 7 4" xfId="10951" xr:uid="{56EFC5AA-55E0-413B-B4CB-6A7D3D581C47}"/>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23934" xr:uid="{3A42F526-1FE3-411B-B5F5-10E5AA08C0A7}"/>
    <cellStyle name="Currency 5 3 2 2 9 2 3" xfId="15486" xr:uid="{814B6A22-9954-4D09-B884-E1168F6CFBFF}"/>
    <cellStyle name="Currency 5 3 2 2 9 3" xfId="19716" xr:uid="{9D2616FC-9954-41CD-8783-A61F59D685FB}"/>
    <cellStyle name="Currency 5 3 2 2 9 4" xfId="11268" xr:uid="{A8CCDBCD-8E64-4B30-A6B8-C0B638019A19}"/>
    <cellStyle name="Currency 5 3 2 3" xfId="213" xr:uid="{00000000-0005-0000-0000-0000B30C0000}"/>
    <cellStyle name="Currency 5 3 2 3 10" xfId="17335" xr:uid="{CF31F4E0-6458-403A-AE46-571298FF96B1}"/>
    <cellStyle name="Currency 5 3 2 3 11" xfId="8887" xr:uid="{B3FCE37E-E399-4A0B-9912-021F073D3B89}"/>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24112" xr:uid="{47AB5D51-BC93-4FFF-8047-4FA347B35CD3}"/>
    <cellStyle name="Currency 5 3 2 3 2 2 2 3" xfId="15664" xr:uid="{D96E5A86-99A9-4C8B-B4AF-4036080F5F01}"/>
    <cellStyle name="Currency 5 3 2 3 2 2 3" xfId="19894" xr:uid="{D0793456-5FF7-4397-A255-1CFA18BD1559}"/>
    <cellStyle name="Currency 5 3 2 3 2 2 4" xfId="11446" xr:uid="{7C72607F-1C60-4182-90F1-A9141D5E6EBF}"/>
    <cellStyle name="Currency 5 3 2 3 2 3" xfId="5069" xr:uid="{00000000-0005-0000-0000-0000B70C0000}"/>
    <cellStyle name="Currency 5 3 2 3 2 3 2" xfId="21967" xr:uid="{D330B1F0-542E-47D9-B7D7-16CDB247710F}"/>
    <cellStyle name="Currency 5 3 2 3 2 3 3" xfId="13519" xr:uid="{503A5431-7F3D-400D-B6A1-9FCA124C764C}"/>
    <cellStyle name="Currency 5 3 2 3 2 4" xfId="17749" xr:uid="{CDE2C9A1-A81B-4F04-A8A2-DF1010FF4CC5}"/>
    <cellStyle name="Currency 5 3 2 3 2 5" xfId="9301" xr:uid="{3656BCA0-4BE4-4618-9A9C-1954706FB04C}"/>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24525" xr:uid="{BC902FE6-E57F-4D1D-B3F0-0D38DFDE8E0E}"/>
    <cellStyle name="Currency 5 3 2 3 3 2 2 3" xfId="16077" xr:uid="{5D492DC0-C470-4D52-AE99-3292195EF9BB}"/>
    <cellStyle name="Currency 5 3 2 3 3 2 3" xfId="20307" xr:uid="{EA2572A4-7601-44A4-B072-FC2D452ABE53}"/>
    <cellStyle name="Currency 5 3 2 3 3 2 4" xfId="11859" xr:uid="{41697565-04A5-4804-894E-FDAFED21EDF2}"/>
    <cellStyle name="Currency 5 3 2 3 3 3" xfId="5482" xr:uid="{00000000-0005-0000-0000-0000BB0C0000}"/>
    <cellStyle name="Currency 5 3 2 3 3 3 2" xfId="22380" xr:uid="{05A6DA1D-98F1-43D0-8022-F4DB27F8C2FB}"/>
    <cellStyle name="Currency 5 3 2 3 3 3 3" xfId="13932" xr:uid="{C9FF1FA6-77EB-4ECD-965A-92F13A473DFE}"/>
    <cellStyle name="Currency 5 3 2 3 3 4" xfId="18162" xr:uid="{41B50498-AB95-4954-A1E4-225148DD4BFF}"/>
    <cellStyle name="Currency 5 3 2 3 3 5" xfId="9714" xr:uid="{BBCDA26B-23CA-4331-A857-290B2D7BF08B}"/>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24938" xr:uid="{BFA34DA0-FB67-435B-8764-720338EB259F}"/>
    <cellStyle name="Currency 5 3 2 3 4 2 2 3" xfId="16490" xr:uid="{B560C3B0-F132-4D94-9FEB-8FD38AABF9E3}"/>
    <cellStyle name="Currency 5 3 2 3 4 2 3" xfId="20720" xr:uid="{9C57E28C-4411-4057-B630-3923E994AFA6}"/>
    <cellStyle name="Currency 5 3 2 3 4 2 4" xfId="12272" xr:uid="{1E49C918-5B9F-4669-93E3-F58385AB8132}"/>
    <cellStyle name="Currency 5 3 2 3 4 3" xfId="5895" xr:uid="{00000000-0005-0000-0000-0000BF0C0000}"/>
    <cellStyle name="Currency 5 3 2 3 4 3 2" xfId="22793" xr:uid="{B933D630-5CAF-4D1E-83C9-F8666BCA969B}"/>
    <cellStyle name="Currency 5 3 2 3 4 3 3" xfId="14345" xr:uid="{553154D3-A3C7-4493-B202-BE67FA5A3DCA}"/>
    <cellStyle name="Currency 5 3 2 3 4 4" xfId="18575" xr:uid="{A3E3B667-41AA-4C6E-A19F-3F125836B07C}"/>
    <cellStyle name="Currency 5 3 2 3 4 5" xfId="10127" xr:uid="{4F3DB9EB-55C6-470D-AC6D-6782C25E29BF}"/>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25351" xr:uid="{79C14D36-1F48-4072-BF3A-F557874978EA}"/>
    <cellStyle name="Currency 5 3 2 3 5 2 2 3" xfId="16903" xr:uid="{1E33095B-C6D4-460C-8C4A-F0CF5E83C69A}"/>
    <cellStyle name="Currency 5 3 2 3 5 2 3" xfId="21133" xr:uid="{682F904F-D72C-4901-9C45-AAB9E5FEAAC1}"/>
    <cellStyle name="Currency 5 3 2 3 5 2 4" xfId="12685" xr:uid="{443F4DF8-15D4-49A3-8802-695200EC0BB9}"/>
    <cellStyle name="Currency 5 3 2 3 5 3" xfId="6308" xr:uid="{00000000-0005-0000-0000-0000C30C0000}"/>
    <cellStyle name="Currency 5 3 2 3 5 3 2" xfId="23206" xr:uid="{244B3DFD-528B-4932-B298-72F98F02FA1A}"/>
    <cellStyle name="Currency 5 3 2 3 5 3 3" xfId="14758" xr:uid="{36F7BF11-D15C-4057-A96A-14936AB79083}"/>
    <cellStyle name="Currency 5 3 2 3 5 4" xfId="18988" xr:uid="{2D71781B-E7F5-42F4-B3E1-DDB5EB87F75E}"/>
    <cellStyle name="Currency 5 3 2 3 5 5" xfId="10540" xr:uid="{5C631961-D2C5-4A09-ADFC-5A71E3B4D949}"/>
    <cellStyle name="Currency 5 3 2 3 6" xfId="2437" xr:uid="{00000000-0005-0000-0000-0000C40C0000}"/>
    <cellStyle name="Currency 5 3 2 3 6 2" xfId="6721" xr:uid="{00000000-0005-0000-0000-0000C50C0000}"/>
    <cellStyle name="Currency 5 3 2 3 6 2 2" xfId="23619" xr:uid="{1E244372-178E-4D27-A866-BF5BCEAB1999}"/>
    <cellStyle name="Currency 5 3 2 3 6 2 3" xfId="15171" xr:uid="{A46F2148-4568-4F1C-B9E7-A03F3D135D91}"/>
    <cellStyle name="Currency 5 3 2 3 6 3" xfId="19401" xr:uid="{71199261-AA9B-4E15-A57E-5F0D54D7C6AA}"/>
    <cellStyle name="Currency 5 3 2 3 6 4" xfId="10953" xr:uid="{54A4AD03-7D30-4745-8EC0-58191F9D9DB7}"/>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23936" xr:uid="{186A37B2-023E-4018-8951-5F45D753F58F}"/>
    <cellStyle name="Currency 5 3 2 3 8 2 3" xfId="15488" xr:uid="{34C1740E-4C74-495F-A833-C3F213E916A7}"/>
    <cellStyle name="Currency 5 3 2 3 8 3" xfId="19718" xr:uid="{119ADD61-9B95-4D83-AF68-AF6E35BB58ED}"/>
    <cellStyle name="Currency 5 3 2 3 8 4" xfId="11270" xr:uid="{21108E7D-0A76-4EA1-B5C5-7DA6A8005381}"/>
    <cellStyle name="Currency 5 3 2 3 9" xfId="4655" xr:uid="{00000000-0005-0000-0000-0000C90C0000}"/>
    <cellStyle name="Currency 5 3 2 3 9 2" xfId="21553" xr:uid="{74316997-A291-4221-8597-9A043B7B7734}"/>
    <cellStyle name="Currency 5 3 2 3 9 3" xfId="13105" xr:uid="{436BC2F9-22CE-40B8-9991-C207D5289252}"/>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24109" xr:uid="{BD436AC4-2FA7-42BE-94D1-B49985802E40}"/>
    <cellStyle name="Currency 5 3 2 4 2 2 3" xfId="15661" xr:uid="{B6709252-D5B5-4083-9B8E-D6C6758F32EF}"/>
    <cellStyle name="Currency 5 3 2 4 2 3" xfId="19891" xr:uid="{8B1B5B7E-1832-4D4B-BAF2-1E5E3A48B7B1}"/>
    <cellStyle name="Currency 5 3 2 4 2 4" xfId="11443" xr:uid="{BAC5AE44-814A-40D3-84DA-CC93FA730313}"/>
    <cellStyle name="Currency 5 3 2 4 3" xfId="5066" xr:uid="{00000000-0005-0000-0000-0000CD0C0000}"/>
    <cellStyle name="Currency 5 3 2 4 3 2" xfId="21964" xr:uid="{E579E46D-8B71-4DED-ADEE-4800BD626B8F}"/>
    <cellStyle name="Currency 5 3 2 4 3 3" xfId="13516" xr:uid="{9EB7061C-A44F-47FA-9D44-B60DAFEC8754}"/>
    <cellStyle name="Currency 5 3 2 4 4" xfId="17746" xr:uid="{38DD67AF-159C-4786-A37B-0ABC8CB9D437}"/>
    <cellStyle name="Currency 5 3 2 4 5" xfId="9298" xr:uid="{7B5488FF-09F6-4E43-AE53-8E0FEC8BDDA8}"/>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24522" xr:uid="{96740D51-130E-4AC0-B15B-0F620D3EE880}"/>
    <cellStyle name="Currency 5 3 2 5 2 2 3" xfId="16074" xr:uid="{D708573F-7D70-49D9-A7E4-D8B202982B44}"/>
    <cellStyle name="Currency 5 3 2 5 2 3" xfId="20304" xr:uid="{21BADBAC-570B-4D0A-BD53-BFF43CC65A78}"/>
    <cellStyle name="Currency 5 3 2 5 2 4" xfId="11856" xr:uid="{D90F9037-10BE-45F2-9208-1A20916DC70F}"/>
    <cellStyle name="Currency 5 3 2 5 3" xfId="5479" xr:uid="{00000000-0005-0000-0000-0000D10C0000}"/>
    <cellStyle name="Currency 5 3 2 5 3 2" xfId="22377" xr:uid="{103F1AB1-A75B-4147-9A3F-497F37BEF09B}"/>
    <cellStyle name="Currency 5 3 2 5 3 3" xfId="13929" xr:uid="{3617F9CF-21C6-4D07-AB21-0640000D73F3}"/>
    <cellStyle name="Currency 5 3 2 5 4" xfId="18159" xr:uid="{F753E33C-AD66-49A4-877D-AC8DE3E6CEB4}"/>
    <cellStyle name="Currency 5 3 2 5 5" xfId="9711" xr:uid="{68DD308D-D254-4F4E-9749-939D909CC20C}"/>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24935" xr:uid="{2819195B-5861-4C54-9EC4-1F89F2BB6B4C}"/>
    <cellStyle name="Currency 5 3 2 6 2 2 3" xfId="16487" xr:uid="{858A0128-8EBC-4CD3-8057-FB062C69B178}"/>
    <cellStyle name="Currency 5 3 2 6 2 3" xfId="20717" xr:uid="{8A6E9526-435E-4F5D-A167-AC23E0B1C087}"/>
    <cellStyle name="Currency 5 3 2 6 2 4" xfId="12269" xr:uid="{16F572B4-A79A-4542-B361-608C3A8B692C}"/>
    <cellStyle name="Currency 5 3 2 6 3" xfId="5892" xr:uid="{00000000-0005-0000-0000-0000D50C0000}"/>
    <cellStyle name="Currency 5 3 2 6 3 2" xfId="22790" xr:uid="{89F705EE-F38A-4616-9BD8-D3518DC431E3}"/>
    <cellStyle name="Currency 5 3 2 6 3 3" xfId="14342" xr:uid="{68A85EE1-B4CE-43EF-8EE2-0CAB6FCEBD56}"/>
    <cellStyle name="Currency 5 3 2 6 4" xfId="18572" xr:uid="{0BBF2105-5449-4E33-8C43-8323074C57F4}"/>
    <cellStyle name="Currency 5 3 2 6 5" xfId="10124" xr:uid="{2D9FDEC3-9EF9-497F-8E9B-DCEB4D0A7153}"/>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25348" xr:uid="{3F9826FD-37D9-49AA-B684-3A60B08637AF}"/>
    <cellStyle name="Currency 5 3 2 7 2 2 3" xfId="16900" xr:uid="{8E6E324B-CA77-45A5-A5CA-DBE329091E15}"/>
    <cellStyle name="Currency 5 3 2 7 2 3" xfId="21130" xr:uid="{1EB16127-D040-4F87-8590-252D637F0A73}"/>
    <cellStyle name="Currency 5 3 2 7 2 4" xfId="12682" xr:uid="{DACA5EAC-2EA1-4D72-9C98-459804462FB9}"/>
    <cellStyle name="Currency 5 3 2 7 3" xfId="6305" xr:uid="{00000000-0005-0000-0000-0000D90C0000}"/>
    <cellStyle name="Currency 5 3 2 7 3 2" xfId="23203" xr:uid="{9BE17C1A-44FC-4572-B2C5-08C64DE4D69D}"/>
    <cellStyle name="Currency 5 3 2 7 3 3" xfId="14755" xr:uid="{8ACAB08F-9ACF-4393-8177-58386E421504}"/>
    <cellStyle name="Currency 5 3 2 7 4" xfId="18985" xr:uid="{4BBEB42D-F8F7-480E-8CE2-500070DB288F}"/>
    <cellStyle name="Currency 5 3 2 7 5" xfId="10537" xr:uid="{25211476-658D-4E6B-A3F1-661677437935}"/>
    <cellStyle name="Currency 5 3 2 8" xfId="2434" xr:uid="{00000000-0005-0000-0000-0000DA0C0000}"/>
    <cellStyle name="Currency 5 3 2 8 2" xfId="6718" xr:uid="{00000000-0005-0000-0000-0000DB0C0000}"/>
    <cellStyle name="Currency 5 3 2 8 2 2" xfId="23616" xr:uid="{D1CBA8C7-1D94-4886-BC86-390BA06D4FFF}"/>
    <cellStyle name="Currency 5 3 2 8 2 3" xfId="15168" xr:uid="{39E292CB-0FD6-48D9-A0AB-7EAFBBE525C9}"/>
    <cellStyle name="Currency 5 3 2 8 3" xfId="19398" xr:uid="{E02245C7-3D4C-443F-B4A3-351D9DFF9DFF}"/>
    <cellStyle name="Currency 5 3 2 8 4" xfId="10950" xr:uid="{54C62AD9-6315-4B08-9F4D-29F996CEBE93}"/>
    <cellStyle name="Currency 5 3 2 9" xfId="2731" xr:uid="{00000000-0005-0000-0000-0000DC0C0000}"/>
    <cellStyle name="Currency 5 3 3" xfId="214" xr:uid="{00000000-0005-0000-0000-0000DD0C0000}"/>
    <cellStyle name="Currency 5 3 3 10" xfId="4656" xr:uid="{00000000-0005-0000-0000-0000DE0C0000}"/>
    <cellStyle name="Currency 5 3 3 10 2" xfId="21554" xr:uid="{76286F1D-E8B4-4B30-8CD8-2B628DC23EE7}"/>
    <cellStyle name="Currency 5 3 3 10 3" xfId="13106" xr:uid="{6A102C7B-028E-4A83-8164-F9239CEA4D21}"/>
    <cellStyle name="Currency 5 3 3 11" xfId="17336" xr:uid="{C049E019-5910-463B-8E29-83CF487B4DC7}"/>
    <cellStyle name="Currency 5 3 3 12" xfId="8888" xr:uid="{8E987EA4-BF73-4627-928F-D646A7D57764}"/>
    <cellStyle name="Currency 5 3 3 2" xfId="215" xr:uid="{00000000-0005-0000-0000-0000DF0C0000}"/>
    <cellStyle name="Currency 5 3 3 2 10" xfId="17337" xr:uid="{CA91321B-EC15-4C56-B4A6-9B9F4458FBDE}"/>
    <cellStyle name="Currency 5 3 3 2 11" xfId="8889" xr:uid="{1D3EC23C-649E-4DB6-A603-53792135E3B3}"/>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24114" xr:uid="{FC19645E-CC39-43BA-9B4B-37D9BC38D6E8}"/>
    <cellStyle name="Currency 5 3 3 2 2 2 2 3" xfId="15666" xr:uid="{29B4C2CF-9F61-4429-987D-1EFDC66DC7A6}"/>
    <cellStyle name="Currency 5 3 3 2 2 2 3" xfId="19896" xr:uid="{47E8012B-0039-4CE6-A3DE-AEDA92BB8B61}"/>
    <cellStyle name="Currency 5 3 3 2 2 2 4" xfId="11448" xr:uid="{227E331E-1867-4043-BDFA-0E875A09E7E5}"/>
    <cellStyle name="Currency 5 3 3 2 2 3" xfId="5071" xr:uid="{00000000-0005-0000-0000-0000E30C0000}"/>
    <cellStyle name="Currency 5 3 3 2 2 3 2" xfId="21969" xr:uid="{4F44932D-7FBC-4FF6-BE09-F5BE670A036C}"/>
    <cellStyle name="Currency 5 3 3 2 2 3 3" xfId="13521" xr:uid="{76617A96-D479-46E3-84DF-2BA8F8276A60}"/>
    <cellStyle name="Currency 5 3 3 2 2 4" xfId="17751" xr:uid="{1C626336-BC53-46A0-9DAF-AC1EC6595F00}"/>
    <cellStyle name="Currency 5 3 3 2 2 5" xfId="9303" xr:uid="{3EB76233-D396-475A-9690-2CF225A1B4B5}"/>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24527" xr:uid="{25572096-6CF3-4CF8-A37B-3739C8D32F9A}"/>
    <cellStyle name="Currency 5 3 3 2 3 2 2 3" xfId="16079" xr:uid="{9478A69C-22F0-4366-9398-3CE6C96B3F19}"/>
    <cellStyle name="Currency 5 3 3 2 3 2 3" xfId="20309" xr:uid="{5A39BB17-6CB5-4D5A-BC5B-3E2289F24841}"/>
    <cellStyle name="Currency 5 3 3 2 3 2 4" xfId="11861" xr:uid="{DEE45C2D-2E86-451F-8D5B-50152FC1F7B0}"/>
    <cellStyle name="Currency 5 3 3 2 3 3" xfId="5484" xr:uid="{00000000-0005-0000-0000-0000E70C0000}"/>
    <cellStyle name="Currency 5 3 3 2 3 3 2" xfId="22382" xr:uid="{A7EDDAE9-3A5D-4741-8ACD-5B5034709A24}"/>
    <cellStyle name="Currency 5 3 3 2 3 3 3" xfId="13934" xr:uid="{39A93676-7B33-487C-8754-9B585F89C9CA}"/>
    <cellStyle name="Currency 5 3 3 2 3 4" xfId="18164" xr:uid="{148365AA-7E7C-4BC4-8794-B27BAC6B9D94}"/>
    <cellStyle name="Currency 5 3 3 2 3 5" xfId="9716" xr:uid="{E38E0041-7794-4D4C-9C39-F2548F5FEB55}"/>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24940" xr:uid="{DD43B416-726F-494F-A924-83FEA16E0E8F}"/>
    <cellStyle name="Currency 5 3 3 2 4 2 2 3" xfId="16492" xr:uid="{32B9B7E0-2E8A-43E0-8DA6-15C19340DD81}"/>
    <cellStyle name="Currency 5 3 3 2 4 2 3" xfId="20722" xr:uid="{06E8DBAE-09FD-4FB7-B428-78D431793E15}"/>
    <cellStyle name="Currency 5 3 3 2 4 2 4" xfId="12274" xr:uid="{55984DF0-DC5D-4D05-A9F4-D1E89CA77C4A}"/>
    <cellStyle name="Currency 5 3 3 2 4 3" xfId="5897" xr:uid="{00000000-0005-0000-0000-0000EB0C0000}"/>
    <cellStyle name="Currency 5 3 3 2 4 3 2" xfId="22795" xr:uid="{5DE8E3DD-B3B7-4B05-A692-4A5B22834AC8}"/>
    <cellStyle name="Currency 5 3 3 2 4 3 3" xfId="14347" xr:uid="{FA69E272-1932-4B33-A408-E56A9229C8D3}"/>
    <cellStyle name="Currency 5 3 3 2 4 4" xfId="18577" xr:uid="{C8BE47F2-5DE1-459E-9C4C-F21DFFB4E4EE}"/>
    <cellStyle name="Currency 5 3 3 2 4 5" xfId="10129" xr:uid="{5B335862-8A0E-42C7-9A5D-AF85EEC991CB}"/>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25353" xr:uid="{348087B1-D628-4F47-BE9A-F5C664302397}"/>
    <cellStyle name="Currency 5 3 3 2 5 2 2 3" xfId="16905" xr:uid="{93CE1FC0-66B9-4FC0-8076-C3852A9198D1}"/>
    <cellStyle name="Currency 5 3 3 2 5 2 3" xfId="21135" xr:uid="{3ECC0D5E-2A67-4CC4-BA29-9326093FA3A8}"/>
    <cellStyle name="Currency 5 3 3 2 5 2 4" xfId="12687" xr:uid="{4D5781A9-994A-4144-BC7D-C1D99663D6C7}"/>
    <cellStyle name="Currency 5 3 3 2 5 3" xfId="6310" xr:uid="{00000000-0005-0000-0000-0000EF0C0000}"/>
    <cellStyle name="Currency 5 3 3 2 5 3 2" xfId="23208" xr:uid="{296CB6E1-728D-4A1D-9D70-AF271D102C0C}"/>
    <cellStyle name="Currency 5 3 3 2 5 3 3" xfId="14760" xr:uid="{4D38B23D-C27E-4AA9-A63D-CB0820B4F42A}"/>
    <cellStyle name="Currency 5 3 3 2 5 4" xfId="18990" xr:uid="{5DC7F919-ED9C-4DBA-8D6C-74076C0489C1}"/>
    <cellStyle name="Currency 5 3 3 2 5 5" xfId="10542" xr:uid="{9B374AA3-623A-452B-9A3D-37731FF4A7C1}"/>
    <cellStyle name="Currency 5 3 3 2 6" xfId="2439" xr:uid="{00000000-0005-0000-0000-0000F00C0000}"/>
    <cellStyle name="Currency 5 3 3 2 6 2" xfId="6723" xr:uid="{00000000-0005-0000-0000-0000F10C0000}"/>
    <cellStyle name="Currency 5 3 3 2 6 2 2" xfId="23621" xr:uid="{F3104F3F-F934-40B0-A117-C94E9E760EB7}"/>
    <cellStyle name="Currency 5 3 3 2 6 2 3" xfId="15173" xr:uid="{3131ACD3-C255-4CF3-A64B-CDCC71227ACA}"/>
    <cellStyle name="Currency 5 3 3 2 6 3" xfId="19403" xr:uid="{B54DE984-6357-4B5B-A2E1-2E9C47B0E2F9}"/>
    <cellStyle name="Currency 5 3 3 2 6 4" xfId="10955" xr:uid="{7DCF2109-F7D3-47C9-9A8B-C765FF7CBF9B}"/>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23938" xr:uid="{3AADC903-2A99-4725-AC1D-7D8075AEA57D}"/>
    <cellStyle name="Currency 5 3 3 2 8 2 3" xfId="15490" xr:uid="{1C802385-9C73-4834-A72F-1ED56F337C1F}"/>
    <cellStyle name="Currency 5 3 3 2 8 3" xfId="19720" xr:uid="{441F919A-885D-40E2-BD69-1CE7A6EC7A4C}"/>
    <cellStyle name="Currency 5 3 3 2 8 4" xfId="11272" xr:uid="{5C6A5058-0C91-40AE-B635-51241011364F}"/>
    <cellStyle name="Currency 5 3 3 2 9" xfId="4657" xr:uid="{00000000-0005-0000-0000-0000F50C0000}"/>
    <cellStyle name="Currency 5 3 3 2 9 2" xfId="21555" xr:uid="{3D775BFE-4FBE-47EB-BFAE-82821DDD7D34}"/>
    <cellStyle name="Currency 5 3 3 2 9 3" xfId="13107" xr:uid="{0833CDA1-8772-4363-995E-61D80E923022}"/>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24113" xr:uid="{72F54853-D571-4ADA-B559-BE5AB5B89983}"/>
    <cellStyle name="Currency 5 3 3 3 2 2 3" xfId="15665" xr:uid="{510936B0-1900-461D-9CAC-2F6096676EEA}"/>
    <cellStyle name="Currency 5 3 3 3 2 3" xfId="19895" xr:uid="{D83F443A-5580-4378-B7FD-7C4A05E426C3}"/>
    <cellStyle name="Currency 5 3 3 3 2 4" xfId="11447" xr:uid="{100E3B2C-B856-48F9-9EDF-D1693409F495}"/>
    <cellStyle name="Currency 5 3 3 3 3" xfId="5070" xr:uid="{00000000-0005-0000-0000-0000F90C0000}"/>
    <cellStyle name="Currency 5 3 3 3 3 2" xfId="21968" xr:uid="{6728D9C6-FF19-473B-9EE8-ECC9C4C469F4}"/>
    <cellStyle name="Currency 5 3 3 3 3 3" xfId="13520" xr:uid="{924D397E-137E-46AB-B11A-D94319D74D1B}"/>
    <cellStyle name="Currency 5 3 3 3 4" xfId="17750" xr:uid="{F561F946-E634-484E-9604-4FC8ABA28A76}"/>
    <cellStyle name="Currency 5 3 3 3 5" xfId="9302" xr:uid="{497539DB-D936-42B3-909F-0B8B8CB95612}"/>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24526" xr:uid="{1BCC61F3-9288-4B56-9CCF-A9A6F7D63C8D}"/>
    <cellStyle name="Currency 5 3 3 4 2 2 3" xfId="16078" xr:uid="{AC757232-7A4C-4FAD-AF08-E784210A4997}"/>
    <cellStyle name="Currency 5 3 3 4 2 3" xfId="20308" xr:uid="{6220EDCC-F6FC-4649-BA4A-A6E5B974EA87}"/>
    <cellStyle name="Currency 5 3 3 4 2 4" xfId="11860" xr:uid="{2AD27A5E-4906-4922-B010-F1CC3E8835C6}"/>
    <cellStyle name="Currency 5 3 3 4 3" xfId="5483" xr:uid="{00000000-0005-0000-0000-0000FD0C0000}"/>
    <cellStyle name="Currency 5 3 3 4 3 2" xfId="22381" xr:uid="{F5E15453-10CC-4B68-9285-E3E5F7DDC9AE}"/>
    <cellStyle name="Currency 5 3 3 4 3 3" xfId="13933" xr:uid="{10D129DD-7E1A-48DA-A82D-5FBED2835627}"/>
    <cellStyle name="Currency 5 3 3 4 4" xfId="18163" xr:uid="{B19B10BC-DA00-4356-9845-72F052B43E01}"/>
    <cellStyle name="Currency 5 3 3 4 5" xfId="9715" xr:uid="{B42AB586-D381-4CF9-A92A-2687C63C90BA}"/>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24939" xr:uid="{D3DBF148-2D6A-4633-9B48-E71930DA01EA}"/>
    <cellStyle name="Currency 5 3 3 5 2 2 3" xfId="16491" xr:uid="{42B4F079-84A4-41E8-8363-30BC84EFA2B7}"/>
    <cellStyle name="Currency 5 3 3 5 2 3" xfId="20721" xr:uid="{35BF0540-3F53-4666-BB55-6EDA5B153A09}"/>
    <cellStyle name="Currency 5 3 3 5 2 4" xfId="12273" xr:uid="{3322290E-3C1D-4FC5-B82E-C47D86B02307}"/>
    <cellStyle name="Currency 5 3 3 5 3" xfId="5896" xr:uid="{00000000-0005-0000-0000-0000010D0000}"/>
    <cellStyle name="Currency 5 3 3 5 3 2" xfId="22794" xr:uid="{7503BB15-798B-49CE-A128-256B0DEF4E37}"/>
    <cellStyle name="Currency 5 3 3 5 3 3" xfId="14346" xr:uid="{A6A79102-9055-4AB0-8238-180E160D4A31}"/>
    <cellStyle name="Currency 5 3 3 5 4" xfId="18576" xr:uid="{0C825A4E-528D-4DFF-8185-0BB04270D161}"/>
    <cellStyle name="Currency 5 3 3 5 5" xfId="10128" xr:uid="{8208E4B8-1C4B-495D-895E-7831B1B089FD}"/>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25352" xr:uid="{D23951D9-BD4E-40F9-8960-B34E1D892B7B}"/>
    <cellStyle name="Currency 5 3 3 6 2 2 3" xfId="16904" xr:uid="{9DB84A8C-1EE6-4E0A-B451-DC01F74774D7}"/>
    <cellStyle name="Currency 5 3 3 6 2 3" xfId="21134" xr:uid="{A7CC7D52-E7BE-4D79-92C7-088D3B6F4F25}"/>
    <cellStyle name="Currency 5 3 3 6 2 4" xfId="12686" xr:uid="{38E4CA6A-C56E-4EBA-864D-5FB76C7F0BE7}"/>
    <cellStyle name="Currency 5 3 3 6 3" xfId="6309" xr:uid="{00000000-0005-0000-0000-0000050D0000}"/>
    <cellStyle name="Currency 5 3 3 6 3 2" xfId="23207" xr:uid="{468856DA-F4BA-4844-8143-08B94C6B7410}"/>
    <cellStyle name="Currency 5 3 3 6 3 3" xfId="14759" xr:uid="{979BB722-540D-43E1-ACDE-1C3A66D70FB5}"/>
    <cellStyle name="Currency 5 3 3 6 4" xfId="18989" xr:uid="{36FD5260-E2E9-4750-890B-CBFDDDCB8508}"/>
    <cellStyle name="Currency 5 3 3 6 5" xfId="10541" xr:uid="{C228F68E-8991-4343-BD82-ADCBBEFF1A74}"/>
    <cellStyle name="Currency 5 3 3 7" xfId="2438" xr:uid="{00000000-0005-0000-0000-0000060D0000}"/>
    <cellStyle name="Currency 5 3 3 7 2" xfId="6722" xr:uid="{00000000-0005-0000-0000-0000070D0000}"/>
    <cellStyle name="Currency 5 3 3 7 2 2" xfId="23620" xr:uid="{47A8D182-F56D-4F6A-A6CB-333CE88A44BB}"/>
    <cellStyle name="Currency 5 3 3 7 2 3" xfId="15172" xr:uid="{810624F3-844F-41E0-9A47-DD0521A8E8A8}"/>
    <cellStyle name="Currency 5 3 3 7 3" xfId="19402" xr:uid="{2415B5A4-1165-4A39-9E61-089E84ECE9D5}"/>
    <cellStyle name="Currency 5 3 3 7 4" xfId="10954" xr:uid="{F3019789-2C02-44E3-8023-CB7FC40BBD71}"/>
    <cellStyle name="Currency 5 3 3 8" xfId="2735" xr:uid="{00000000-0005-0000-0000-0000080D0000}"/>
    <cellStyle name="Currency 5 3 3 9" xfId="2816" xr:uid="{00000000-0005-0000-0000-0000090D0000}"/>
    <cellStyle name="Currency 5 3 3 9 2" xfId="7039" xr:uid="{00000000-0005-0000-0000-00000A0D0000}"/>
    <cellStyle name="Currency 5 3 3 9 2 2" xfId="23937" xr:uid="{E7F8FE85-166C-42DF-9BE4-35D18C3B59AD}"/>
    <cellStyle name="Currency 5 3 3 9 2 3" xfId="15489" xr:uid="{8F95A0CF-2079-4658-AD7A-29722F5E4F8E}"/>
    <cellStyle name="Currency 5 3 3 9 3" xfId="19719" xr:uid="{BBDAC8EB-97EB-480B-B5CD-5756A4BF89E8}"/>
    <cellStyle name="Currency 5 3 3 9 4" xfId="11271" xr:uid="{EB4AC1AF-595E-4134-A8E0-47163FB1BECA}"/>
    <cellStyle name="Currency 5 3 4" xfId="216" xr:uid="{00000000-0005-0000-0000-00000B0D0000}"/>
    <cellStyle name="Currency 5 3 4 10" xfId="17338" xr:uid="{4AC34588-0095-4652-9DB5-36C66292045A}"/>
    <cellStyle name="Currency 5 3 4 11" xfId="8890" xr:uid="{3286570A-F366-4470-97B9-4056E5B5FE98}"/>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24115" xr:uid="{BC12A376-D520-497C-8ECC-8FE1814C0BFE}"/>
    <cellStyle name="Currency 5 3 4 2 2 2 3" xfId="15667" xr:uid="{D88D6DD2-4FD1-4405-BAD6-0D89F8300470}"/>
    <cellStyle name="Currency 5 3 4 2 2 3" xfId="19897" xr:uid="{5C332DFB-7C5A-4890-B02F-45DFF55DA37A}"/>
    <cellStyle name="Currency 5 3 4 2 2 4" xfId="11449" xr:uid="{6877CEAC-EF26-4326-92DE-3052441E2DE6}"/>
    <cellStyle name="Currency 5 3 4 2 3" xfId="5072" xr:uid="{00000000-0005-0000-0000-00000F0D0000}"/>
    <cellStyle name="Currency 5 3 4 2 3 2" xfId="21970" xr:uid="{62C04F07-0B46-4215-B391-FF0A7851E1C1}"/>
    <cellStyle name="Currency 5 3 4 2 3 3" xfId="13522" xr:uid="{86F55DC4-26D8-4CEB-B541-2FE280900ABB}"/>
    <cellStyle name="Currency 5 3 4 2 4" xfId="17752" xr:uid="{ACEF800C-EB08-4DCA-8118-D29EFD4CBD22}"/>
    <cellStyle name="Currency 5 3 4 2 5" xfId="9304" xr:uid="{888EA150-6576-48CE-B721-7A3A8F65685E}"/>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24528" xr:uid="{AD18A779-E0C2-4C4A-AA56-4ABCF6C3B0C0}"/>
    <cellStyle name="Currency 5 3 4 3 2 2 3" xfId="16080" xr:uid="{A00FE364-1C4C-4FA7-9175-C330F47811F7}"/>
    <cellStyle name="Currency 5 3 4 3 2 3" xfId="20310" xr:uid="{9BD55E99-6B56-4523-A8C9-6BBDD6C523F3}"/>
    <cellStyle name="Currency 5 3 4 3 2 4" xfId="11862" xr:uid="{1E0CAEDB-0CAE-4EFB-991D-E538DD069E61}"/>
    <cellStyle name="Currency 5 3 4 3 3" xfId="5485" xr:uid="{00000000-0005-0000-0000-0000130D0000}"/>
    <cellStyle name="Currency 5 3 4 3 3 2" xfId="22383" xr:uid="{C871F746-6602-4D0C-9944-CFF2D0B29FD5}"/>
    <cellStyle name="Currency 5 3 4 3 3 3" xfId="13935" xr:uid="{3650511D-14F2-4420-9525-B5C8093CFDD3}"/>
    <cellStyle name="Currency 5 3 4 3 4" xfId="18165" xr:uid="{6132393C-98EE-4DF0-A0C2-4B7933AC763D}"/>
    <cellStyle name="Currency 5 3 4 3 5" xfId="9717" xr:uid="{1FFB857C-4B76-46C1-B633-0CA8B74ED8BC}"/>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24941" xr:uid="{5BF7E525-0C6F-4121-9B09-3C37911B8A95}"/>
    <cellStyle name="Currency 5 3 4 4 2 2 3" xfId="16493" xr:uid="{D9FDC1D0-D24F-44CD-B065-2E4422A16BC3}"/>
    <cellStyle name="Currency 5 3 4 4 2 3" xfId="20723" xr:uid="{B0A6A885-21E3-425D-B02E-FFBC4D672C71}"/>
    <cellStyle name="Currency 5 3 4 4 2 4" xfId="12275" xr:uid="{EFEC0A76-56A5-4BFA-B20A-20C942FC5C6D}"/>
    <cellStyle name="Currency 5 3 4 4 3" xfId="5898" xr:uid="{00000000-0005-0000-0000-0000170D0000}"/>
    <cellStyle name="Currency 5 3 4 4 3 2" xfId="22796" xr:uid="{72DA7673-F186-409A-B93D-DB61DA2F258A}"/>
    <cellStyle name="Currency 5 3 4 4 3 3" xfId="14348" xr:uid="{5C9FAD3B-167A-4F97-B817-0FCF68116F44}"/>
    <cellStyle name="Currency 5 3 4 4 4" xfId="18578" xr:uid="{8B0B3EFA-2240-4E51-9E36-12598B670B9A}"/>
    <cellStyle name="Currency 5 3 4 4 5" xfId="10130" xr:uid="{A7132DF1-FC10-40B2-9F4F-FC96DF26042D}"/>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25354" xr:uid="{166B20E1-030B-4B7E-98AD-9A2951704BE6}"/>
    <cellStyle name="Currency 5 3 4 5 2 2 3" xfId="16906" xr:uid="{86FA0593-09F1-4189-B4BA-2504E7BA44CF}"/>
    <cellStyle name="Currency 5 3 4 5 2 3" xfId="21136" xr:uid="{264A0058-2EDE-4412-A97E-27E1D46FCFED}"/>
    <cellStyle name="Currency 5 3 4 5 2 4" xfId="12688" xr:uid="{1A6EE897-4A70-4BEA-9703-EE3C40364C8B}"/>
    <cellStyle name="Currency 5 3 4 5 3" xfId="6311" xr:uid="{00000000-0005-0000-0000-00001B0D0000}"/>
    <cellStyle name="Currency 5 3 4 5 3 2" xfId="23209" xr:uid="{A6F885EF-A8F7-4AE7-BC67-7CA84029EA99}"/>
    <cellStyle name="Currency 5 3 4 5 3 3" xfId="14761" xr:uid="{5F4FB25D-7B39-4FCD-8FC6-D92EB93211E6}"/>
    <cellStyle name="Currency 5 3 4 5 4" xfId="18991" xr:uid="{3461FBCA-F610-466A-A209-074681F84041}"/>
    <cellStyle name="Currency 5 3 4 5 5" xfId="10543" xr:uid="{CAE10799-5493-4BC5-9214-0FF849DAD873}"/>
    <cellStyle name="Currency 5 3 4 6" xfId="2440" xr:uid="{00000000-0005-0000-0000-00001C0D0000}"/>
    <cellStyle name="Currency 5 3 4 6 2" xfId="6724" xr:uid="{00000000-0005-0000-0000-00001D0D0000}"/>
    <cellStyle name="Currency 5 3 4 6 2 2" xfId="23622" xr:uid="{175FFCAC-FFAC-47AA-8BBC-7FCD364BD835}"/>
    <cellStyle name="Currency 5 3 4 6 2 3" xfId="15174" xr:uid="{75B3E3B8-0038-4821-9ADD-BC5902156DFF}"/>
    <cellStyle name="Currency 5 3 4 6 3" xfId="19404" xr:uid="{61DE3BED-E74B-48CD-AAC9-E4E8A4A098F7}"/>
    <cellStyle name="Currency 5 3 4 6 4" xfId="10956" xr:uid="{5A111BC8-49B0-40B8-8E0F-932D7F72016D}"/>
    <cellStyle name="Currency 5 3 4 7" xfId="2737" xr:uid="{00000000-0005-0000-0000-00001E0D0000}"/>
    <cellStyle name="Currency 5 3 4 8" xfId="2818" xr:uid="{00000000-0005-0000-0000-00001F0D0000}"/>
    <cellStyle name="Currency 5 3 4 8 2" xfId="7041" xr:uid="{00000000-0005-0000-0000-0000200D0000}"/>
    <cellStyle name="Currency 5 3 4 8 2 2" xfId="23939" xr:uid="{FDC63D06-F5AA-43AC-9B77-0C77AC9F1720}"/>
    <cellStyle name="Currency 5 3 4 8 2 3" xfId="15491" xr:uid="{F597E1CE-B3E1-4EBB-8C94-6F212CB2B5DC}"/>
    <cellStyle name="Currency 5 3 4 8 3" xfId="19721" xr:uid="{A7A3A8A7-3E0D-4008-B227-895D0752AD31}"/>
    <cellStyle name="Currency 5 3 4 8 4" xfId="11273" xr:uid="{D73C6998-82F6-4E5B-AB83-991A98113759}"/>
    <cellStyle name="Currency 5 3 4 9" xfId="4658" xr:uid="{00000000-0005-0000-0000-0000210D0000}"/>
    <cellStyle name="Currency 5 3 4 9 2" xfId="21556" xr:uid="{8917E242-9CA1-4B02-B2F6-E366B89F341F}"/>
    <cellStyle name="Currency 5 3 4 9 3" xfId="13108" xr:uid="{1881AF5E-2C19-4473-ABA4-FE4F7D855AD5}"/>
    <cellStyle name="Currency 5 3 5" xfId="217" xr:uid="{00000000-0005-0000-0000-0000220D0000}"/>
    <cellStyle name="Currency 5 3 5 10" xfId="17339" xr:uid="{94FF8334-161E-4E00-BAF1-CDF9234EC992}"/>
    <cellStyle name="Currency 5 3 5 11" xfId="8891" xr:uid="{48E04C63-EF1F-443C-A845-34FC6F19738F}"/>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24116" xr:uid="{F70A514F-8583-4E46-9C29-10F6B5FD5303}"/>
    <cellStyle name="Currency 5 3 5 2 2 2 3" xfId="15668" xr:uid="{A91EEFBA-DF04-4D89-84D2-8B36FCE04EBD}"/>
    <cellStyle name="Currency 5 3 5 2 2 3" xfId="19898" xr:uid="{6724D5AA-54B5-4232-BE69-9A78A3D5C4B6}"/>
    <cellStyle name="Currency 5 3 5 2 2 4" xfId="11450" xr:uid="{EC7D488C-8F74-4F26-804E-CF231A802F50}"/>
    <cellStyle name="Currency 5 3 5 2 3" xfId="5073" xr:uid="{00000000-0005-0000-0000-0000260D0000}"/>
    <cellStyle name="Currency 5 3 5 2 3 2" xfId="21971" xr:uid="{5F356DB6-864C-49B6-BDF1-129FA2ED1ED4}"/>
    <cellStyle name="Currency 5 3 5 2 3 3" xfId="13523" xr:uid="{363EDA24-1424-416D-A6A9-8256F2A6E543}"/>
    <cellStyle name="Currency 5 3 5 2 4" xfId="17753" xr:uid="{F0C07E4C-D141-4C82-8CB8-29DEB04C8E18}"/>
    <cellStyle name="Currency 5 3 5 2 5" xfId="9305" xr:uid="{4C00A59A-2D8C-4CF9-8F32-602124E2209D}"/>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24529" xr:uid="{36F988C7-F0F2-4DCE-92BB-F9DE90F0045F}"/>
    <cellStyle name="Currency 5 3 5 3 2 2 3" xfId="16081" xr:uid="{A34C1422-95E8-4DC5-9252-659E456BE10B}"/>
    <cellStyle name="Currency 5 3 5 3 2 3" xfId="20311" xr:uid="{D1141214-48DF-43B2-AE40-40D7AABBCD4E}"/>
    <cellStyle name="Currency 5 3 5 3 2 4" xfId="11863" xr:uid="{555E6A67-05B8-4E91-98C1-2D8DD2213DB5}"/>
    <cellStyle name="Currency 5 3 5 3 3" xfId="5486" xr:uid="{00000000-0005-0000-0000-00002A0D0000}"/>
    <cellStyle name="Currency 5 3 5 3 3 2" xfId="22384" xr:uid="{440DFE48-1CB3-4054-AA3A-05E7C90F0434}"/>
    <cellStyle name="Currency 5 3 5 3 3 3" xfId="13936" xr:uid="{812EB896-95AF-41D1-AD18-6810154ACAD4}"/>
    <cellStyle name="Currency 5 3 5 3 4" xfId="18166" xr:uid="{783E8C97-DA35-493C-9E68-68CCDEEC5F05}"/>
    <cellStyle name="Currency 5 3 5 3 5" xfId="9718" xr:uid="{D56F525E-E827-46AE-A542-8B1837E841C6}"/>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24942" xr:uid="{273CFE64-5714-4EEB-8BC5-7CA13796F8C1}"/>
    <cellStyle name="Currency 5 3 5 4 2 2 3" xfId="16494" xr:uid="{3891BDDC-0FCA-47FA-B970-D077E58F9DAA}"/>
    <cellStyle name="Currency 5 3 5 4 2 3" xfId="20724" xr:uid="{50576B40-A7FD-4D7D-9E5C-392629593969}"/>
    <cellStyle name="Currency 5 3 5 4 2 4" xfId="12276" xr:uid="{1043D39B-C810-4CB3-A6B6-73B9A01FD773}"/>
    <cellStyle name="Currency 5 3 5 4 3" xfId="5899" xr:uid="{00000000-0005-0000-0000-00002E0D0000}"/>
    <cellStyle name="Currency 5 3 5 4 3 2" xfId="22797" xr:uid="{2FDF2696-1D6A-4741-B376-BA6C82B7071A}"/>
    <cellStyle name="Currency 5 3 5 4 3 3" xfId="14349" xr:uid="{8E045B72-3234-45EF-8F22-5FD5D3A2B87C}"/>
    <cellStyle name="Currency 5 3 5 4 4" xfId="18579" xr:uid="{72B43249-F811-4773-9B15-3801CE0E3825}"/>
    <cellStyle name="Currency 5 3 5 4 5" xfId="10131" xr:uid="{978E287B-B0D7-4DF1-ACC8-80B310CD2111}"/>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25355" xr:uid="{8556D3C4-7D75-4DCF-AE46-ADC3D61829C6}"/>
    <cellStyle name="Currency 5 3 5 5 2 2 3" xfId="16907" xr:uid="{4E22BEFD-4605-412E-AA0A-903CB391F577}"/>
    <cellStyle name="Currency 5 3 5 5 2 3" xfId="21137" xr:uid="{A5123C5F-F5D4-44BF-BD18-977E5BE170C4}"/>
    <cellStyle name="Currency 5 3 5 5 2 4" xfId="12689" xr:uid="{71A19575-3D4C-41FE-9DF4-63C9D447CC2F}"/>
    <cellStyle name="Currency 5 3 5 5 3" xfId="6312" xr:uid="{00000000-0005-0000-0000-0000320D0000}"/>
    <cellStyle name="Currency 5 3 5 5 3 2" xfId="23210" xr:uid="{DC0F76EB-58C6-473B-BE96-A104FC37B1E1}"/>
    <cellStyle name="Currency 5 3 5 5 3 3" xfId="14762" xr:uid="{0F21E068-CFA4-4DDC-883F-5B9ECB406A2B}"/>
    <cellStyle name="Currency 5 3 5 5 4" xfId="18992" xr:uid="{364085FB-88ED-48A6-BB00-56F3891119FD}"/>
    <cellStyle name="Currency 5 3 5 5 5" xfId="10544" xr:uid="{31C1B356-6C58-41EA-BFAB-787783911774}"/>
    <cellStyle name="Currency 5 3 5 6" xfId="2441" xr:uid="{00000000-0005-0000-0000-0000330D0000}"/>
    <cellStyle name="Currency 5 3 5 6 2" xfId="6725" xr:uid="{00000000-0005-0000-0000-0000340D0000}"/>
    <cellStyle name="Currency 5 3 5 6 2 2" xfId="23623" xr:uid="{60F2A17C-6DC6-4ADC-AC4E-2B8B9BCEBA54}"/>
    <cellStyle name="Currency 5 3 5 6 2 3" xfId="15175" xr:uid="{1869CB25-AA38-4D53-A2E4-70A0C1DE95E2}"/>
    <cellStyle name="Currency 5 3 5 6 3" xfId="19405" xr:uid="{8B1AA5F2-BCC6-4524-A7F3-8EF10CC0A4FD}"/>
    <cellStyle name="Currency 5 3 5 6 4" xfId="10957" xr:uid="{E94E0FC9-D5EC-4F24-979C-F196B23BBFDE}"/>
    <cellStyle name="Currency 5 3 5 7" xfId="2738" xr:uid="{00000000-0005-0000-0000-0000350D0000}"/>
    <cellStyle name="Currency 5 3 5 8" xfId="2819" xr:uid="{00000000-0005-0000-0000-0000360D0000}"/>
    <cellStyle name="Currency 5 3 5 8 2" xfId="7042" xr:uid="{00000000-0005-0000-0000-0000370D0000}"/>
    <cellStyle name="Currency 5 3 5 8 2 2" xfId="23940" xr:uid="{D6160337-B238-4F17-8847-AF96949B9DF0}"/>
    <cellStyle name="Currency 5 3 5 8 2 3" xfId="15492" xr:uid="{1F8C3D1D-7FF2-4306-A14F-831F2E3FF90F}"/>
    <cellStyle name="Currency 5 3 5 8 3" xfId="19722" xr:uid="{BDBAFC2C-E7B7-4D61-B9FE-AC7E4F154821}"/>
    <cellStyle name="Currency 5 3 5 8 4" xfId="11274" xr:uid="{92C04EF9-C9BB-4F0F-8707-E7EB7F066212}"/>
    <cellStyle name="Currency 5 3 5 9" xfId="4659" xr:uid="{00000000-0005-0000-0000-0000380D0000}"/>
    <cellStyle name="Currency 5 3 5 9 2" xfId="21557" xr:uid="{FA7137B0-24ED-4AC8-AA2B-974DAA1F248F}"/>
    <cellStyle name="Currency 5 3 5 9 3" xfId="13109" xr:uid="{91F2D152-2A92-43CD-A007-EFED90D10471}"/>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21558" xr:uid="{E3F8E36B-626F-4D12-AC9A-C7618D4A6674}"/>
    <cellStyle name="Currency 5 5 10 3" xfId="13110" xr:uid="{7F76A777-0F4D-49C6-A248-7E990DB94569}"/>
    <cellStyle name="Currency 5 5 11" xfId="17340" xr:uid="{BDCE757B-67CA-423E-B20F-0C0D417394C5}"/>
    <cellStyle name="Currency 5 5 12" xfId="8892" xr:uid="{B01A23E6-0C10-4843-9439-D3871AEC46BD}"/>
    <cellStyle name="Currency 5 5 2" xfId="220" xr:uid="{00000000-0005-0000-0000-00003D0D0000}"/>
    <cellStyle name="Currency 5 5 2 10" xfId="17341" xr:uid="{42AD83A8-793E-4CB9-8E46-37DFF077F2FE}"/>
    <cellStyle name="Currency 5 5 2 11" xfId="8893" xr:uid="{0B9A19C1-BD84-4D70-ABEC-19320DC9B70F}"/>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24118" xr:uid="{5BFFD559-A093-4A6A-9755-6BB407317E27}"/>
    <cellStyle name="Currency 5 5 2 2 2 2 3" xfId="15670" xr:uid="{AFACA2E8-DED7-4F6E-9E72-73BF6E6BDA0A}"/>
    <cellStyle name="Currency 5 5 2 2 2 3" xfId="19900" xr:uid="{CF222ABA-6888-48D8-AAE0-6596794BC07D}"/>
    <cellStyle name="Currency 5 5 2 2 2 4" xfId="11452" xr:uid="{1AA778B1-299E-47EB-9562-E20E01CC3E18}"/>
    <cellStyle name="Currency 5 5 2 2 3" xfId="5075" xr:uid="{00000000-0005-0000-0000-0000410D0000}"/>
    <cellStyle name="Currency 5 5 2 2 3 2" xfId="21973" xr:uid="{193F3C81-14AB-4BB2-9746-1F43574FE285}"/>
    <cellStyle name="Currency 5 5 2 2 3 3" xfId="13525" xr:uid="{D3AA467C-AAA5-4D91-8286-A46F8ADA69B9}"/>
    <cellStyle name="Currency 5 5 2 2 4" xfId="17755" xr:uid="{1C45A7FB-D0FF-411D-9949-8A585D41028C}"/>
    <cellStyle name="Currency 5 5 2 2 5" xfId="9307" xr:uid="{2EC612FB-0F48-4FF5-B63F-D3E4EFEC657E}"/>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24531" xr:uid="{132ED20A-7FA9-4D66-885E-306AE7EDCC2D}"/>
    <cellStyle name="Currency 5 5 2 3 2 2 3" xfId="16083" xr:uid="{C33A8582-CF13-4A87-8446-3D3AB59000A5}"/>
    <cellStyle name="Currency 5 5 2 3 2 3" xfId="20313" xr:uid="{16080976-C4AA-4EB2-AE19-97C197873DDD}"/>
    <cellStyle name="Currency 5 5 2 3 2 4" xfId="11865" xr:uid="{0CF7AE95-D2EA-4827-8A99-AD3EDEDC1159}"/>
    <cellStyle name="Currency 5 5 2 3 3" xfId="5488" xr:uid="{00000000-0005-0000-0000-0000450D0000}"/>
    <cellStyle name="Currency 5 5 2 3 3 2" xfId="22386" xr:uid="{1E18A507-590A-4368-AECC-E7EC79740C7E}"/>
    <cellStyle name="Currency 5 5 2 3 3 3" xfId="13938" xr:uid="{21EC0BE1-FD38-4D70-9B8A-A628832C4E51}"/>
    <cellStyle name="Currency 5 5 2 3 4" xfId="18168" xr:uid="{D83C4CA2-9154-48D1-A250-949A3B932B9D}"/>
    <cellStyle name="Currency 5 5 2 3 5" xfId="9720" xr:uid="{A9C3343A-B545-4C6D-BD3F-EF040FBBB293}"/>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24944" xr:uid="{DC1BB83D-566D-4419-8A25-8BCD43D551BF}"/>
    <cellStyle name="Currency 5 5 2 4 2 2 3" xfId="16496" xr:uid="{C2BE6DD6-DA90-46E5-BA8B-E1331EBEA922}"/>
    <cellStyle name="Currency 5 5 2 4 2 3" xfId="20726" xr:uid="{40868D61-3B05-4335-87B5-1082566C8D9A}"/>
    <cellStyle name="Currency 5 5 2 4 2 4" xfId="12278" xr:uid="{A4739524-A462-44A9-9CE9-FE7ECED90A20}"/>
    <cellStyle name="Currency 5 5 2 4 3" xfId="5901" xr:uid="{00000000-0005-0000-0000-0000490D0000}"/>
    <cellStyle name="Currency 5 5 2 4 3 2" xfId="22799" xr:uid="{18707C37-0CDE-49BF-9405-3EE38AD9B8D1}"/>
    <cellStyle name="Currency 5 5 2 4 3 3" xfId="14351" xr:uid="{34D5857A-4ABA-4166-9792-2FCA2D9FAB5E}"/>
    <cellStyle name="Currency 5 5 2 4 4" xfId="18581" xr:uid="{4733A614-57A1-4E80-8984-D56B24D06773}"/>
    <cellStyle name="Currency 5 5 2 4 5" xfId="10133" xr:uid="{FFA413B0-7FE7-4779-9FE6-01662B7AC2F5}"/>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25357" xr:uid="{604C8232-9C15-499F-817E-23FE54548E3E}"/>
    <cellStyle name="Currency 5 5 2 5 2 2 3" xfId="16909" xr:uid="{39EC668D-3954-4753-8152-55F0CD0C89AC}"/>
    <cellStyle name="Currency 5 5 2 5 2 3" xfId="21139" xr:uid="{AE8B5AA8-E30A-4A24-BB44-3ED7E5674DE7}"/>
    <cellStyle name="Currency 5 5 2 5 2 4" xfId="12691" xr:uid="{B3CF1E65-CA94-48BB-8CF0-8DAE07B0D6BF}"/>
    <cellStyle name="Currency 5 5 2 5 3" xfId="6314" xr:uid="{00000000-0005-0000-0000-00004D0D0000}"/>
    <cellStyle name="Currency 5 5 2 5 3 2" xfId="23212" xr:uid="{2F392F76-2BFA-4A1B-9C60-99C4E7EE2698}"/>
    <cellStyle name="Currency 5 5 2 5 3 3" xfId="14764" xr:uid="{E959AD74-45D5-45EA-AE77-0998493AB2EF}"/>
    <cellStyle name="Currency 5 5 2 5 4" xfId="18994" xr:uid="{650D74AD-5AE2-4D9C-93CF-9C9FFDE73CD3}"/>
    <cellStyle name="Currency 5 5 2 5 5" xfId="10546" xr:uid="{83D03DED-45B7-43D4-ABF8-E3ACF0A985C5}"/>
    <cellStyle name="Currency 5 5 2 6" xfId="2443" xr:uid="{00000000-0005-0000-0000-00004E0D0000}"/>
    <cellStyle name="Currency 5 5 2 6 2" xfId="6727" xr:uid="{00000000-0005-0000-0000-00004F0D0000}"/>
    <cellStyle name="Currency 5 5 2 6 2 2" xfId="23625" xr:uid="{976B67F9-195E-4188-8088-55B0CFDC1357}"/>
    <cellStyle name="Currency 5 5 2 6 2 3" xfId="15177" xr:uid="{4919B1DA-0B1C-4DAB-9527-CACA7A69E72E}"/>
    <cellStyle name="Currency 5 5 2 6 3" xfId="19407" xr:uid="{127570BF-1C2C-4836-9316-D99D6A6109E3}"/>
    <cellStyle name="Currency 5 5 2 6 4" xfId="10959" xr:uid="{8B59F0C7-73D2-4D9D-9EEA-A80D81096675}"/>
    <cellStyle name="Currency 5 5 2 7" xfId="2740" xr:uid="{00000000-0005-0000-0000-0000500D0000}"/>
    <cellStyle name="Currency 5 5 2 8" xfId="2821" xr:uid="{00000000-0005-0000-0000-0000510D0000}"/>
    <cellStyle name="Currency 5 5 2 8 2" xfId="7044" xr:uid="{00000000-0005-0000-0000-0000520D0000}"/>
    <cellStyle name="Currency 5 5 2 8 2 2" xfId="23942" xr:uid="{3CACBFD9-0D1D-4B46-9FAA-EC85A7D343D4}"/>
    <cellStyle name="Currency 5 5 2 8 2 3" xfId="15494" xr:uid="{EFEE6962-5FD2-4976-BDC0-5D781E65984A}"/>
    <cellStyle name="Currency 5 5 2 8 3" xfId="19724" xr:uid="{58C8FC79-4DB7-4E1F-8759-9245156D3320}"/>
    <cellStyle name="Currency 5 5 2 8 4" xfId="11276" xr:uid="{D7C83981-3061-4BAE-9D1D-2473279CC78F}"/>
    <cellStyle name="Currency 5 5 2 9" xfId="4661" xr:uid="{00000000-0005-0000-0000-0000530D0000}"/>
    <cellStyle name="Currency 5 5 2 9 2" xfId="21559" xr:uid="{BD95B3FF-2257-4A78-9033-132A6BA1983A}"/>
    <cellStyle name="Currency 5 5 2 9 3" xfId="13111" xr:uid="{91A8619C-6CC4-45C7-AE19-AC7DB0EC8135}"/>
    <cellStyle name="Currency 5 5 3" xfId="745" xr:uid="{00000000-0005-0000-0000-0000540D0000}"/>
    <cellStyle name="Currency 5 5 3 2" xfId="2997" xr:uid="{00000000-0005-0000-0000-0000550D0000}"/>
    <cellStyle name="Currency 5 5 3 2 2" xfId="7219" xr:uid="{00000000-0005-0000-0000-0000560D0000}"/>
    <cellStyle name="Currency 5 5 3 2 2 2" xfId="24117" xr:uid="{F963CEAC-ECBC-47E9-BEE6-69D93431904E}"/>
    <cellStyle name="Currency 5 5 3 2 2 3" xfId="15669" xr:uid="{A1E40088-23F1-4EB1-A989-D71379888102}"/>
    <cellStyle name="Currency 5 5 3 2 3" xfId="19899" xr:uid="{013A383F-0BEC-4951-B0C3-36E989CE76E1}"/>
    <cellStyle name="Currency 5 5 3 2 4" xfId="11451" xr:uid="{2FA93B9B-1FE4-4A7B-B06F-44F613C5ED8C}"/>
    <cellStyle name="Currency 5 5 3 3" xfId="5074" xr:uid="{00000000-0005-0000-0000-0000570D0000}"/>
    <cellStyle name="Currency 5 5 3 3 2" xfId="21972" xr:uid="{802AEB0C-4F08-456E-B191-72E325D404AF}"/>
    <cellStyle name="Currency 5 5 3 3 3" xfId="13524" xr:uid="{2DCEF7A8-4EAC-4422-AE5D-397935B24CFB}"/>
    <cellStyle name="Currency 5 5 3 4" xfId="17754" xr:uid="{B14B3D6C-903B-4E4C-B590-B0C741F5223E}"/>
    <cellStyle name="Currency 5 5 3 5" xfId="9306" xr:uid="{C8DF1B41-5452-4EC8-BFC5-0569A4197375}"/>
    <cellStyle name="Currency 5 5 4" xfId="1179" xr:uid="{00000000-0005-0000-0000-0000580D0000}"/>
    <cellStyle name="Currency 5 5 4 2" xfId="3410" xr:uid="{00000000-0005-0000-0000-0000590D0000}"/>
    <cellStyle name="Currency 5 5 4 2 2" xfId="7632" xr:uid="{00000000-0005-0000-0000-00005A0D0000}"/>
    <cellStyle name="Currency 5 5 4 2 2 2" xfId="24530" xr:uid="{8CDD3F32-850F-4787-9139-F122A450AC66}"/>
    <cellStyle name="Currency 5 5 4 2 2 3" xfId="16082" xr:uid="{CC3DCB22-4AAE-464D-8CA6-02E435EF1B2D}"/>
    <cellStyle name="Currency 5 5 4 2 3" xfId="20312" xr:uid="{13802ADF-ED58-42EB-8638-C91423B30EE2}"/>
    <cellStyle name="Currency 5 5 4 2 4" xfId="11864" xr:uid="{0CE2FEFF-9EBB-4B87-B55A-498F9FCADC3C}"/>
    <cellStyle name="Currency 5 5 4 3" xfId="5487" xr:uid="{00000000-0005-0000-0000-00005B0D0000}"/>
    <cellStyle name="Currency 5 5 4 3 2" xfId="22385" xr:uid="{E95E8C4F-234F-4D3C-9458-B9899CA44353}"/>
    <cellStyle name="Currency 5 5 4 3 3" xfId="13937" xr:uid="{05DB45F3-C67A-4782-8D9B-8537B1C70BB4}"/>
    <cellStyle name="Currency 5 5 4 4" xfId="18167" xr:uid="{0CCD65F4-FAF9-4E79-B030-2A1E2A4837CD}"/>
    <cellStyle name="Currency 5 5 4 5" xfId="9719" xr:uid="{45358DA4-9609-4FBE-8B4F-2F982286E7C9}"/>
    <cellStyle name="Currency 5 5 5" xfId="1593" xr:uid="{00000000-0005-0000-0000-00005C0D0000}"/>
    <cellStyle name="Currency 5 5 5 2" xfId="3823" xr:uid="{00000000-0005-0000-0000-00005D0D0000}"/>
    <cellStyle name="Currency 5 5 5 2 2" xfId="8045" xr:uid="{00000000-0005-0000-0000-00005E0D0000}"/>
    <cellStyle name="Currency 5 5 5 2 2 2" xfId="24943" xr:uid="{5CDF7C21-9F96-4096-81EB-4F1E94A0F5D8}"/>
    <cellStyle name="Currency 5 5 5 2 2 3" xfId="16495" xr:uid="{A6804BDC-27C3-4AC2-B197-1F7A707B30BF}"/>
    <cellStyle name="Currency 5 5 5 2 3" xfId="20725" xr:uid="{98F5D94D-4C09-4786-8841-628C5E5BF4A5}"/>
    <cellStyle name="Currency 5 5 5 2 4" xfId="12277" xr:uid="{773C213A-F9CE-436A-A986-F0D7C7482985}"/>
    <cellStyle name="Currency 5 5 5 3" xfId="5900" xr:uid="{00000000-0005-0000-0000-00005F0D0000}"/>
    <cellStyle name="Currency 5 5 5 3 2" xfId="22798" xr:uid="{25724A2F-1D10-4DBB-B5DF-F89693FBAC9E}"/>
    <cellStyle name="Currency 5 5 5 3 3" xfId="14350" xr:uid="{CBD2DB1C-13F0-496E-9047-17649C22A1DC}"/>
    <cellStyle name="Currency 5 5 5 4" xfId="18580" xr:uid="{401DE6FD-E3F5-40D4-9324-0D4D03BB0217}"/>
    <cellStyle name="Currency 5 5 5 5" xfId="10132" xr:uid="{CBD2C020-0F9C-4AE3-A0EF-1E0A3BCF0A5E}"/>
    <cellStyle name="Currency 5 5 6" xfId="2007" xr:uid="{00000000-0005-0000-0000-0000600D0000}"/>
    <cellStyle name="Currency 5 5 6 2" xfId="4236" xr:uid="{00000000-0005-0000-0000-0000610D0000}"/>
    <cellStyle name="Currency 5 5 6 2 2" xfId="8458" xr:uid="{00000000-0005-0000-0000-0000620D0000}"/>
    <cellStyle name="Currency 5 5 6 2 2 2" xfId="25356" xr:uid="{00D79C21-84FC-49AC-9415-C83A34750535}"/>
    <cellStyle name="Currency 5 5 6 2 2 3" xfId="16908" xr:uid="{3F290B58-D4B5-46B3-A14D-DC042BBBD806}"/>
    <cellStyle name="Currency 5 5 6 2 3" xfId="21138" xr:uid="{B840C5E1-0789-4111-B045-F4B8074DEF77}"/>
    <cellStyle name="Currency 5 5 6 2 4" xfId="12690" xr:uid="{0311FE71-3B51-4EAC-9ECA-8033D0A47B17}"/>
    <cellStyle name="Currency 5 5 6 3" xfId="6313" xr:uid="{00000000-0005-0000-0000-0000630D0000}"/>
    <cellStyle name="Currency 5 5 6 3 2" xfId="23211" xr:uid="{6552DAA4-E1FA-44FE-817B-9411CC225F7C}"/>
    <cellStyle name="Currency 5 5 6 3 3" xfId="14763" xr:uid="{E945D4F6-BE72-4DBD-BB1F-3E60B25D6925}"/>
    <cellStyle name="Currency 5 5 6 4" xfId="18993" xr:uid="{A9C71ABF-1C0C-4C84-8625-F67D1568AA10}"/>
    <cellStyle name="Currency 5 5 6 5" xfId="10545" xr:uid="{A3FF4421-B082-4B9C-B4EC-B2C77CCB0488}"/>
    <cellStyle name="Currency 5 5 7" xfId="2442" xr:uid="{00000000-0005-0000-0000-0000640D0000}"/>
    <cellStyle name="Currency 5 5 7 2" xfId="6726" xr:uid="{00000000-0005-0000-0000-0000650D0000}"/>
    <cellStyle name="Currency 5 5 7 2 2" xfId="23624" xr:uid="{6B9BD39F-6838-4AAF-915C-D8614BD4FC0E}"/>
    <cellStyle name="Currency 5 5 7 2 3" xfId="15176" xr:uid="{130D71E6-C290-4C8A-A0A5-BB0D644ECFEF}"/>
    <cellStyle name="Currency 5 5 7 3" xfId="19406" xr:uid="{C6510A27-8652-4B7D-B84E-E563FF256EA1}"/>
    <cellStyle name="Currency 5 5 7 4" xfId="10958" xr:uid="{0507768A-4317-44E2-977F-008C91CED01F}"/>
    <cellStyle name="Currency 5 5 8" xfId="2739" xr:uid="{00000000-0005-0000-0000-0000660D0000}"/>
    <cellStyle name="Currency 5 5 9" xfId="2820" xr:uid="{00000000-0005-0000-0000-0000670D0000}"/>
    <cellStyle name="Currency 5 5 9 2" xfId="7043" xr:uid="{00000000-0005-0000-0000-0000680D0000}"/>
    <cellStyle name="Currency 5 5 9 2 2" xfId="23941" xr:uid="{01EB5DF1-6EAE-4CD7-8A0B-FD1975DC58F8}"/>
    <cellStyle name="Currency 5 5 9 2 3" xfId="15493" xr:uid="{F4BBAF15-88DF-4A74-8DEB-3DF72CDFCD67}"/>
    <cellStyle name="Currency 5 5 9 3" xfId="19723" xr:uid="{BE6EE3F5-2183-46A9-AB0B-1EEE8D957698}"/>
    <cellStyle name="Currency 5 5 9 4" xfId="11275" xr:uid="{CAB44993-C389-4C0C-8C6D-4CEFAFA6FB56}"/>
    <cellStyle name="Currency 5 6" xfId="221" xr:uid="{00000000-0005-0000-0000-0000690D0000}"/>
    <cellStyle name="Currency 5 6 10" xfId="17342" xr:uid="{6A42A923-C363-41C4-A2DF-7402A305CA1A}"/>
    <cellStyle name="Currency 5 6 11" xfId="8894" xr:uid="{6A19F312-625E-4533-8CE2-7825F91ABCA4}"/>
    <cellStyle name="Currency 5 6 2" xfId="747" xr:uid="{00000000-0005-0000-0000-00006A0D0000}"/>
    <cellStyle name="Currency 5 6 2 2" xfId="2999" xr:uid="{00000000-0005-0000-0000-00006B0D0000}"/>
    <cellStyle name="Currency 5 6 2 2 2" xfId="7221" xr:uid="{00000000-0005-0000-0000-00006C0D0000}"/>
    <cellStyle name="Currency 5 6 2 2 2 2" xfId="24119" xr:uid="{0D083F2F-FFA7-49DF-B5C5-8FA580F9D867}"/>
    <cellStyle name="Currency 5 6 2 2 2 3" xfId="15671" xr:uid="{43634D8D-E78E-409C-A9E8-96F3D79D08B7}"/>
    <cellStyle name="Currency 5 6 2 2 3" xfId="19901" xr:uid="{4E3B33C8-FA56-49A0-BDE0-EBED9DE6EE46}"/>
    <cellStyle name="Currency 5 6 2 2 4" xfId="11453" xr:uid="{3549BF03-E777-41BB-B641-6522E73139AA}"/>
    <cellStyle name="Currency 5 6 2 3" xfId="5076" xr:uid="{00000000-0005-0000-0000-00006D0D0000}"/>
    <cellStyle name="Currency 5 6 2 3 2" xfId="21974" xr:uid="{D594DF75-D824-4BDA-B1F5-FB1C7FC79BD9}"/>
    <cellStyle name="Currency 5 6 2 3 3" xfId="13526" xr:uid="{E55A0A07-728E-4F11-809E-FE2BA362165A}"/>
    <cellStyle name="Currency 5 6 2 4" xfId="17756" xr:uid="{4FB6A4D8-8F28-4A68-BA04-B8E150D71BB1}"/>
    <cellStyle name="Currency 5 6 2 5" xfId="9308" xr:uid="{E980E85F-E3BE-4B41-932B-5F30A1724259}"/>
    <cellStyle name="Currency 5 6 3" xfId="1181" xr:uid="{00000000-0005-0000-0000-00006E0D0000}"/>
    <cellStyle name="Currency 5 6 3 2" xfId="3412" xr:uid="{00000000-0005-0000-0000-00006F0D0000}"/>
    <cellStyle name="Currency 5 6 3 2 2" xfId="7634" xr:uid="{00000000-0005-0000-0000-0000700D0000}"/>
    <cellStyle name="Currency 5 6 3 2 2 2" xfId="24532" xr:uid="{18090789-DBD3-4C5E-B87F-E6E3147B34B0}"/>
    <cellStyle name="Currency 5 6 3 2 2 3" xfId="16084" xr:uid="{188DB22E-4409-44A3-87CD-DE4330DD5D56}"/>
    <cellStyle name="Currency 5 6 3 2 3" xfId="20314" xr:uid="{BD2BFD41-C0F8-4384-B6EF-FE61CD2DEC99}"/>
    <cellStyle name="Currency 5 6 3 2 4" xfId="11866" xr:uid="{C31FFD64-3C0A-45CD-9733-1124B0785C86}"/>
    <cellStyle name="Currency 5 6 3 3" xfId="5489" xr:uid="{00000000-0005-0000-0000-0000710D0000}"/>
    <cellStyle name="Currency 5 6 3 3 2" xfId="22387" xr:uid="{A23461F6-E739-420F-B123-E69592323BB1}"/>
    <cellStyle name="Currency 5 6 3 3 3" xfId="13939" xr:uid="{A0B05A60-F48D-4AFC-B87B-AADCB4A6DC34}"/>
    <cellStyle name="Currency 5 6 3 4" xfId="18169" xr:uid="{6B1D20E5-E7D0-472B-A999-1FCC163085D6}"/>
    <cellStyle name="Currency 5 6 3 5" xfId="9721" xr:uid="{D8FC869A-1D17-4457-8056-E8E9429F7BBA}"/>
    <cellStyle name="Currency 5 6 4" xfId="1595" xr:uid="{00000000-0005-0000-0000-0000720D0000}"/>
    <cellStyle name="Currency 5 6 4 2" xfId="3825" xr:uid="{00000000-0005-0000-0000-0000730D0000}"/>
    <cellStyle name="Currency 5 6 4 2 2" xfId="8047" xr:uid="{00000000-0005-0000-0000-0000740D0000}"/>
    <cellStyle name="Currency 5 6 4 2 2 2" xfId="24945" xr:uid="{1BD270C8-4BA1-4660-BF0A-88202E13B554}"/>
    <cellStyle name="Currency 5 6 4 2 2 3" xfId="16497" xr:uid="{A1181035-2F34-4C78-BC84-AB3E48738590}"/>
    <cellStyle name="Currency 5 6 4 2 3" xfId="20727" xr:uid="{8695198E-EDE0-4A8A-A959-85D891EFDB04}"/>
    <cellStyle name="Currency 5 6 4 2 4" xfId="12279" xr:uid="{5B6F65FB-4814-48F8-A1DC-8366C27B58BD}"/>
    <cellStyle name="Currency 5 6 4 3" xfId="5902" xr:uid="{00000000-0005-0000-0000-0000750D0000}"/>
    <cellStyle name="Currency 5 6 4 3 2" xfId="22800" xr:uid="{5909B85D-7B39-46F2-9B28-071DDAC45377}"/>
    <cellStyle name="Currency 5 6 4 3 3" xfId="14352" xr:uid="{709EF763-ADE9-4840-9E7E-92E6A5FB8254}"/>
    <cellStyle name="Currency 5 6 4 4" xfId="18582" xr:uid="{31B7CC7C-22DC-4612-9137-99A0DC74CA98}"/>
    <cellStyle name="Currency 5 6 4 5" xfId="10134" xr:uid="{3848283F-5D28-469B-8B90-68FE5B2F7593}"/>
    <cellStyle name="Currency 5 6 5" xfId="2009" xr:uid="{00000000-0005-0000-0000-0000760D0000}"/>
    <cellStyle name="Currency 5 6 5 2" xfId="4238" xr:uid="{00000000-0005-0000-0000-0000770D0000}"/>
    <cellStyle name="Currency 5 6 5 2 2" xfId="8460" xr:uid="{00000000-0005-0000-0000-0000780D0000}"/>
    <cellStyle name="Currency 5 6 5 2 2 2" xfId="25358" xr:uid="{C68D921F-E855-4B00-91F4-3774604F8CD5}"/>
    <cellStyle name="Currency 5 6 5 2 2 3" xfId="16910" xr:uid="{B0467903-3539-45B8-B009-E24079EF74AD}"/>
    <cellStyle name="Currency 5 6 5 2 3" xfId="21140" xr:uid="{37DD0D17-38E3-4B9F-8DD2-8D74EEF83BC5}"/>
    <cellStyle name="Currency 5 6 5 2 4" xfId="12692" xr:uid="{4A98AE5C-F897-4CF4-A53A-7D227FC989E1}"/>
    <cellStyle name="Currency 5 6 5 3" xfId="6315" xr:uid="{00000000-0005-0000-0000-0000790D0000}"/>
    <cellStyle name="Currency 5 6 5 3 2" xfId="23213" xr:uid="{D32F027C-A388-499E-AC57-B6A420A34793}"/>
    <cellStyle name="Currency 5 6 5 3 3" xfId="14765" xr:uid="{3EA2FF4C-1912-4C74-8B2E-F65D457FC583}"/>
    <cellStyle name="Currency 5 6 5 4" xfId="18995" xr:uid="{0DEDFB04-1C99-4492-A2C6-48E5927E15F3}"/>
    <cellStyle name="Currency 5 6 5 5" xfId="10547" xr:uid="{B65C6397-59D2-4270-A11E-041F0F6072CA}"/>
    <cellStyle name="Currency 5 6 6" xfId="2444" xr:uid="{00000000-0005-0000-0000-00007A0D0000}"/>
    <cellStyle name="Currency 5 6 6 2" xfId="6728" xr:uid="{00000000-0005-0000-0000-00007B0D0000}"/>
    <cellStyle name="Currency 5 6 6 2 2" xfId="23626" xr:uid="{C2C259E1-5D2C-4A9B-916A-EE2354E7FBED}"/>
    <cellStyle name="Currency 5 6 6 2 3" xfId="15178" xr:uid="{3CAE38BE-4EA7-4557-8E0F-7A4BCFF160C6}"/>
    <cellStyle name="Currency 5 6 6 3" xfId="19408" xr:uid="{32DE2840-DEE4-4F18-B11D-64F33922CD03}"/>
    <cellStyle name="Currency 5 6 6 4" xfId="10960" xr:uid="{8177EE21-2364-4312-B53F-34EA24CE5E66}"/>
    <cellStyle name="Currency 5 6 7" xfId="2741" xr:uid="{00000000-0005-0000-0000-00007C0D0000}"/>
    <cellStyle name="Currency 5 6 8" xfId="2822" xr:uid="{00000000-0005-0000-0000-00007D0D0000}"/>
    <cellStyle name="Currency 5 6 8 2" xfId="7045" xr:uid="{00000000-0005-0000-0000-00007E0D0000}"/>
    <cellStyle name="Currency 5 6 8 2 2" xfId="23943" xr:uid="{9B703D3E-5170-41D7-9569-29BF8AC472D1}"/>
    <cellStyle name="Currency 5 6 8 2 3" xfId="15495" xr:uid="{9F39313A-2D0A-4119-964A-750E0C9ECD5F}"/>
    <cellStyle name="Currency 5 6 8 3" xfId="19725" xr:uid="{4B3DF213-EF0A-4CBE-A252-66D5E1EC30CA}"/>
    <cellStyle name="Currency 5 6 8 4" xfId="11277" xr:uid="{122BA351-6CF3-4755-9F15-C7AB7A27B891}"/>
    <cellStyle name="Currency 5 6 9" xfId="4662" xr:uid="{00000000-0005-0000-0000-00007F0D0000}"/>
    <cellStyle name="Currency 5 6 9 2" xfId="21560" xr:uid="{98D72DFF-D1BC-41E4-A2E3-B0CF71C22EA2}"/>
    <cellStyle name="Currency 5 6 9 3" xfId="13112" xr:uid="{9688B8A0-16A9-4B6B-96AE-7237C04E988E}"/>
    <cellStyle name="Currency 5 7" xfId="222" xr:uid="{00000000-0005-0000-0000-0000800D0000}"/>
    <cellStyle name="Currency 5 7 10" xfId="17343" xr:uid="{E16722F4-3B0D-47A2-8628-F107B360BE8E}"/>
    <cellStyle name="Currency 5 7 11" xfId="8895" xr:uid="{3B3E26BF-BCBD-40F6-AF4E-189531633427}"/>
    <cellStyle name="Currency 5 7 2" xfId="748" xr:uid="{00000000-0005-0000-0000-0000810D0000}"/>
    <cellStyle name="Currency 5 7 2 2" xfId="3000" xr:uid="{00000000-0005-0000-0000-0000820D0000}"/>
    <cellStyle name="Currency 5 7 2 2 2" xfId="7222" xr:uid="{00000000-0005-0000-0000-0000830D0000}"/>
    <cellStyle name="Currency 5 7 2 2 2 2" xfId="24120" xr:uid="{5C8AF500-0C71-4FD5-907B-9F62CEBB20C0}"/>
    <cellStyle name="Currency 5 7 2 2 2 3" xfId="15672" xr:uid="{10B5A693-7960-40FF-8881-C6C0B4FF6C7B}"/>
    <cellStyle name="Currency 5 7 2 2 3" xfId="19902" xr:uid="{C7C5F260-C0F1-4BBE-833D-6DDB42FB0B9D}"/>
    <cellStyle name="Currency 5 7 2 2 4" xfId="11454" xr:uid="{E060C6E6-A524-415F-9B47-0E3EA2A84005}"/>
    <cellStyle name="Currency 5 7 2 3" xfId="5077" xr:uid="{00000000-0005-0000-0000-0000840D0000}"/>
    <cellStyle name="Currency 5 7 2 3 2" xfId="21975" xr:uid="{1CB23D50-432C-490F-A39A-112238DE2E14}"/>
    <cellStyle name="Currency 5 7 2 3 3" xfId="13527" xr:uid="{F5EEC722-CD87-4390-BE0E-20FB01CBAA05}"/>
    <cellStyle name="Currency 5 7 2 4" xfId="17757" xr:uid="{B0440AE9-4F0D-4D43-AB8F-7662D7CDF8E6}"/>
    <cellStyle name="Currency 5 7 2 5" xfId="9309" xr:uid="{D4C3D00B-C827-41B4-B4A8-C460BFBA50CA}"/>
    <cellStyle name="Currency 5 7 3" xfId="1182" xr:uid="{00000000-0005-0000-0000-0000850D0000}"/>
    <cellStyle name="Currency 5 7 3 2" xfId="3413" xr:uid="{00000000-0005-0000-0000-0000860D0000}"/>
    <cellStyle name="Currency 5 7 3 2 2" xfId="7635" xr:uid="{00000000-0005-0000-0000-0000870D0000}"/>
    <cellStyle name="Currency 5 7 3 2 2 2" xfId="24533" xr:uid="{295F855E-5D67-4920-B6F3-676622A1C530}"/>
    <cellStyle name="Currency 5 7 3 2 2 3" xfId="16085" xr:uid="{7EE33304-7796-44E6-B4ED-B0301DE588DA}"/>
    <cellStyle name="Currency 5 7 3 2 3" xfId="20315" xr:uid="{A3699936-8E68-49DD-89E0-C4229E71324F}"/>
    <cellStyle name="Currency 5 7 3 2 4" xfId="11867" xr:uid="{2B632C17-5682-4CB5-A3F6-085C6F379D16}"/>
    <cellStyle name="Currency 5 7 3 3" xfId="5490" xr:uid="{00000000-0005-0000-0000-0000880D0000}"/>
    <cellStyle name="Currency 5 7 3 3 2" xfId="22388" xr:uid="{B6642C34-02EE-4724-8A85-95A09F789CE2}"/>
    <cellStyle name="Currency 5 7 3 3 3" xfId="13940" xr:uid="{8061AAE8-5E58-4AFA-A99D-EE03AAD1AD07}"/>
    <cellStyle name="Currency 5 7 3 4" xfId="18170" xr:uid="{60DE454B-66AC-4056-88D5-6B80E167A3A4}"/>
    <cellStyle name="Currency 5 7 3 5" xfId="9722" xr:uid="{566B2399-A37D-4FC6-8E0B-E621233BF412}"/>
    <cellStyle name="Currency 5 7 4" xfId="1596" xr:uid="{00000000-0005-0000-0000-0000890D0000}"/>
    <cellStyle name="Currency 5 7 4 2" xfId="3826" xr:uid="{00000000-0005-0000-0000-00008A0D0000}"/>
    <cellStyle name="Currency 5 7 4 2 2" xfId="8048" xr:uid="{00000000-0005-0000-0000-00008B0D0000}"/>
    <cellStyle name="Currency 5 7 4 2 2 2" xfId="24946" xr:uid="{4639DF3C-A570-436A-8103-8165874D9509}"/>
    <cellStyle name="Currency 5 7 4 2 2 3" xfId="16498" xr:uid="{FD279813-E230-44A6-8288-12A30B6A7FBC}"/>
    <cellStyle name="Currency 5 7 4 2 3" xfId="20728" xr:uid="{1F20CE78-0815-4BB3-B693-3D336D0BC7A0}"/>
    <cellStyle name="Currency 5 7 4 2 4" xfId="12280" xr:uid="{0F030230-D569-4F71-83BD-AFAE6E93B4BF}"/>
    <cellStyle name="Currency 5 7 4 3" xfId="5903" xr:uid="{00000000-0005-0000-0000-00008C0D0000}"/>
    <cellStyle name="Currency 5 7 4 3 2" xfId="22801" xr:uid="{2999573E-8D38-4401-98E2-1F8D0B7A10FF}"/>
    <cellStyle name="Currency 5 7 4 3 3" xfId="14353" xr:uid="{36E261A1-0C29-4BB4-8F02-F01E4840D7AB}"/>
    <cellStyle name="Currency 5 7 4 4" xfId="18583" xr:uid="{4BFCC814-1084-499A-9F53-66AF330D0208}"/>
    <cellStyle name="Currency 5 7 4 5" xfId="10135" xr:uid="{E468A199-831D-4E51-8C50-06DBE82EEE73}"/>
    <cellStyle name="Currency 5 7 5" xfId="2010" xr:uid="{00000000-0005-0000-0000-00008D0D0000}"/>
    <cellStyle name="Currency 5 7 5 2" xfId="4239" xr:uid="{00000000-0005-0000-0000-00008E0D0000}"/>
    <cellStyle name="Currency 5 7 5 2 2" xfId="8461" xr:uid="{00000000-0005-0000-0000-00008F0D0000}"/>
    <cellStyle name="Currency 5 7 5 2 2 2" xfId="25359" xr:uid="{2107E16F-1F9B-4EB6-96D1-45A7C7CB74DC}"/>
    <cellStyle name="Currency 5 7 5 2 2 3" xfId="16911" xr:uid="{38D4D80B-1072-4F49-B55D-8053847339B9}"/>
    <cellStyle name="Currency 5 7 5 2 3" xfId="21141" xr:uid="{5B10CB6D-2621-4F05-91B9-23139B02F0CD}"/>
    <cellStyle name="Currency 5 7 5 2 4" xfId="12693" xr:uid="{E7938032-C0A3-4D5F-9012-0A6BBB677887}"/>
    <cellStyle name="Currency 5 7 5 3" xfId="6316" xr:uid="{00000000-0005-0000-0000-0000900D0000}"/>
    <cellStyle name="Currency 5 7 5 3 2" xfId="23214" xr:uid="{9F38274C-A797-4F0E-80F1-CA6ED4017609}"/>
    <cellStyle name="Currency 5 7 5 3 3" xfId="14766" xr:uid="{0B943C15-9738-4A8B-9BC4-A97FD4F031F5}"/>
    <cellStyle name="Currency 5 7 5 4" xfId="18996" xr:uid="{6F09B6FF-5EBC-4CA9-BACC-DD51D8BA5688}"/>
    <cellStyle name="Currency 5 7 5 5" xfId="10548" xr:uid="{07FB6FF2-24CE-47C3-8F72-2A49CEEFEBBD}"/>
    <cellStyle name="Currency 5 7 6" xfId="2445" xr:uid="{00000000-0005-0000-0000-0000910D0000}"/>
    <cellStyle name="Currency 5 7 6 2" xfId="6729" xr:uid="{00000000-0005-0000-0000-0000920D0000}"/>
    <cellStyle name="Currency 5 7 6 2 2" xfId="23627" xr:uid="{27ECD3F0-078C-4E32-8222-F41AEA77F9D9}"/>
    <cellStyle name="Currency 5 7 6 2 3" xfId="15179" xr:uid="{EAD51B23-119D-44E3-B642-1BD7304140B5}"/>
    <cellStyle name="Currency 5 7 6 3" xfId="19409" xr:uid="{10989D25-C5E9-462E-9084-C1BF092BCAF3}"/>
    <cellStyle name="Currency 5 7 6 4" xfId="10961" xr:uid="{03D1E722-2E01-46D5-A101-852201E9D3B7}"/>
    <cellStyle name="Currency 5 7 7" xfId="2742" xr:uid="{00000000-0005-0000-0000-0000930D0000}"/>
    <cellStyle name="Currency 5 7 8" xfId="2823" xr:uid="{00000000-0005-0000-0000-0000940D0000}"/>
    <cellStyle name="Currency 5 7 8 2" xfId="7046" xr:uid="{00000000-0005-0000-0000-0000950D0000}"/>
    <cellStyle name="Currency 5 7 8 2 2" xfId="23944" xr:uid="{6A7E4B48-59B9-4742-8084-544F5707EC3A}"/>
    <cellStyle name="Currency 5 7 8 2 3" xfId="15496" xr:uid="{B4FDE83D-B9CB-490A-B627-8E81F61FF6E0}"/>
    <cellStyle name="Currency 5 7 8 3" xfId="19726" xr:uid="{B4F0CC1B-389A-4DCA-9178-DC37EA325886}"/>
    <cellStyle name="Currency 5 7 8 4" xfId="11278" xr:uid="{8F58F863-AA9D-40ED-9BFA-D76F263E73B3}"/>
    <cellStyle name="Currency 5 7 9" xfId="4663" xr:uid="{00000000-0005-0000-0000-0000960D0000}"/>
    <cellStyle name="Currency 5 7 9 2" xfId="21561" xr:uid="{3413F94C-0185-4005-9791-8F4215895829}"/>
    <cellStyle name="Currency 5 7 9 3" xfId="13113" xr:uid="{62AB6A20-417A-4204-8E1D-AA5D1D03450D}"/>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23628" xr:uid="{633FC601-11B5-41BB-BA4C-FB7C3EF81F61}"/>
    <cellStyle name="Normal 12 10 2 3" xfId="15180" xr:uid="{27B6C060-D603-469C-9C79-72EA2263A6FC}"/>
    <cellStyle name="Normal 12 10 3" xfId="19410" xr:uid="{78B0CAE1-6333-485A-87CE-CA095DB83E2B}"/>
    <cellStyle name="Normal 12 10 4" xfId="10962" xr:uid="{3729A58D-5DF7-491B-B3B7-D94294818580}"/>
    <cellStyle name="Normal 12 11" xfId="4664" xr:uid="{00000000-0005-0000-0000-0000CC0D0000}"/>
    <cellStyle name="Normal 12 11 2" xfId="21562" xr:uid="{07AF240C-7387-448F-9AC8-F4773AB88300}"/>
    <cellStyle name="Normal 12 11 3" xfId="13114" xr:uid="{CD3A2713-ED1A-4446-83FB-42CDFCCD5C00}"/>
    <cellStyle name="Normal 12 12" xfId="17344" xr:uid="{EDB0B8AB-6528-4101-84F4-467F77FCBAC7}"/>
    <cellStyle name="Normal 12 13" xfId="8896" xr:uid="{2DE3FB26-35E4-4665-BCC7-1BAAF418C17C}"/>
    <cellStyle name="Normal 12 2" xfId="260" xr:uid="{00000000-0005-0000-0000-0000CD0D0000}"/>
    <cellStyle name="Normal 12 2 10" xfId="17345" xr:uid="{9ED265FD-37FE-47DB-A8F8-58C86DC0E0DF}"/>
    <cellStyle name="Normal 12 2 11" xfId="8897" xr:uid="{DF2C2063-BA53-428D-8BAA-304093137415}"/>
    <cellStyle name="Normal 12 2 2" xfId="261" xr:uid="{00000000-0005-0000-0000-0000CE0D0000}"/>
    <cellStyle name="Normal 12 2 2 10" xfId="8898" xr:uid="{638ADDA9-A4CD-40EC-8538-3D5E447E50D2}"/>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24124" xr:uid="{E4D82EC1-EA8E-4717-9F35-E3B6A21EC934}"/>
    <cellStyle name="Normal 12 2 2 2 2 2 2 3" xfId="15676" xr:uid="{E5EA60BB-320B-4377-BD57-8EBED27A397C}"/>
    <cellStyle name="Normal 12 2 2 2 2 2 3" xfId="19906" xr:uid="{9554A590-7943-4773-AE27-2958DF8E26B3}"/>
    <cellStyle name="Normal 12 2 2 2 2 2 4" xfId="11458" xr:uid="{B074F512-C372-4608-825D-7A3862420F32}"/>
    <cellStyle name="Normal 12 2 2 2 2 3" xfId="5081" xr:uid="{00000000-0005-0000-0000-0000D30D0000}"/>
    <cellStyle name="Normal 12 2 2 2 2 3 2" xfId="21979" xr:uid="{459DA11C-787D-4DF5-B759-C39502EDFC91}"/>
    <cellStyle name="Normal 12 2 2 2 2 3 3" xfId="13531" xr:uid="{44B02517-B838-49E8-BB35-C7796112A059}"/>
    <cellStyle name="Normal 12 2 2 2 2 4" xfId="17761" xr:uid="{4354EF9D-6F7F-48E9-80A7-393CC0242A5E}"/>
    <cellStyle name="Normal 12 2 2 2 2 5" xfId="9313" xr:uid="{8E3BEC70-27BD-4E58-8340-315BEA608337}"/>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24537" xr:uid="{BA40FDC6-25B7-4F51-B8F3-D44C4643596A}"/>
    <cellStyle name="Normal 12 2 2 2 3 2 2 3" xfId="16089" xr:uid="{44214767-E08E-49A7-A60D-8B9DD3FA6F94}"/>
    <cellStyle name="Normal 12 2 2 2 3 2 3" xfId="20319" xr:uid="{4A39C62E-84D4-4079-8662-510516EF12BB}"/>
    <cellStyle name="Normal 12 2 2 2 3 2 4" xfId="11871" xr:uid="{B7447DC7-71DF-4C6A-A979-D419BE696A14}"/>
    <cellStyle name="Normal 12 2 2 2 3 3" xfId="5494" xr:uid="{00000000-0005-0000-0000-0000D70D0000}"/>
    <cellStyle name="Normal 12 2 2 2 3 3 2" xfId="22392" xr:uid="{D4D279B1-A0E3-46F0-978B-ACEC25820B85}"/>
    <cellStyle name="Normal 12 2 2 2 3 3 3" xfId="13944" xr:uid="{E3176260-38E1-4911-9522-506B74649D20}"/>
    <cellStyle name="Normal 12 2 2 2 3 4" xfId="18174" xr:uid="{606134FC-AAAC-4C75-A833-03D9E16838F6}"/>
    <cellStyle name="Normal 12 2 2 2 3 5" xfId="9726" xr:uid="{8B6B02A4-0D83-4CF0-8520-865FF21EFB81}"/>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24950" xr:uid="{1D414714-FC06-410E-AFCA-33E048C293CB}"/>
    <cellStyle name="Normal 12 2 2 2 4 2 2 3" xfId="16502" xr:uid="{819A21A3-1E73-4981-A09C-2778998EB361}"/>
    <cellStyle name="Normal 12 2 2 2 4 2 3" xfId="20732" xr:uid="{DF3DCC32-4373-46AF-9950-5DB77F00A921}"/>
    <cellStyle name="Normal 12 2 2 2 4 2 4" xfId="12284" xr:uid="{086711E6-9E42-4956-A893-19E20A583A49}"/>
    <cellStyle name="Normal 12 2 2 2 4 3" xfId="5907" xr:uid="{00000000-0005-0000-0000-0000DB0D0000}"/>
    <cellStyle name="Normal 12 2 2 2 4 3 2" xfId="22805" xr:uid="{C838FA44-1BDF-4E4A-B790-91B410045E0F}"/>
    <cellStyle name="Normal 12 2 2 2 4 3 3" xfId="14357" xr:uid="{A8A7EE96-51B3-4FFC-AD02-5C87CE76B333}"/>
    <cellStyle name="Normal 12 2 2 2 4 4" xfId="18587" xr:uid="{8CDD30E1-1CFF-4026-AA37-62A6C083C8F5}"/>
    <cellStyle name="Normal 12 2 2 2 4 5" xfId="10139" xr:uid="{9DF5A600-BECA-4A41-8953-FF3C28471062}"/>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25363" xr:uid="{5B831755-BF5B-4DD6-87FC-5C75546F34C6}"/>
    <cellStyle name="Normal 12 2 2 2 5 2 2 3" xfId="16915" xr:uid="{BC10C0CE-40A4-4EEF-AD68-E5AE9B811BF3}"/>
    <cellStyle name="Normal 12 2 2 2 5 2 3" xfId="21145" xr:uid="{B6455D56-D075-4688-89D3-E526E2E8C3A5}"/>
    <cellStyle name="Normal 12 2 2 2 5 2 4" xfId="12697" xr:uid="{17837295-107A-4A78-9151-2535ED6D38F0}"/>
    <cellStyle name="Normal 12 2 2 2 5 3" xfId="6320" xr:uid="{00000000-0005-0000-0000-0000DF0D0000}"/>
    <cellStyle name="Normal 12 2 2 2 5 3 2" xfId="23218" xr:uid="{3408B6F5-A8F8-40B9-A101-DF177F1BF702}"/>
    <cellStyle name="Normal 12 2 2 2 5 3 3" xfId="14770" xr:uid="{DBF3E55E-A4B8-4A6D-9DD3-680DB360E076}"/>
    <cellStyle name="Normal 12 2 2 2 5 4" xfId="19000" xr:uid="{71B7A615-C8B5-4877-ABA9-BFAB725CDBF9}"/>
    <cellStyle name="Normal 12 2 2 2 5 5" xfId="10552" xr:uid="{DEE00273-4860-4845-A4AB-867EB2396DD4}"/>
    <cellStyle name="Normal 12 2 2 2 6" xfId="2450" xr:uid="{00000000-0005-0000-0000-0000E00D0000}"/>
    <cellStyle name="Normal 12 2 2 2 6 2" xfId="6733" xr:uid="{00000000-0005-0000-0000-0000E10D0000}"/>
    <cellStyle name="Normal 12 2 2 2 6 2 2" xfId="23631" xr:uid="{99B83469-5FA4-4177-AD31-9061CF066EA1}"/>
    <cellStyle name="Normal 12 2 2 2 6 2 3" xfId="15183" xr:uid="{8944B514-8025-4A51-A68F-1B341299A875}"/>
    <cellStyle name="Normal 12 2 2 2 6 3" xfId="19413" xr:uid="{45CAAAD9-3AEF-473F-B916-3124D14BD78A}"/>
    <cellStyle name="Normal 12 2 2 2 6 4" xfId="10965" xr:uid="{02203E3B-E0B3-4332-9DC7-C07913039AEB}"/>
    <cellStyle name="Normal 12 2 2 2 7" xfId="4667" xr:uid="{00000000-0005-0000-0000-0000E20D0000}"/>
    <cellStyle name="Normal 12 2 2 2 7 2" xfId="21565" xr:uid="{02426F6A-79DD-44A6-A9F6-E6FF211816CC}"/>
    <cellStyle name="Normal 12 2 2 2 7 3" xfId="13117" xr:uid="{939E63F7-A938-4997-9B03-5F8990BC6A56}"/>
    <cellStyle name="Normal 12 2 2 2 8" xfId="17347" xr:uid="{2E42A7D4-99D2-4E58-84E7-39B763FAFFFD}"/>
    <cellStyle name="Normal 12 2 2 2 9" xfId="8899" xr:uid="{04258755-0BD7-4519-8FA1-CC15B388A5E6}"/>
    <cellStyle name="Normal 12 2 2 3" xfId="762" xr:uid="{00000000-0005-0000-0000-0000E30D0000}"/>
    <cellStyle name="Normal 12 2 2 3 2" xfId="3003" xr:uid="{00000000-0005-0000-0000-0000E40D0000}"/>
    <cellStyle name="Normal 12 2 2 3 2 2" xfId="7225" xr:uid="{00000000-0005-0000-0000-0000E50D0000}"/>
    <cellStyle name="Normal 12 2 2 3 2 2 2" xfId="24123" xr:uid="{DBB670DB-807A-4AD7-AA57-A8011BCB197F}"/>
    <cellStyle name="Normal 12 2 2 3 2 2 3" xfId="15675" xr:uid="{416FD42C-034D-449C-B823-16D089228C0B}"/>
    <cellStyle name="Normal 12 2 2 3 2 3" xfId="19905" xr:uid="{922FA025-E29A-4AEF-817E-C7AB84917EC5}"/>
    <cellStyle name="Normal 12 2 2 3 2 4" xfId="11457" xr:uid="{9AE1BC3B-4FAF-4A18-B436-40235BBE2018}"/>
    <cellStyle name="Normal 12 2 2 3 3" xfId="5080" xr:uid="{00000000-0005-0000-0000-0000E60D0000}"/>
    <cellStyle name="Normal 12 2 2 3 3 2" xfId="21978" xr:uid="{EE836B19-9D34-4136-BD84-59E07C575579}"/>
    <cellStyle name="Normal 12 2 2 3 3 3" xfId="13530" xr:uid="{3E857AEA-F249-4511-A26A-F270C39DD7AE}"/>
    <cellStyle name="Normal 12 2 2 3 4" xfId="17760" xr:uid="{FB23C69A-C4CB-43D3-BC32-DA33E383B533}"/>
    <cellStyle name="Normal 12 2 2 3 5" xfId="9312" xr:uid="{0D5AE5FE-B8C8-4BEC-92D7-DE18276CE047}"/>
    <cellStyle name="Normal 12 2 2 4" xfId="1185" xr:uid="{00000000-0005-0000-0000-0000E70D0000}"/>
    <cellStyle name="Normal 12 2 2 4 2" xfId="3416" xr:uid="{00000000-0005-0000-0000-0000E80D0000}"/>
    <cellStyle name="Normal 12 2 2 4 2 2" xfId="7638" xr:uid="{00000000-0005-0000-0000-0000E90D0000}"/>
    <cellStyle name="Normal 12 2 2 4 2 2 2" xfId="24536" xr:uid="{0595392C-BBB5-4F75-B4C3-76A7FE52AFB3}"/>
    <cellStyle name="Normal 12 2 2 4 2 2 3" xfId="16088" xr:uid="{7F017EE6-0773-42CF-B02E-0B253CB868D3}"/>
    <cellStyle name="Normal 12 2 2 4 2 3" xfId="20318" xr:uid="{097C7320-BB87-49C9-9170-8041628F06FB}"/>
    <cellStyle name="Normal 12 2 2 4 2 4" xfId="11870" xr:uid="{30B839F1-EDDD-4C02-B6E1-F6E3201B87D3}"/>
    <cellStyle name="Normal 12 2 2 4 3" xfId="5493" xr:uid="{00000000-0005-0000-0000-0000EA0D0000}"/>
    <cellStyle name="Normal 12 2 2 4 3 2" xfId="22391" xr:uid="{2103A42A-4127-4767-8852-5C610EF81478}"/>
    <cellStyle name="Normal 12 2 2 4 3 3" xfId="13943" xr:uid="{14E6F46F-3145-42C5-8938-7925642C7015}"/>
    <cellStyle name="Normal 12 2 2 4 4" xfId="18173" xr:uid="{7FDA2344-D803-4EAE-AAB4-A23035A03025}"/>
    <cellStyle name="Normal 12 2 2 4 5" xfId="9725" xr:uid="{6D6D431C-02C8-4B48-876E-A2B0905D938F}"/>
    <cellStyle name="Normal 12 2 2 5" xfId="1599" xr:uid="{00000000-0005-0000-0000-0000EB0D0000}"/>
    <cellStyle name="Normal 12 2 2 5 2" xfId="3829" xr:uid="{00000000-0005-0000-0000-0000EC0D0000}"/>
    <cellStyle name="Normal 12 2 2 5 2 2" xfId="8051" xr:uid="{00000000-0005-0000-0000-0000ED0D0000}"/>
    <cellStyle name="Normal 12 2 2 5 2 2 2" xfId="24949" xr:uid="{7D5EAC70-D2BE-4FB3-BA6D-1E2724366554}"/>
    <cellStyle name="Normal 12 2 2 5 2 2 3" xfId="16501" xr:uid="{C77696A9-0001-4A14-902B-90FF81D77CBF}"/>
    <cellStyle name="Normal 12 2 2 5 2 3" xfId="20731" xr:uid="{7733186A-E636-4067-9290-45C7B615DAA5}"/>
    <cellStyle name="Normal 12 2 2 5 2 4" xfId="12283" xr:uid="{63322895-91E6-498B-8075-5D01FDD36964}"/>
    <cellStyle name="Normal 12 2 2 5 3" xfId="5906" xr:uid="{00000000-0005-0000-0000-0000EE0D0000}"/>
    <cellStyle name="Normal 12 2 2 5 3 2" xfId="22804" xr:uid="{0B386B80-D0E6-435E-8FA3-1FB039E3EE62}"/>
    <cellStyle name="Normal 12 2 2 5 3 3" xfId="14356" xr:uid="{87677B19-BAFD-4C46-95B1-90863D5F69B4}"/>
    <cellStyle name="Normal 12 2 2 5 4" xfId="18586" xr:uid="{B36D5C25-62E3-43BB-B65F-9163E1C7468D}"/>
    <cellStyle name="Normal 12 2 2 5 5" xfId="10138" xr:uid="{360824C8-038E-41D4-BFB1-B4EF0F3720BD}"/>
    <cellStyle name="Normal 12 2 2 6" xfId="2013" xr:uid="{00000000-0005-0000-0000-0000EF0D0000}"/>
    <cellStyle name="Normal 12 2 2 6 2" xfId="4242" xr:uid="{00000000-0005-0000-0000-0000F00D0000}"/>
    <cellStyle name="Normal 12 2 2 6 2 2" xfId="8464" xr:uid="{00000000-0005-0000-0000-0000F10D0000}"/>
    <cellStyle name="Normal 12 2 2 6 2 2 2" xfId="25362" xr:uid="{85010783-01E9-43F8-BC72-C8D019DB6403}"/>
    <cellStyle name="Normal 12 2 2 6 2 2 3" xfId="16914" xr:uid="{8DE4DEC9-E5E3-4AF7-9D1D-99E85134B935}"/>
    <cellStyle name="Normal 12 2 2 6 2 3" xfId="21144" xr:uid="{8883C771-78D4-433A-8026-A99E8767DEBA}"/>
    <cellStyle name="Normal 12 2 2 6 2 4" xfId="12696" xr:uid="{83846A2A-E37E-4607-9DC6-46B99EA51AC0}"/>
    <cellStyle name="Normal 12 2 2 6 3" xfId="6319" xr:uid="{00000000-0005-0000-0000-0000F20D0000}"/>
    <cellStyle name="Normal 12 2 2 6 3 2" xfId="23217" xr:uid="{484636E6-81BD-45E8-B99C-205433C0A5D1}"/>
    <cellStyle name="Normal 12 2 2 6 3 3" xfId="14769" xr:uid="{8AB994CF-C29F-464F-90AD-5017C6B0F2E1}"/>
    <cellStyle name="Normal 12 2 2 6 4" xfId="18999" xr:uid="{49F273A1-824F-44CA-96FB-2BDCEFFD27D6}"/>
    <cellStyle name="Normal 12 2 2 6 5" xfId="10551" xr:uid="{EE709556-CB2B-4FEE-AFFC-2D208E9DCF60}"/>
    <cellStyle name="Normal 12 2 2 7" xfId="2449" xr:uid="{00000000-0005-0000-0000-0000F30D0000}"/>
    <cellStyle name="Normal 12 2 2 7 2" xfId="6732" xr:uid="{00000000-0005-0000-0000-0000F40D0000}"/>
    <cellStyle name="Normal 12 2 2 7 2 2" xfId="23630" xr:uid="{3DE5F490-EEF6-4282-A179-321CFA289AFB}"/>
    <cellStyle name="Normal 12 2 2 7 2 3" xfId="15182" xr:uid="{2F651C6F-471A-42AB-958F-074363D889B6}"/>
    <cellStyle name="Normal 12 2 2 7 3" xfId="19412" xr:uid="{8949E603-3FDB-454C-BBCE-86395F0643ED}"/>
    <cellStyle name="Normal 12 2 2 7 4" xfId="10964" xr:uid="{FFE881E0-7F6C-4E85-A3DD-29D685532677}"/>
    <cellStyle name="Normal 12 2 2 8" xfId="4666" xr:uid="{00000000-0005-0000-0000-0000F50D0000}"/>
    <cellStyle name="Normal 12 2 2 8 2" xfId="21564" xr:uid="{04471E42-FDE0-4108-900F-DD7610EEF856}"/>
    <cellStyle name="Normal 12 2 2 8 3" xfId="13116" xr:uid="{D7B4770D-A935-4E83-92D7-ADDF6CE5EF29}"/>
    <cellStyle name="Normal 12 2 2 9" xfId="17346" xr:uid="{6DCD8F65-C6B2-4C78-B623-30B995743857}"/>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2 2 2" xfId="24125" xr:uid="{17CAFB42-A37F-487B-BB95-1247F9569404}"/>
    <cellStyle name="Normal 12 2 3 2 2 2 3" xfId="15677" xr:uid="{96438C71-A67D-459F-A42C-728D4338C9A3}"/>
    <cellStyle name="Normal 12 2 3 2 2 3" xfId="19907" xr:uid="{67FC15B6-4AEA-4EE6-B2D4-EF5F46756122}"/>
    <cellStyle name="Normal 12 2 3 2 2 4" xfId="11459" xr:uid="{79A7377A-67B3-4BA0-B530-819E35E3E8B3}"/>
    <cellStyle name="Normal 12 2 3 2 3" xfId="5082" xr:uid="{00000000-0005-0000-0000-0000FA0D0000}"/>
    <cellStyle name="Normal 12 2 3 2 3 2" xfId="21980" xr:uid="{96413F74-9A08-4409-8AC9-479E2AA696ED}"/>
    <cellStyle name="Normal 12 2 3 2 3 3" xfId="13532" xr:uid="{4DDFFAEE-2311-47AE-BE7E-81C20426D73E}"/>
    <cellStyle name="Normal 12 2 3 2 4" xfId="17762" xr:uid="{0D275469-0289-4585-AB63-A33E04B45BC9}"/>
    <cellStyle name="Normal 12 2 3 2 5" xfId="9314" xr:uid="{AB84B18D-AA29-42C8-AA1C-FB2DF518BCD8}"/>
    <cellStyle name="Normal 12 2 3 3" xfId="1187" xr:uid="{00000000-0005-0000-0000-0000FB0D0000}"/>
    <cellStyle name="Normal 12 2 3 3 2" xfId="3418" xr:uid="{00000000-0005-0000-0000-0000FC0D0000}"/>
    <cellStyle name="Normal 12 2 3 3 2 2" xfId="7640" xr:uid="{00000000-0005-0000-0000-0000FD0D0000}"/>
    <cellStyle name="Normal 12 2 3 3 2 2 2" xfId="24538" xr:uid="{0D475F38-CC0B-4F5F-8063-9BCFB8EE6A36}"/>
    <cellStyle name="Normal 12 2 3 3 2 2 3" xfId="16090" xr:uid="{223C7967-F770-4D77-8A7D-43C5001B0F57}"/>
    <cellStyle name="Normal 12 2 3 3 2 3" xfId="20320" xr:uid="{8B4D5EE3-46E9-4E48-903B-2DAB7EE845E1}"/>
    <cellStyle name="Normal 12 2 3 3 2 4" xfId="11872" xr:uid="{610A5F30-B0C2-4BB8-ACD2-91BB8CD0CD89}"/>
    <cellStyle name="Normal 12 2 3 3 3" xfId="5495" xr:uid="{00000000-0005-0000-0000-0000FE0D0000}"/>
    <cellStyle name="Normal 12 2 3 3 3 2" xfId="22393" xr:uid="{4D8BB8F1-B8C2-421D-A6C3-7AB0431F8D4A}"/>
    <cellStyle name="Normal 12 2 3 3 3 3" xfId="13945" xr:uid="{D8A87435-8502-4FB8-AD42-1A00EF1AD372}"/>
    <cellStyle name="Normal 12 2 3 3 4" xfId="18175" xr:uid="{9064BAB4-BA14-41A5-A2BA-F95A379A457B}"/>
    <cellStyle name="Normal 12 2 3 3 5" xfId="9727" xr:uid="{4ABE2A86-FAB7-4400-88F4-0E05E3615A10}"/>
    <cellStyle name="Normal 12 2 3 4" xfId="1601" xr:uid="{00000000-0005-0000-0000-0000FF0D0000}"/>
    <cellStyle name="Normal 12 2 3 4 2" xfId="3831" xr:uid="{00000000-0005-0000-0000-0000000E0000}"/>
    <cellStyle name="Normal 12 2 3 4 2 2" xfId="8053" xr:uid="{00000000-0005-0000-0000-0000010E0000}"/>
    <cellStyle name="Normal 12 2 3 4 2 2 2" xfId="24951" xr:uid="{4DB8EF64-A237-4207-A8C6-6FE8898119C3}"/>
    <cellStyle name="Normal 12 2 3 4 2 2 3" xfId="16503" xr:uid="{B2A521D9-9BB5-4191-B30D-677CD8A02FE9}"/>
    <cellStyle name="Normal 12 2 3 4 2 3" xfId="20733" xr:uid="{89730FB6-0FD5-4410-88B3-1777D7FD880A}"/>
    <cellStyle name="Normal 12 2 3 4 2 4" xfId="12285" xr:uid="{89D430D3-067D-497A-B439-2E9ECBF5DEB9}"/>
    <cellStyle name="Normal 12 2 3 4 3" xfId="5908" xr:uid="{00000000-0005-0000-0000-0000020E0000}"/>
    <cellStyle name="Normal 12 2 3 4 3 2" xfId="22806" xr:uid="{32779C38-D1B2-4C91-81FD-F396FEC131BD}"/>
    <cellStyle name="Normal 12 2 3 4 3 3" xfId="14358" xr:uid="{D9CC6C43-165D-4E43-AA12-96E32AAA4543}"/>
    <cellStyle name="Normal 12 2 3 4 4" xfId="18588" xr:uid="{BCDDC297-6542-4883-BAB3-C820BF0512BD}"/>
    <cellStyle name="Normal 12 2 3 4 5" xfId="10140" xr:uid="{9801C441-B561-49F1-909E-E11E20BC5DFB}"/>
    <cellStyle name="Normal 12 2 3 5" xfId="2015" xr:uid="{00000000-0005-0000-0000-0000030E0000}"/>
    <cellStyle name="Normal 12 2 3 5 2" xfId="4244" xr:uid="{00000000-0005-0000-0000-0000040E0000}"/>
    <cellStyle name="Normal 12 2 3 5 2 2" xfId="8466" xr:uid="{00000000-0005-0000-0000-0000050E0000}"/>
    <cellStyle name="Normal 12 2 3 5 2 2 2" xfId="25364" xr:uid="{54A3BAC4-7028-4911-B9A3-DC539D75CA93}"/>
    <cellStyle name="Normal 12 2 3 5 2 2 3" xfId="16916" xr:uid="{80F544AB-936F-46F0-90C9-5431EA90A072}"/>
    <cellStyle name="Normal 12 2 3 5 2 3" xfId="21146" xr:uid="{81050896-22C2-4E86-B80D-11A27A221524}"/>
    <cellStyle name="Normal 12 2 3 5 2 4" xfId="12698" xr:uid="{B91BBFA6-B998-42A4-891A-D636A79A5839}"/>
    <cellStyle name="Normal 12 2 3 5 3" xfId="6321" xr:uid="{00000000-0005-0000-0000-0000060E0000}"/>
    <cellStyle name="Normal 12 2 3 5 3 2" xfId="23219" xr:uid="{6635B93D-C102-4C7A-867F-D409C4DFA9C3}"/>
    <cellStyle name="Normal 12 2 3 5 3 3" xfId="14771" xr:uid="{04B02BA3-56CE-400D-9DC2-1E7F033E7E30}"/>
    <cellStyle name="Normal 12 2 3 5 4" xfId="19001" xr:uid="{07544881-0BB7-43A7-B0A5-0420E9E730EB}"/>
    <cellStyle name="Normal 12 2 3 5 5" xfId="10553" xr:uid="{A85FEA1A-CEC8-4BB4-950F-E3A902D8A397}"/>
    <cellStyle name="Normal 12 2 3 6" xfId="2451" xr:uid="{00000000-0005-0000-0000-0000070E0000}"/>
    <cellStyle name="Normal 12 2 3 6 2" xfId="6734" xr:uid="{00000000-0005-0000-0000-0000080E0000}"/>
    <cellStyle name="Normal 12 2 3 6 2 2" xfId="23632" xr:uid="{7703B8E3-77DA-47DC-B993-A0397D065A80}"/>
    <cellStyle name="Normal 12 2 3 6 2 3" xfId="15184" xr:uid="{11C3C1C3-6F6C-4F89-A390-DD2ECF6BC9FA}"/>
    <cellStyle name="Normal 12 2 3 6 3" xfId="19414" xr:uid="{C302D6DB-B60B-408D-B2CC-1CFC32BAEDE3}"/>
    <cellStyle name="Normal 12 2 3 6 4" xfId="10966" xr:uid="{99C91913-1EFC-465F-9E2C-8CFD4A7504CE}"/>
    <cellStyle name="Normal 12 2 3 7" xfId="4668" xr:uid="{00000000-0005-0000-0000-0000090E0000}"/>
    <cellStyle name="Normal 12 2 3 7 2" xfId="21566" xr:uid="{814FBA35-1E20-48C6-BDA2-C556FCC9609F}"/>
    <cellStyle name="Normal 12 2 3 7 3" xfId="13118" xr:uid="{D4D35211-5853-48CF-AD55-D77C6A740DBE}"/>
    <cellStyle name="Normal 12 2 3 8" xfId="17348" xr:uid="{8B166C55-6EF3-495E-A835-6BA0AC7ACB07}"/>
    <cellStyle name="Normal 12 2 3 9" xfId="8900" xr:uid="{40F70668-858D-4E94-9BE0-776C322A0D6F}"/>
    <cellStyle name="Normal 12 2 4" xfId="761" xr:uid="{00000000-0005-0000-0000-00000A0E0000}"/>
    <cellStyle name="Normal 12 2 4 2" xfId="3002" xr:uid="{00000000-0005-0000-0000-00000B0E0000}"/>
    <cellStyle name="Normal 12 2 4 2 2" xfId="7224" xr:uid="{00000000-0005-0000-0000-00000C0E0000}"/>
    <cellStyle name="Normal 12 2 4 2 2 2" xfId="24122" xr:uid="{1C7147B8-A3BF-429A-B891-DA1EED526875}"/>
    <cellStyle name="Normal 12 2 4 2 2 3" xfId="15674" xr:uid="{17BE8753-698E-47AC-9662-C096F10C7663}"/>
    <cellStyle name="Normal 12 2 4 2 3" xfId="19904" xr:uid="{EC641A69-352A-4AB0-B77B-55F9D82BE657}"/>
    <cellStyle name="Normal 12 2 4 2 4" xfId="11456" xr:uid="{4FA0D978-7C5F-44B7-A58D-8FEDD6497A27}"/>
    <cellStyle name="Normal 12 2 4 3" xfId="5079" xr:uid="{00000000-0005-0000-0000-00000D0E0000}"/>
    <cellStyle name="Normal 12 2 4 3 2" xfId="21977" xr:uid="{B87D9352-6391-4AC4-98E4-41D064AECD83}"/>
    <cellStyle name="Normal 12 2 4 3 3" xfId="13529" xr:uid="{B90EB4F4-ED54-4C42-BFC2-4B68A49CF04D}"/>
    <cellStyle name="Normal 12 2 4 4" xfId="17759" xr:uid="{7B27574D-443D-4936-AC47-00F061037DD7}"/>
    <cellStyle name="Normal 12 2 4 5" xfId="9311" xr:uid="{27A6A888-D363-4652-AE54-C524EBB703DE}"/>
    <cellStyle name="Normal 12 2 5" xfId="1184" xr:uid="{00000000-0005-0000-0000-00000E0E0000}"/>
    <cellStyle name="Normal 12 2 5 2" xfId="3415" xr:uid="{00000000-0005-0000-0000-00000F0E0000}"/>
    <cellStyle name="Normal 12 2 5 2 2" xfId="7637" xr:uid="{00000000-0005-0000-0000-0000100E0000}"/>
    <cellStyle name="Normal 12 2 5 2 2 2" xfId="24535" xr:uid="{DC34FB01-F803-489A-9FD2-B42DB624CA55}"/>
    <cellStyle name="Normal 12 2 5 2 2 3" xfId="16087" xr:uid="{50EE42C3-C6D4-44CD-A5D2-3F9C351DBDC7}"/>
    <cellStyle name="Normal 12 2 5 2 3" xfId="20317" xr:uid="{6D68279F-D67B-46D1-98BC-08DC3CBC5E56}"/>
    <cellStyle name="Normal 12 2 5 2 4" xfId="11869" xr:uid="{8B4904FF-0129-4E01-A730-3C2659257595}"/>
    <cellStyle name="Normal 12 2 5 3" xfId="5492" xr:uid="{00000000-0005-0000-0000-0000110E0000}"/>
    <cellStyle name="Normal 12 2 5 3 2" xfId="22390" xr:uid="{814E21BC-CD0F-42F0-B9F0-188AC285FBE1}"/>
    <cellStyle name="Normal 12 2 5 3 3" xfId="13942" xr:uid="{E8EDEBA3-4EC4-4375-A509-5F2C312EFFA1}"/>
    <cellStyle name="Normal 12 2 5 4" xfId="18172" xr:uid="{417B1E60-5C51-47CA-90AE-75FF99D7FCAE}"/>
    <cellStyle name="Normal 12 2 5 5" xfId="9724" xr:uid="{CD779C48-5196-4041-A4DA-A53D58A5AA5F}"/>
    <cellStyle name="Normal 12 2 6" xfId="1598" xr:uid="{00000000-0005-0000-0000-0000120E0000}"/>
    <cellStyle name="Normal 12 2 6 2" xfId="3828" xr:uid="{00000000-0005-0000-0000-0000130E0000}"/>
    <cellStyle name="Normal 12 2 6 2 2" xfId="8050" xr:uid="{00000000-0005-0000-0000-0000140E0000}"/>
    <cellStyle name="Normal 12 2 6 2 2 2" xfId="24948" xr:uid="{2BB76EC8-E696-48F9-A6E5-ABEFABB96B26}"/>
    <cellStyle name="Normal 12 2 6 2 2 3" xfId="16500" xr:uid="{514AC5A9-61DF-4B6D-8A77-353C030DC6FD}"/>
    <cellStyle name="Normal 12 2 6 2 3" xfId="20730" xr:uid="{258F6169-4E6B-4A5B-85E3-740AE7E54928}"/>
    <cellStyle name="Normal 12 2 6 2 4" xfId="12282" xr:uid="{358F5C5B-A5C5-4A6B-873F-96BCAC4E451F}"/>
    <cellStyle name="Normal 12 2 6 3" xfId="5905" xr:uid="{00000000-0005-0000-0000-0000150E0000}"/>
    <cellStyle name="Normal 12 2 6 3 2" xfId="22803" xr:uid="{4F1986C2-0BD4-49B3-BE38-4FC106CF74BF}"/>
    <cellStyle name="Normal 12 2 6 3 3" xfId="14355" xr:uid="{2713F2BC-3481-40F6-9C4F-3DF5769642C4}"/>
    <cellStyle name="Normal 12 2 6 4" xfId="18585" xr:uid="{D5E43C98-E380-41CB-824A-16A662484535}"/>
    <cellStyle name="Normal 12 2 6 5" xfId="10137" xr:uid="{E3A27E18-9CD1-41B8-B471-126EB0D551D0}"/>
    <cellStyle name="Normal 12 2 7" xfId="2012" xr:uid="{00000000-0005-0000-0000-0000160E0000}"/>
    <cellStyle name="Normal 12 2 7 2" xfId="4241" xr:uid="{00000000-0005-0000-0000-0000170E0000}"/>
    <cellStyle name="Normal 12 2 7 2 2" xfId="8463" xr:uid="{00000000-0005-0000-0000-0000180E0000}"/>
    <cellStyle name="Normal 12 2 7 2 2 2" xfId="25361" xr:uid="{526BD33A-AB37-47D8-8DDE-03C15A398E1C}"/>
    <cellStyle name="Normal 12 2 7 2 2 3" xfId="16913" xr:uid="{1B439CCD-04A6-4727-B004-EBB0039DCDA5}"/>
    <cellStyle name="Normal 12 2 7 2 3" xfId="21143" xr:uid="{94797B8C-6F45-47C8-B852-8B4E46E117E1}"/>
    <cellStyle name="Normal 12 2 7 2 4" xfId="12695" xr:uid="{50E304AE-DB9A-47E1-BBB7-EFC74E8090E3}"/>
    <cellStyle name="Normal 12 2 7 3" xfId="6318" xr:uid="{00000000-0005-0000-0000-0000190E0000}"/>
    <cellStyle name="Normal 12 2 7 3 2" xfId="23216" xr:uid="{B4A502B2-238D-4F13-B7C8-C03D738F86DB}"/>
    <cellStyle name="Normal 12 2 7 3 3" xfId="14768" xr:uid="{FCD9F8A2-E165-4C62-9367-74531908978B}"/>
    <cellStyle name="Normal 12 2 7 4" xfId="18998" xr:uid="{D733D5B3-BFAC-4C97-AD83-420891768B1F}"/>
    <cellStyle name="Normal 12 2 7 5" xfId="10550" xr:uid="{6BC01D83-02F7-4DDE-9C69-B92966070436}"/>
    <cellStyle name="Normal 12 2 8" xfId="2448" xr:uid="{00000000-0005-0000-0000-00001A0E0000}"/>
    <cellStyle name="Normal 12 2 8 2" xfId="6731" xr:uid="{00000000-0005-0000-0000-00001B0E0000}"/>
    <cellStyle name="Normal 12 2 8 2 2" xfId="23629" xr:uid="{37A8FBED-18D2-4765-98E4-4588D74DE93B}"/>
    <cellStyle name="Normal 12 2 8 2 3" xfId="15181" xr:uid="{F34795B0-8636-4166-B7BA-7E33528A0E2B}"/>
    <cellStyle name="Normal 12 2 8 3" xfId="19411" xr:uid="{1A3C6CE8-2E83-4E91-9871-10BAD7FE40BE}"/>
    <cellStyle name="Normal 12 2 8 4" xfId="10963" xr:uid="{4F5F8AE9-2C43-4536-AB9A-A0F8826015AC}"/>
    <cellStyle name="Normal 12 2 9" xfId="4665" xr:uid="{00000000-0005-0000-0000-00001C0E0000}"/>
    <cellStyle name="Normal 12 2 9 2" xfId="21563" xr:uid="{2B391B64-1CAE-406B-B8D9-FD2DA7BF3C05}"/>
    <cellStyle name="Normal 12 2 9 3" xfId="13115" xr:uid="{B2D482C9-B816-4BE9-A520-7C4968D71A44}"/>
    <cellStyle name="Normal 12 3" xfId="264" xr:uid="{00000000-0005-0000-0000-00001D0E0000}"/>
    <cellStyle name="Normal 12 3 10" xfId="8901" xr:uid="{3BC6B13F-FA24-4605-B6C5-4E1EE6B2A87C}"/>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2 2 2" xfId="24127" xr:uid="{A610B359-ED8C-443F-B892-DD54305E5264}"/>
    <cellStyle name="Normal 12 3 2 2 2 2 3" xfId="15679" xr:uid="{D53C1E52-6547-40BE-BC78-734ABBFB33F4}"/>
    <cellStyle name="Normal 12 3 2 2 2 3" xfId="19909" xr:uid="{778BD3FD-3463-4951-B91A-9BEBF3FC11E9}"/>
    <cellStyle name="Normal 12 3 2 2 2 4" xfId="11461" xr:uid="{0889C562-B968-444F-9ABA-DAD4889FECE7}"/>
    <cellStyle name="Normal 12 3 2 2 3" xfId="5084" xr:uid="{00000000-0005-0000-0000-0000220E0000}"/>
    <cellStyle name="Normal 12 3 2 2 3 2" xfId="21982" xr:uid="{62BA970D-7073-4796-B8EF-BC2DA7D0B8CB}"/>
    <cellStyle name="Normal 12 3 2 2 3 3" xfId="13534" xr:uid="{7C3F9B92-41BF-4181-908D-A48DB421F4D6}"/>
    <cellStyle name="Normal 12 3 2 2 4" xfId="17764" xr:uid="{05748544-B8D7-453A-AA15-6F5BFADF19BF}"/>
    <cellStyle name="Normal 12 3 2 2 5" xfId="9316" xr:uid="{11BD7B45-24F0-4ED9-B50A-679480C4BEAA}"/>
    <cellStyle name="Normal 12 3 2 3" xfId="1189" xr:uid="{00000000-0005-0000-0000-0000230E0000}"/>
    <cellStyle name="Normal 12 3 2 3 2" xfId="3420" xr:uid="{00000000-0005-0000-0000-0000240E0000}"/>
    <cellStyle name="Normal 12 3 2 3 2 2" xfId="7642" xr:uid="{00000000-0005-0000-0000-0000250E0000}"/>
    <cellStyle name="Normal 12 3 2 3 2 2 2" xfId="24540" xr:uid="{E47DD90F-9387-40BC-931A-9EBB41F16395}"/>
    <cellStyle name="Normal 12 3 2 3 2 2 3" xfId="16092" xr:uid="{30C19B29-8D99-43D8-BC9D-58FA3EC5DD1D}"/>
    <cellStyle name="Normal 12 3 2 3 2 3" xfId="20322" xr:uid="{35785C9D-7C4B-42ED-B14B-C527D9ED41D1}"/>
    <cellStyle name="Normal 12 3 2 3 2 4" xfId="11874" xr:uid="{E99E4C2A-F079-4465-BBE6-1A74ECEE92F4}"/>
    <cellStyle name="Normal 12 3 2 3 3" xfId="5497" xr:uid="{00000000-0005-0000-0000-0000260E0000}"/>
    <cellStyle name="Normal 12 3 2 3 3 2" xfId="22395" xr:uid="{035635C8-F9DC-4328-A864-C314D7ECA80C}"/>
    <cellStyle name="Normal 12 3 2 3 3 3" xfId="13947" xr:uid="{C5BF8493-64EF-46E5-861E-77C02509C0D9}"/>
    <cellStyle name="Normal 12 3 2 3 4" xfId="18177" xr:uid="{25F31CA1-8537-4768-8D92-C3CAE9FC57AB}"/>
    <cellStyle name="Normal 12 3 2 3 5" xfId="9729" xr:uid="{71367DAD-4CB0-40FA-99BE-2C14923483DE}"/>
    <cellStyle name="Normal 12 3 2 4" xfId="1603" xr:uid="{00000000-0005-0000-0000-0000270E0000}"/>
    <cellStyle name="Normal 12 3 2 4 2" xfId="3833" xr:uid="{00000000-0005-0000-0000-0000280E0000}"/>
    <cellStyle name="Normal 12 3 2 4 2 2" xfId="8055" xr:uid="{00000000-0005-0000-0000-0000290E0000}"/>
    <cellStyle name="Normal 12 3 2 4 2 2 2" xfId="24953" xr:uid="{1A837748-FA52-4157-9DDE-6F1742D8BED1}"/>
    <cellStyle name="Normal 12 3 2 4 2 2 3" xfId="16505" xr:uid="{C008F2FC-6725-49CE-897B-9024F9E26851}"/>
    <cellStyle name="Normal 12 3 2 4 2 3" xfId="20735" xr:uid="{F6D56179-0AA3-4DEE-B6E6-A42CF768AC01}"/>
    <cellStyle name="Normal 12 3 2 4 2 4" xfId="12287" xr:uid="{4BB29902-1435-4EA0-9CF5-3B6FBBD4D6C9}"/>
    <cellStyle name="Normal 12 3 2 4 3" xfId="5910" xr:uid="{00000000-0005-0000-0000-00002A0E0000}"/>
    <cellStyle name="Normal 12 3 2 4 3 2" xfId="22808" xr:uid="{D22A8669-EDB9-46A0-BEB9-4D6F095C35D4}"/>
    <cellStyle name="Normal 12 3 2 4 3 3" xfId="14360" xr:uid="{2DC1499A-9060-460A-B362-A0E63D9AC89E}"/>
    <cellStyle name="Normal 12 3 2 4 4" xfId="18590" xr:uid="{F3257E7E-4613-4E39-A2A7-77138D0D7650}"/>
    <cellStyle name="Normal 12 3 2 4 5" xfId="10142" xr:uid="{5E494587-29AB-44D4-B3EA-93CB473F242C}"/>
    <cellStyle name="Normal 12 3 2 5" xfId="2017" xr:uid="{00000000-0005-0000-0000-00002B0E0000}"/>
    <cellStyle name="Normal 12 3 2 5 2" xfId="4246" xr:uid="{00000000-0005-0000-0000-00002C0E0000}"/>
    <cellStyle name="Normal 12 3 2 5 2 2" xfId="8468" xr:uid="{00000000-0005-0000-0000-00002D0E0000}"/>
    <cellStyle name="Normal 12 3 2 5 2 2 2" xfId="25366" xr:uid="{D95AE1C1-17CD-410F-AC44-05F3CA4822DC}"/>
    <cellStyle name="Normal 12 3 2 5 2 2 3" xfId="16918" xr:uid="{AD753E59-4F3E-4024-8CE1-DEFABD817FC8}"/>
    <cellStyle name="Normal 12 3 2 5 2 3" xfId="21148" xr:uid="{43172EBD-D8B4-4C7E-84B5-461A4C7F7566}"/>
    <cellStyle name="Normal 12 3 2 5 2 4" xfId="12700" xr:uid="{339B4F79-FAEF-4403-9EE5-F06A475B37DB}"/>
    <cellStyle name="Normal 12 3 2 5 3" xfId="6323" xr:uid="{00000000-0005-0000-0000-00002E0E0000}"/>
    <cellStyle name="Normal 12 3 2 5 3 2" xfId="23221" xr:uid="{F732B28A-805D-4FB4-A8C7-94F580F7A624}"/>
    <cellStyle name="Normal 12 3 2 5 3 3" xfId="14773" xr:uid="{248DCF19-6DC4-4516-86ED-DC402F5CD4F7}"/>
    <cellStyle name="Normal 12 3 2 5 4" xfId="19003" xr:uid="{5EA99F9D-07B3-4E70-9214-E673A87B9695}"/>
    <cellStyle name="Normal 12 3 2 5 5" xfId="10555" xr:uid="{9A53F12D-7F97-40E7-A4BB-31B162320483}"/>
    <cellStyle name="Normal 12 3 2 6" xfId="2453" xr:uid="{00000000-0005-0000-0000-00002F0E0000}"/>
    <cellStyle name="Normal 12 3 2 6 2" xfId="6736" xr:uid="{00000000-0005-0000-0000-0000300E0000}"/>
    <cellStyle name="Normal 12 3 2 6 2 2" xfId="23634" xr:uid="{CD147A32-B4DB-4432-93B9-DAD6F35C4DCF}"/>
    <cellStyle name="Normal 12 3 2 6 2 3" xfId="15186" xr:uid="{B8CAE06D-E4C2-410C-AF7A-350D10876905}"/>
    <cellStyle name="Normal 12 3 2 6 3" xfId="19416" xr:uid="{D8F27EBC-D411-4618-A03D-C8C8C5477F20}"/>
    <cellStyle name="Normal 12 3 2 6 4" xfId="10968" xr:uid="{933CC61D-5360-406E-802C-66E7B92107BE}"/>
    <cellStyle name="Normal 12 3 2 7" xfId="4670" xr:uid="{00000000-0005-0000-0000-0000310E0000}"/>
    <cellStyle name="Normal 12 3 2 7 2" xfId="21568" xr:uid="{D74BEA1D-B09F-4F83-AEAC-CE179A5D919E}"/>
    <cellStyle name="Normal 12 3 2 7 3" xfId="13120" xr:uid="{D28B30B6-B0AF-43D1-BB23-91C6BF8A8989}"/>
    <cellStyle name="Normal 12 3 2 8" xfId="17350" xr:uid="{DFD9F959-6029-4CB9-9C98-56078FF74C84}"/>
    <cellStyle name="Normal 12 3 2 9" xfId="8902" xr:uid="{9C286C48-A67A-468E-A768-B90896327DA3}"/>
    <cellStyle name="Normal 12 3 3" xfId="765" xr:uid="{00000000-0005-0000-0000-0000320E0000}"/>
    <cellStyle name="Normal 12 3 3 2" xfId="3006" xr:uid="{00000000-0005-0000-0000-0000330E0000}"/>
    <cellStyle name="Normal 12 3 3 2 2" xfId="7228" xr:uid="{00000000-0005-0000-0000-0000340E0000}"/>
    <cellStyle name="Normal 12 3 3 2 2 2" xfId="24126" xr:uid="{6FA3DE85-7E6B-4DBD-805E-FF3662715480}"/>
    <cellStyle name="Normal 12 3 3 2 2 3" xfId="15678" xr:uid="{8D6F9160-BD12-48FD-A05F-638667A1E84B}"/>
    <cellStyle name="Normal 12 3 3 2 3" xfId="19908" xr:uid="{C1E39DCF-BC5D-433A-B472-E3C0AD6259B1}"/>
    <cellStyle name="Normal 12 3 3 2 4" xfId="11460" xr:uid="{10EE2BD0-53DE-459C-A656-FCD685220C58}"/>
    <cellStyle name="Normal 12 3 3 3" xfId="5083" xr:uid="{00000000-0005-0000-0000-0000350E0000}"/>
    <cellStyle name="Normal 12 3 3 3 2" xfId="21981" xr:uid="{3D611A3D-EEF5-4F61-9725-57C40618FA24}"/>
    <cellStyle name="Normal 12 3 3 3 3" xfId="13533" xr:uid="{E637DFB9-92D7-4D12-94FA-CE7A52583CEC}"/>
    <cellStyle name="Normal 12 3 3 4" xfId="17763" xr:uid="{5EA158DF-8620-4C5B-B4AD-8AE9326878D3}"/>
    <cellStyle name="Normal 12 3 3 5" xfId="9315" xr:uid="{15682284-9274-47FD-A665-FCEDCF9410F9}"/>
    <cellStyle name="Normal 12 3 4" xfId="1188" xr:uid="{00000000-0005-0000-0000-0000360E0000}"/>
    <cellStyle name="Normal 12 3 4 2" xfId="3419" xr:uid="{00000000-0005-0000-0000-0000370E0000}"/>
    <cellStyle name="Normal 12 3 4 2 2" xfId="7641" xr:uid="{00000000-0005-0000-0000-0000380E0000}"/>
    <cellStyle name="Normal 12 3 4 2 2 2" xfId="24539" xr:uid="{36FE3D94-A3B5-4818-9367-F5EC761C5A66}"/>
    <cellStyle name="Normal 12 3 4 2 2 3" xfId="16091" xr:uid="{3935AF6E-AF48-4D20-BC9A-8E8223F07290}"/>
    <cellStyle name="Normal 12 3 4 2 3" xfId="20321" xr:uid="{C92434D2-3776-4654-9EF5-A434DEAB79E6}"/>
    <cellStyle name="Normal 12 3 4 2 4" xfId="11873" xr:uid="{A0FA2E32-3825-4CF0-BAE3-CCC6FBE5A15F}"/>
    <cellStyle name="Normal 12 3 4 3" xfId="5496" xr:uid="{00000000-0005-0000-0000-0000390E0000}"/>
    <cellStyle name="Normal 12 3 4 3 2" xfId="22394" xr:uid="{29B3E4E1-9BE6-49B6-90B1-0AB01FECDCA9}"/>
    <cellStyle name="Normal 12 3 4 3 3" xfId="13946" xr:uid="{B0BE10FD-1286-46A9-9C37-BD979EF245B0}"/>
    <cellStyle name="Normal 12 3 4 4" xfId="18176" xr:uid="{EAE98643-8D5D-41C1-8BD8-5CC487CCD31F}"/>
    <cellStyle name="Normal 12 3 4 5" xfId="9728" xr:uid="{6912CD8E-83E0-4F40-A318-A5FC6D91D1D4}"/>
    <cellStyle name="Normal 12 3 5" xfId="1602" xr:uid="{00000000-0005-0000-0000-00003A0E0000}"/>
    <cellStyle name="Normal 12 3 5 2" xfId="3832" xr:uid="{00000000-0005-0000-0000-00003B0E0000}"/>
    <cellStyle name="Normal 12 3 5 2 2" xfId="8054" xr:uid="{00000000-0005-0000-0000-00003C0E0000}"/>
    <cellStyle name="Normal 12 3 5 2 2 2" xfId="24952" xr:uid="{30FD1C2E-77B2-45CE-ABAA-E789A6C1D6CC}"/>
    <cellStyle name="Normal 12 3 5 2 2 3" xfId="16504" xr:uid="{2AE82551-A497-4466-97BF-0223F313E0A4}"/>
    <cellStyle name="Normal 12 3 5 2 3" xfId="20734" xr:uid="{9FF0823C-65EC-4240-A894-F089E20E90E7}"/>
    <cellStyle name="Normal 12 3 5 2 4" xfId="12286" xr:uid="{F43DCA84-317A-48F1-A1F3-E4C62C43DC18}"/>
    <cellStyle name="Normal 12 3 5 3" xfId="5909" xr:uid="{00000000-0005-0000-0000-00003D0E0000}"/>
    <cellStyle name="Normal 12 3 5 3 2" xfId="22807" xr:uid="{B39DA8F0-6325-41B4-B8FD-259526DECE5A}"/>
    <cellStyle name="Normal 12 3 5 3 3" xfId="14359" xr:uid="{FA158348-7FAA-41EA-BBFF-97934B61467D}"/>
    <cellStyle name="Normal 12 3 5 4" xfId="18589" xr:uid="{62D4E06A-53DF-4008-9975-88C374390663}"/>
    <cellStyle name="Normal 12 3 5 5" xfId="10141" xr:uid="{29A31EFC-B9DE-47E7-8824-D0B6411DB5A0}"/>
    <cellStyle name="Normal 12 3 6" xfId="2016" xr:uid="{00000000-0005-0000-0000-00003E0E0000}"/>
    <cellStyle name="Normal 12 3 6 2" xfId="4245" xr:uid="{00000000-0005-0000-0000-00003F0E0000}"/>
    <cellStyle name="Normal 12 3 6 2 2" xfId="8467" xr:uid="{00000000-0005-0000-0000-0000400E0000}"/>
    <cellStyle name="Normal 12 3 6 2 2 2" xfId="25365" xr:uid="{8C91F950-ECBC-4574-A3F9-2D32AB162476}"/>
    <cellStyle name="Normal 12 3 6 2 2 3" xfId="16917" xr:uid="{B8737B16-300C-47C2-94CC-66842F832B88}"/>
    <cellStyle name="Normal 12 3 6 2 3" xfId="21147" xr:uid="{C429717D-27F5-4249-8A40-49BA350796B1}"/>
    <cellStyle name="Normal 12 3 6 2 4" xfId="12699" xr:uid="{175CC7A6-E396-4A94-B3D8-E7C39BC70AB4}"/>
    <cellStyle name="Normal 12 3 6 3" xfId="6322" xr:uid="{00000000-0005-0000-0000-0000410E0000}"/>
    <cellStyle name="Normal 12 3 6 3 2" xfId="23220" xr:uid="{AE4814B9-B111-4125-A0A7-1140A526C265}"/>
    <cellStyle name="Normal 12 3 6 3 3" xfId="14772" xr:uid="{E3BDAC4A-BE6A-437C-9C40-1D5F6C2709B7}"/>
    <cellStyle name="Normal 12 3 6 4" xfId="19002" xr:uid="{B4876077-545A-418B-879A-4704C5BBE3D2}"/>
    <cellStyle name="Normal 12 3 6 5" xfId="10554" xr:uid="{B7F4820E-B2F6-4FFB-9BEA-AB7F7ADC0F52}"/>
    <cellStyle name="Normal 12 3 7" xfId="2452" xr:uid="{00000000-0005-0000-0000-0000420E0000}"/>
    <cellStyle name="Normal 12 3 7 2" xfId="6735" xr:uid="{00000000-0005-0000-0000-0000430E0000}"/>
    <cellStyle name="Normal 12 3 7 2 2" xfId="23633" xr:uid="{F06FC2EA-5FBE-443F-8E9A-61833948152D}"/>
    <cellStyle name="Normal 12 3 7 2 3" xfId="15185" xr:uid="{2F651AB5-9847-40E8-8726-9D8DC3136AFB}"/>
    <cellStyle name="Normal 12 3 7 3" xfId="19415" xr:uid="{1DEAD3C4-3873-48A0-A647-66BFA7983956}"/>
    <cellStyle name="Normal 12 3 7 4" xfId="10967" xr:uid="{4EB51BEF-077C-497D-BD4C-4C14A6F095A9}"/>
    <cellStyle name="Normal 12 3 8" xfId="4669" xr:uid="{00000000-0005-0000-0000-0000440E0000}"/>
    <cellStyle name="Normal 12 3 8 2" xfId="21567" xr:uid="{507DD86E-B388-471E-97AA-0FF92D4BCA87}"/>
    <cellStyle name="Normal 12 3 8 3" xfId="13119" xr:uid="{B8A2E25C-6592-42BC-BDF4-5E5CF3CB0228}"/>
    <cellStyle name="Normal 12 3 9" xfId="17349" xr:uid="{8BA1A17F-17B1-4F6B-AC15-D820B61A1D7F}"/>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2 2 2" xfId="24128" xr:uid="{41631836-9E2D-4EBD-B9B2-065640A4EDAB}"/>
    <cellStyle name="Normal 12 4 2 2 2 3" xfId="15680" xr:uid="{EBFE3882-2831-4CC6-9AC5-700623B68232}"/>
    <cellStyle name="Normal 12 4 2 2 3" xfId="19910" xr:uid="{9411F742-FFB7-46F6-8571-DE358ED44DE2}"/>
    <cellStyle name="Normal 12 4 2 2 4" xfId="11462" xr:uid="{48EA4257-27D3-461F-B4AC-F032E73F2481}"/>
    <cellStyle name="Normal 12 4 2 3" xfId="5085" xr:uid="{00000000-0005-0000-0000-0000490E0000}"/>
    <cellStyle name="Normal 12 4 2 3 2" xfId="21983" xr:uid="{AB73F8DD-FBD8-47FD-B97D-E4A0950D0795}"/>
    <cellStyle name="Normal 12 4 2 3 3" xfId="13535" xr:uid="{C8A75B6D-3B17-4DFF-92DE-4502F016F4D6}"/>
    <cellStyle name="Normal 12 4 2 4" xfId="17765" xr:uid="{68530E0B-9A09-49B9-991E-589C9042A2FB}"/>
    <cellStyle name="Normal 12 4 2 5" xfId="9317" xr:uid="{5818CFFF-5857-4883-B5D0-CEBAF2C6ED48}"/>
    <cellStyle name="Normal 12 4 3" xfId="1190" xr:uid="{00000000-0005-0000-0000-00004A0E0000}"/>
    <cellStyle name="Normal 12 4 3 2" xfId="3421" xr:uid="{00000000-0005-0000-0000-00004B0E0000}"/>
    <cellStyle name="Normal 12 4 3 2 2" xfId="7643" xr:uid="{00000000-0005-0000-0000-00004C0E0000}"/>
    <cellStyle name="Normal 12 4 3 2 2 2" xfId="24541" xr:uid="{4CA7616E-4AA4-4B8F-88AE-FA96E773E942}"/>
    <cellStyle name="Normal 12 4 3 2 2 3" xfId="16093" xr:uid="{FABEFA3F-6BA0-4A78-8CF7-AD8ED780DB9A}"/>
    <cellStyle name="Normal 12 4 3 2 3" xfId="20323" xr:uid="{0FB3ACF0-2543-42BC-9F3F-CFEB1343343E}"/>
    <cellStyle name="Normal 12 4 3 2 4" xfId="11875" xr:uid="{2F2AF0BE-C7B8-4EC9-9C2B-45C74A684827}"/>
    <cellStyle name="Normal 12 4 3 3" xfId="5498" xr:uid="{00000000-0005-0000-0000-00004D0E0000}"/>
    <cellStyle name="Normal 12 4 3 3 2" xfId="22396" xr:uid="{F4DBD3E9-D119-424E-BE77-358BD3F8F140}"/>
    <cellStyle name="Normal 12 4 3 3 3" xfId="13948" xr:uid="{56FE7497-0918-4CCA-9E30-51234476EE60}"/>
    <cellStyle name="Normal 12 4 3 4" xfId="18178" xr:uid="{94BE550C-7259-4141-9F4E-503931AC0605}"/>
    <cellStyle name="Normal 12 4 3 5" xfId="9730" xr:uid="{BF95AFCA-BA10-46E8-9E93-C408A6C26DC5}"/>
    <cellStyle name="Normal 12 4 4" xfId="1604" xr:uid="{00000000-0005-0000-0000-00004E0E0000}"/>
    <cellStyle name="Normal 12 4 4 2" xfId="3834" xr:uid="{00000000-0005-0000-0000-00004F0E0000}"/>
    <cellStyle name="Normal 12 4 4 2 2" xfId="8056" xr:uid="{00000000-0005-0000-0000-0000500E0000}"/>
    <cellStyle name="Normal 12 4 4 2 2 2" xfId="24954" xr:uid="{F5D59629-6C21-4234-91DA-00121AE538EA}"/>
    <cellStyle name="Normal 12 4 4 2 2 3" xfId="16506" xr:uid="{29236ABD-C011-4025-BC5F-D7D98B442C7C}"/>
    <cellStyle name="Normal 12 4 4 2 3" xfId="20736" xr:uid="{A9ED98E1-F702-434C-AE3A-47EA48691581}"/>
    <cellStyle name="Normal 12 4 4 2 4" xfId="12288" xr:uid="{28990EE3-B1F0-4609-A322-2034F5E28277}"/>
    <cellStyle name="Normal 12 4 4 3" xfId="5911" xr:uid="{00000000-0005-0000-0000-0000510E0000}"/>
    <cellStyle name="Normal 12 4 4 3 2" xfId="22809" xr:uid="{AE9F9EA8-6468-4A4A-9E77-3486F238AA77}"/>
    <cellStyle name="Normal 12 4 4 3 3" xfId="14361" xr:uid="{9AE07B67-8540-4A55-AEFF-E75D48B93D27}"/>
    <cellStyle name="Normal 12 4 4 4" xfId="18591" xr:uid="{3C9225BE-EC86-464D-B8CA-B73194FA0D5F}"/>
    <cellStyle name="Normal 12 4 4 5" xfId="10143" xr:uid="{9ACF0B72-51D8-4CF4-AC47-DFB8E57887DA}"/>
    <cellStyle name="Normal 12 4 5" xfId="2018" xr:uid="{00000000-0005-0000-0000-0000520E0000}"/>
    <cellStyle name="Normal 12 4 5 2" xfId="4247" xr:uid="{00000000-0005-0000-0000-0000530E0000}"/>
    <cellStyle name="Normal 12 4 5 2 2" xfId="8469" xr:uid="{00000000-0005-0000-0000-0000540E0000}"/>
    <cellStyle name="Normal 12 4 5 2 2 2" xfId="25367" xr:uid="{C283D076-601A-40AA-9BBD-3DF7A28D1590}"/>
    <cellStyle name="Normal 12 4 5 2 2 3" xfId="16919" xr:uid="{DF694760-0D6D-4613-B327-A836F424A15E}"/>
    <cellStyle name="Normal 12 4 5 2 3" xfId="21149" xr:uid="{171221E2-83CC-498F-8F91-B726C7A10EE9}"/>
    <cellStyle name="Normal 12 4 5 2 4" xfId="12701" xr:uid="{081295F4-0C84-40BA-B6EC-C8A4847824FA}"/>
    <cellStyle name="Normal 12 4 5 3" xfId="6324" xr:uid="{00000000-0005-0000-0000-0000550E0000}"/>
    <cellStyle name="Normal 12 4 5 3 2" xfId="23222" xr:uid="{28B9C204-144B-4A46-8A5F-CEB196A6763D}"/>
    <cellStyle name="Normal 12 4 5 3 3" xfId="14774" xr:uid="{A4619646-7943-41BE-885A-9509BA8A6653}"/>
    <cellStyle name="Normal 12 4 5 4" xfId="19004" xr:uid="{28E3F15F-CA0F-4506-BFEE-433332E31ECB}"/>
    <cellStyle name="Normal 12 4 5 5" xfId="10556" xr:uid="{4DEC712A-0158-46E4-AFE2-C17F880EFAFF}"/>
    <cellStyle name="Normal 12 4 6" xfId="2454" xr:uid="{00000000-0005-0000-0000-0000560E0000}"/>
    <cellStyle name="Normal 12 4 6 2" xfId="6737" xr:uid="{00000000-0005-0000-0000-0000570E0000}"/>
    <cellStyle name="Normal 12 4 6 2 2" xfId="23635" xr:uid="{4C11005C-8E1C-43C5-9907-C22355CC9EB0}"/>
    <cellStyle name="Normal 12 4 6 2 3" xfId="15187" xr:uid="{856BC106-44FA-4648-AD24-7A8077E64C85}"/>
    <cellStyle name="Normal 12 4 6 3" xfId="19417" xr:uid="{60334889-D51F-4B23-BD4F-7794101EB8F3}"/>
    <cellStyle name="Normal 12 4 6 4" xfId="10969" xr:uid="{ABEE7039-C973-4677-9871-F3250E17F7B0}"/>
    <cellStyle name="Normal 12 4 7" xfId="4671" xr:uid="{00000000-0005-0000-0000-0000580E0000}"/>
    <cellStyle name="Normal 12 4 7 2" xfId="21569" xr:uid="{FA4510F9-18E1-4A62-96C7-1C4F8B959365}"/>
    <cellStyle name="Normal 12 4 7 3" xfId="13121" xr:uid="{A2F17127-8995-440B-8A2B-708E4AD7E486}"/>
    <cellStyle name="Normal 12 4 8" xfId="17351" xr:uid="{037AC9C3-138A-41E0-AE77-F825AFB1C36E}"/>
    <cellStyle name="Normal 12 4 9" xfId="8903" xr:uid="{D5EBF7CE-CE4E-4830-9B34-040F42485A5C}"/>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2 2 2" xfId="24121" xr:uid="{BDE76E08-0814-4ACF-8423-DE0C95ED38F3}"/>
    <cellStyle name="Normal 12 6 2 2 3" xfId="15673" xr:uid="{474358E3-33F1-4129-99EB-F29695A80E88}"/>
    <cellStyle name="Normal 12 6 2 3" xfId="19903" xr:uid="{71CF87E8-B385-44D5-8B68-C6C028611F1B}"/>
    <cellStyle name="Normal 12 6 2 4" xfId="11455" xr:uid="{B73C3695-7D32-4C2F-959E-7792E0AF1426}"/>
    <cellStyle name="Normal 12 6 3" xfId="5078" xr:uid="{00000000-0005-0000-0000-00005D0E0000}"/>
    <cellStyle name="Normal 12 6 3 2" xfId="21976" xr:uid="{5083F1A8-6272-4F19-8AFF-F5112964DC0A}"/>
    <cellStyle name="Normal 12 6 3 3" xfId="13528" xr:uid="{11FB81BF-3649-4C3E-984C-4E3120A92CF2}"/>
    <cellStyle name="Normal 12 6 4" xfId="17758" xr:uid="{86A5572A-B0BD-46E5-949F-E6ACA4F75C0F}"/>
    <cellStyle name="Normal 12 6 5" xfId="9310" xr:uid="{7CEC26F6-8C79-405D-921E-D9B86E3A47DD}"/>
    <cellStyle name="Normal 12 7" xfId="1183" xr:uid="{00000000-0005-0000-0000-00005E0E0000}"/>
    <cellStyle name="Normal 12 7 2" xfId="3414" xr:uid="{00000000-0005-0000-0000-00005F0E0000}"/>
    <cellStyle name="Normal 12 7 2 2" xfId="7636" xr:uid="{00000000-0005-0000-0000-0000600E0000}"/>
    <cellStyle name="Normal 12 7 2 2 2" xfId="24534" xr:uid="{60BCE3AF-D78C-4FC2-84B2-291360128FF0}"/>
    <cellStyle name="Normal 12 7 2 2 3" xfId="16086" xr:uid="{8D70E6E1-08F3-4730-BD86-352C188A5C72}"/>
    <cellStyle name="Normal 12 7 2 3" xfId="20316" xr:uid="{18F56881-488D-416C-A9C4-518C9CBF4574}"/>
    <cellStyle name="Normal 12 7 2 4" xfId="11868" xr:uid="{A2A45D82-CDAE-4801-BBE0-E6AEABF1B745}"/>
    <cellStyle name="Normal 12 7 3" xfId="5491" xr:uid="{00000000-0005-0000-0000-0000610E0000}"/>
    <cellStyle name="Normal 12 7 3 2" xfId="22389" xr:uid="{F7EBA6D9-6D9A-4EA3-99FD-F0D556A7254B}"/>
    <cellStyle name="Normal 12 7 3 3" xfId="13941" xr:uid="{6C40956B-D4AB-4E8F-8533-B9214E7976F3}"/>
    <cellStyle name="Normal 12 7 4" xfId="18171" xr:uid="{D6182EDE-522F-4EE0-A5CE-39FA054E7B0E}"/>
    <cellStyle name="Normal 12 7 5" xfId="9723" xr:uid="{9BD5692F-4DB4-4BCF-8A36-E6015FA4C8DD}"/>
    <cellStyle name="Normal 12 8" xfId="1597" xr:uid="{00000000-0005-0000-0000-0000620E0000}"/>
    <cellStyle name="Normal 12 8 2" xfId="3827" xr:uid="{00000000-0005-0000-0000-0000630E0000}"/>
    <cellStyle name="Normal 12 8 2 2" xfId="8049" xr:uid="{00000000-0005-0000-0000-0000640E0000}"/>
    <cellStyle name="Normal 12 8 2 2 2" xfId="24947" xr:uid="{963F0A07-FE29-46EF-A0E9-FBE1306CDA8D}"/>
    <cellStyle name="Normal 12 8 2 2 3" xfId="16499" xr:uid="{EE684E97-34BB-4C57-BC85-F644DC215986}"/>
    <cellStyle name="Normal 12 8 2 3" xfId="20729" xr:uid="{40BF2528-13A4-41C8-8FB9-B2053FB7FCCA}"/>
    <cellStyle name="Normal 12 8 2 4" xfId="12281" xr:uid="{C0651B1D-B469-4947-A0D9-2A240971ED14}"/>
    <cellStyle name="Normal 12 8 3" xfId="5904" xr:uid="{00000000-0005-0000-0000-0000650E0000}"/>
    <cellStyle name="Normal 12 8 3 2" xfId="22802" xr:uid="{B26DCB93-0ADA-4D32-93E2-C066485DEC15}"/>
    <cellStyle name="Normal 12 8 3 3" xfId="14354" xr:uid="{D2ECAEC3-81E8-4AE4-8D72-E54ED765A99F}"/>
    <cellStyle name="Normal 12 8 4" xfId="18584" xr:uid="{44301C16-BC07-4018-ACC0-6E1B45E14304}"/>
    <cellStyle name="Normal 12 8 5" xfId="10136" xr:uid="{D8B45705-C6E9-439B-81FC-967AFA8B1FBF}"/>
    <cellStyle name="Normal 12 9" xfId="2011" xr:uid="{00000000-0005-0000-0000-0000660E0000}"/>
    <cellStyle name="Normal 12 9 2" xfId="4240" xr:uid="{00000000-0005-0000-0000-0000670E0000}"/>
    <cellStyle name="Normal 12 9 2 2" xfId="8462" xr:uid="{00000000-0005-0000-0000-0000680E0000}"/>
    <cellStyle name="Normal 12 9 2 2 2" xfId="25360" xr:uid="{55598B59-4ADD-4054-936F-15FF90A0ABCE}"/>
    <cellStyle name="Normal 12 9 2 2 3" xfId="16912" xr:uid="{072BA529-01C4-4EC0-8107-1132199416B6}"/>
    <cellStyle name="Normal 12 9 2 3" xfId="21142" xr:uid="{6A41AE4F-ABE0-49FF-AB4A-F947ACFF4070}"/>
    <cellStyle name="Normal 12 9 2 4" xfId="12694" xr:uid="{892C1604-FE9B-4BF5-9A3A-63295C11519B}"/>
    <cellStyle name="Normal 12 9 3" xfId="6317" xr:uid="{00000000-0005-0000-0000-0000690E0000}"/>
    <cellStyle name="Normal 12 9 3 2" xfId="23215" xr:uid="{5F4BBC87-53F8-44D8-A8AA-A7B68E89A372}"/>
    <cellStyle name="Normal 12 9 3 3" xfId="14767" xr:uid="{2C38AAB4-9E7B-415A-816C-7F6F06BA52A1}"/>
    <cellStyle name="Normal 12 9 4" xfId="18997" xr:uid="{B672523C-CF0F-485D-A371-C1A308DD9DB5}"/>
    <cellStyle name="Normal 12 9 5" xfId="10549" xr:uid="{7520D7FF-014D-4DDE-BB4C-1ACC24ABFE33}"/>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2 2 2" xfId="24129" xr:uid="{6AB53FB8-04DF-4056-8DEB-CB0F838CD765}"/>
    <cellStyle name="Normal 14 2 2 2 3" xfId="15681" xr:uid="{858B4624-C903-4EC7-8CF0-E04CD5BCF61F}"/>
    <cellStyle name="Normal 14 2 2 3" xfId="19911" xr:uid="{3371B78C-CDD5-4FB1-9AF9-8E833BFF1A72}"/>
    <cellStyle name="Normal 14 2 2 4" xfId="11463" xr:uid="{0FCC4E11-A774-40AC-A51C-E56918733A82}"/>
    <cellStyle name="Normal 14 2 3" xfId="5086" xr:uid="{00000000-0005-0000-0000-0000700E0000}"/>
    <cellStyle name="Normal 14 2 3 2" xfId="21984" xr:uid="{39949FA8-2D15-4FA5-BF67-C5359A742AD8}"/>
    <cellStyle name="Normal 14 2 3 3" xfId="13536" xr:uid="{41060C14-BDE2-4622-8FF2-5F3346081F96}"/>
    <cellStyle name="Normal 14 2 4" xfId="17766" xr:uid="{A851359A-C9CB-46B9-8337-C5D8CB83606E}"/>
    <cellStyle name="Normal 14 2 5" xfId="9318" xr:uid="{B90272EC-ABA5-4B2E-96AF-E0BC53A3B4B9}"/>
    <cellStyle name="Normal 14 3" xfId="1191" xr:uid="{00000000-0005-0000-0000-0000710E0000}"/>
    <cellStyle name="Normal 14 3 2" xfId="3422" xr:uid="{00000000-0005-0000-0000-0000720E0000}"/>
    <cellStyle name="Normal 14 3 2 2" xfId="7644" xr:uid="{00000000-0005-0000-0000-0000730E0000}"/>
    <cellStyle name="Normal 14 3 2 2 2" xfId="24542" xr:uid="{BAD8D4C7-DA56-4641-8919-4977DD9B03F2}"/>
    <cellStyle name="Normal 14 3 2 2 3" xfId="16094" xr:uid="{F255F869-4C1F-4340-8847-A0B21D7F3F4B}"/>
    <cellStyle name="Normal 14 3 2 3" xfId="20324" xr:uid="{BCA43AB4-D2A6-4FC1-9A7A-C64FBE6EB34F}"/>
    <cellStyle name="Normal 14 3 2 4" xfId="11876" xr:uid="{96D57D35-D3FE-4CF7-AD33-31A6A4FD244C}"/>
    <cellStyle name="Normal 14 3 3" xfId="5499" xr:uid="{00000000-0005-0000-0000-0000740E0000}"/>
    <cellStyle name="Normal 14 3 3 2" xfId="22397" xr:uid="{0C5A1DF2-E87B-4C69-A45E-5441CF7BD92C}"/>
    <cellStyle name="Normal 14 3 3 3" xfId="13949" xr:uid="{4B399810-F2BA-45B6-8357-0BF34BC9EE46}"/>
    <cellStyle name="Normal 14 3 4" xfId="18179" xr:uid="{382D56B9-AF2E-49E2-8F0A-0A51AE3533A5}"/>
    <cellStyle name="Normal 14 3 5" xfId="9731" xr:uid="{805F747E-00BE-4C3E-8A59-801F634A7AB8}"/>
    <cellStyle name="Normal 14 4" xfId="1605" xr:uid="{00000000-0005-0000-0000-0000750E0000}"/>
    <cellStyle name="Normal 14 4 2" xfId="3835" xr:uid="{00000000-0005-0000-0000-0000760E0000}"/>
    <cellStyle name="Normal 14 4 2 2" xfId="8057" xr:uid="{00000000-0005-0000-0000-0000770E0000}"/>
    <cellStyle name="Normal 14 4 2 2 2" xfId="24955" xr:uid="{3101C7E4-B841-45B2-B56C-F90B6A4F24BD}"/>
    <cellStyle name="Normal 14 4 2 2 3" xfId="16507" xr:uid="{513674FF-BE29-4BB0-AC62-982696E2875D}"/>
    <cellStyle name="Normal 14 4 2 3" xfId="20737" xr:uid="{5C4FF375-5053-4EC7-B1F2-18B5023C59ED}"/>
    <cellStyle name="Normal 14 4 2 4" xfId="12289" xr:uid="{9B39F31C-0DDB-4B58-87E1-67A55C570C00}"/>
    <cellStyle name="Normal 14 4 3" xfId="5912" xr:uid="{00000000-0005-0000-0000-0000780E0000}"/>
    <cellStyle name="Normal 14 4 3 2" xfId="22810" xr:uid="{9DA1813B-B0F0-4F16-ACF3-F63DD1E429E4}"/>
    <cellStyle name="Normal 14 4 3 3" xfId="14362" xr:uid="{8D37834C-38F0-4E03-BF49-F2F2574E0D4F}"/>
    <cellStyle name="Normal 14 4 4" xfId="18592" xr:uid="{E1D4C741-B24A-49E7-96D4-18655FF62B27}"/>
    <cellStyle name="Normal 14 4 5" xfId="10144" xr:uid="{A22F3696-22B2-4B3E-B1BB-F3A4E42592D6}"/>
    <cellStyle name="Normal 14 5" xfId="2019" xr:uid="{00000000-0005-0000-0000-0000790E0000}"/>
    <cellStyle name="Normal 14 5 2" xfId="4248" xr:uid="{00000000-0005-0000-0000-00007A0E0000}"/>
    <cellStyle name="Normal 14 5 2 2" xfId="8470" xr:uid="{00000000-0005-0000-0000-00007B0E0000}"/>
    <cellStyle name="Normal 14 5 2 2 2" xfId="25368" xr:uid="{0631D915-ACBF-4900-9895-8FA51E665CBA}"/>
    <cellStyle name="Normal 14 5 2 2 3" xfId="16920" xr:uid="{362B10FF-4520-4730-98C9-A3ACA8CD4C3D}"/>
    <cellStyle name="Normal 14 5 2 3" xfId="21150" xr:uid="{F8136EA6-50A1-47A4-BC00-0484DDD7A521}"/>
    <cellStyle name="Normal 14 5 2 4" xfId="12702" xr:uid="{80B98496-EDE8-4C87-852F-67EFCE81D8B4}"/>
    <cellStyle name="Normal 14 5 3" xfId="6325" xr:uid="{00000000-0005-0000-0000-00007C0E0000}"/>
    <cellStyle name="Normal 14 5 3 2" xfId="23223" xr:uid="{F0464596-0AF4-4447-AD5C-047066B9D928}"/>
    <cellStyle name="Normal 14 5 3 3" xfId="14775" xr:uid="{F9AF9FE8-2177-4463-9F96-E6C63AF753C0}"/>
    <cellStyle name="Normal 14 5 4" xfId="19005" xr:uid="{C8CFEBB6-2528-4EE3-8C53-1A39FC9B0258}"/>
    <cellStyle name="Normal 14 5 5" xfId="10557" xr:uid="{1707E33D-4FC8-4787-BFD1-17A607FE5518}"/>
    <cellStyle name="Normal 14 6" xfId="2455" xr:uid="{00000000-0005-0000-0000-00007D0E0000}"/>
    <cellStyle name="Normal 14 6 2" xfId="6738" xr:uid="{00000000-0005-0000-0000-00007E0E0000}"/>
    <cellStyle name="Normal 14 6 2 2" xfId="23636" xr:uid="{E0A6DB7D-47EB-40F2-A169-B2191AF9E71C}"/>
    <cellStyle name="Normal 14 6 2 3" xfId="15188" xr:uid="{E52391EA-0ABD-416F-83C6-C22F831A31FE}"/>
    <cellStyle name="Normal 14 6 3" xfId="19418" xr:uid="{2950706F-3847-4AD4-920B-44891D2CDF45}"/>
    <cellStyle name="Normal 14 6 4" xfId="10970" xr:uid="{93FA86D4-7096-4C78-BBD3-771630697BAC}"/>
    <cellStyle name="Normal 14 7" xfId="4672" xr:uid="{00000000-0005-0000-0000-00007F0E0000}"/>
    <cellStyle name="Normal 14 7 2" xfId="21570" xr:uid="{AC6CD2EE-EAFC-4A3A-9448-CAA0CDF691ED}"/>
    <cellStyle name="Normal 14 7 3" xfId="13122" xr:uid="{1B0058BF-FFEC-4A53-BDD6-4DCAB50D7E7D}"/>
    <cellStyle name="Normal 14 8" xfId="17352" xr:uid="{EB73E7C5-E38A-42A4-8E2E-7337E78D0C65}"/>
    <cellStyle name="Normal 14 9" xfId="8904" xr:uid="{485581E5-AF56-4F41-82CB-FFFEBE9579F5}"/>
    <cellStyle name="Normal 15" xfId="4496" xr:uid="{00000000-0005-0000-0000-0000800E0000}"/>
    <cellStyle name="Normal 15 2" xfId="21396" xr:uid="{DF4FDD6C-F297-4E07-A351-8458F6461B38}"/>
    <cellStyle name="Normal 15 3" xfId="12948" xr:uid="{7F4EB4A4-B3FF-4C5D-AF69-C7C4689FA0F7}"/>
    <cellStyle name="Normal 16" xfId="4500" xr:uid="{00000000-0005-0000-0000-0000810E0000}"/>
    <cellStyle name="Normal 16 2" xfId="8715" xr:uid="{00000000-0005-0000-0000-0000820E0000}"/>
    <cellStyle name="Normal 16 2 2" xfId="25613" xr:uid="{7D1AB61A-6484-4661-8D83-7DEBD925C7AE}"/>
    <cellStyle name="Normal 16 2 3" xfId="17165" xr:uid="{5DD4E47B-56E7-4AC1-ABD8-73B1DB2552F3}"/>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25629" xr:uid="{DAD1BC0A-046A-4816-8106-3D092FE75B1D}"/>
    <cellStyle name="Normal 16 3 2 2 2 2 3" xfId="17181" xr:uid="{ACF115A2-0AED-49E5-86CF-96C18A61B532}"/>
    <cellStyle name="Normal 16 3 2 2 2 3" xfId="25626" xr:uid="{2C3568A3-233F-4404-841A-8AF32EDA8F02}"/>
    <cellStyle name="Normal 16 3 2 2 2 4" xfId="17178" xr:uid="{CE2F5596-C4C9-4A2C-B0BC-4C5B6DEC39D2}"/>
    <cellStyle name="Normal 16 3 2 2 3" xfId="25622" xr:uid="{54DE52CD-CB6A-431B-8223-53053CCD5B9D}"/>
    <cellStyle name="Normal 16 3 2 2 4" xfId="17174" xr:uid="{30FEF5EF-32DA-473C-8E5A-D89FB65595AC}"/>
    <cellStyle name="Normal 16 3 2 3" xfId="25619" xr:uid="{C37A1CB9-A3B1-43F6-8A9E-325846096036}"/>
    <cellStyle name="Normal 16 3 2 4" xfId="17171" xr:uid="{CA29E6CF-94AA-47F1-A040-8DBCBCA19CE7}"/>
    <cellStyle name="Normal 16 3 3" xfId="25616" xr:uid="{4DBD8780-8C52-4341-8168-A4A20EFFE9DC}"/>
    <cellStyle name="Normal 16 3 4" xfId="17168" xr:uid="{15C1620E-7399-4311-ABF0-954C518A5DFD}"/>
    <cellStyle name="Normal 16 4" xfId="21399" xr:uid="{1A0AC550-CD54-491A-9C33-541A0A6EA81A}"/>
    <cellStyle name="Normal 16 5" xfId="12951" xr:uid="{44532B5C-F6E0-45FF-8338-ECCE47CC3E2B}"/>
    <cellStyle name="Normal 17" xfId="8728" xr:uid="{3FF0972C-833B-4475-99D8-1A6907499E71}"/>
    <cellStyle name="Normal 17 2" xfId="25625" xr:uid="{B610F3DF-2139-430E-9853-8104CD3E529A}"/>
    <cellStyle name="Normal 17 3" xfId="17177" xr:uid="{83FBC0EC-7AFA-41AD-BE83-BE01B57F4778}"/>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25369" xr:uid="{EB5B1C2B-62BE-4250-8256-8714D73EF20A}"/>
    <cellStyle name="Normal 2 4 2 10 2 2 3" xfId="16921" xr:uid="{70A25F8C-72DC-49A9-89E2-C91C7DC8C687}"/>
    <cellStyle name="Normal 2 4 2 10 2 3" xfId="21151" xr:uid="{5A315CCF-4B9B-41A1-9CEC-43CB08FD9A06}"/>
    <cellStyle name="Normal 2 4 2 10 2 4" xfId="12703" xr:uid="{99141A86-5EBF-49BC-BC87-1251A88CF35E}"/>
    <cellStyle name="Normal 2 4 2 10 3" xfId="6326" xr:uid="{00000000-0005-0000-0000-0000910E0000}"/>
    <cellStyle name="Normal 2 4 2 10 3 2" xfId="23224" xr:uid="{71509661-344D-4015-9569-8538DBB1ED1B}"/>
    <cellStyle name="Normal 2 4 2 10 3 3" xfId="14776" xr:uid="{F67D78B8-0474-4D3F-971C-1709209BC112}"/>
    <cellStyle name="Normal 2 4 2 10 4" xfId="19006" xr:uid="{E23ADF5E-F1EB-4755-93F2-A006FD49B4D7}"/>
    <cellStyle name="Normal 2 4 2 10 5" xfId="10558" xr:uid="{EA56CDB1-1FAC-4D0E-8B09-5ACEB803DB77}"/>
    <cellStyle name="Normal 2 4 2 11" xfId="2456" xr:uid="{00000000-0005-0000-0000-0000920E0000}"/>
    <cellStyle name="Normal 2 4 2 11 2" xfId="6739" xr:uid="{00000000-0005-0000-0000-0000930E0000}"/>
    <cellStyle name="Normal 2 4 2 11 2 2" xfId="23637" xr:uid="{86D269B5-A14F-4766-885E-8A746D8312EA}"/>
    <cellStyle name="Normal 2 4 2 11 2 3" xfId="15189" xr:uid="{01830B76-B5F7-4758-8E94-7607A459DFBD}"/>
    <cellStyle name="Normal 2 4 2 11 3" xfId="19419" xr:uid="{1AF5286C-FF53-4FE1-884D-049CAD174F5C}"/>
    <cellStyle name="Normal 2 4 2 11 4" xfId="10971" xr:uid="{F9685E72-54FA-4F8B-9D80-10F9931EA886}"/>
    <cellStyle name="Normal 2 4 2 12" xfId="4673" xr:uid="{00000000-0005-0000-0000-0000940E0000}"/>
    <cellStyle name="Normal 2 4 2 12 2" xfId="21571" xr:uid="{5AE5DFC7-95AA-4A16-88FC-7E4387A19882}"/>
    <cellStyle name="Normal 2 4 2 12 3" xfId="13123" xr:uid="{4050D27A-4CE5-4EC4-937D-A2A149F106C5}"/>
    <cellStyle name="Normal 2 4 2 13" xfId="17353" xr:uid="{1851BE43-903C-407E-A7DB-FA3B791C884B}"/>
    <cellStyle name="Normal 2 4 2 14" xfId="8905" xr:uid="{CC0CC892-CD55-47A7-9C60-12DCC4422E73}"/>
    <cellStyle name="Normal 2 4 2 2" xfId="280" xr:uid="{00000000-0005-0000-0000-0000950E0000}"/>
    <cellStyle name="Normal 2 4 2 3" xfId="281" xr:uid="{00000000-0005-0000-0000-0000960E0000}"/>
    <cellStyle name="Normal 2 4 2 3 10" xfId="4674" xr:uid="{00000000-0005-0000-0000-0000970E0000}"/>
    <cellStyle name="Normal 2 4 2 3 10 2" xfId="21572" xr:uid="{B8AAB364-09A1-4DD4-B1B0-F8A4268DA887}"/>
    <cellStyle name="Normal 2 4 2 3 10 3" xfId="13124" xr:uid="{C9F603F3-3002-4DCA-A03A-7BC61B0C6DCF}"/>
    <cellStyle name="Normal 2 4 2 3 11" xfId="17354" xr:uid="{5A2F85FF-F134-46AC-8236-0E7762A0EA5B}"/>
    <cellStyle name="Normal 2 4 2 3 12" xfId="8906" xr:uid="{B59EB489-F6CB-4586-814B-38EE300FF0ED}"/>
    <cellStyle name="Normal 2 4 2 3 2" xfId="282" xr:uid="{00000000-0005-0000-0000-0000980E0000}"/>
    <cellStyle name="Normal 2 4 2 3 2 10" xfId="17355" xr:uid="{76770C1A-8799-4E55-A0AF-03CD292ACD9B}"/>
    <cellStyle name="Normal 2 4 2 3 2 11" xfId="8907" xr:uid="{7579D7D6-27A5-4376-871C-9DFD9E30423E}"/>
    <cellStyle name="Normal 2 4 2 3 2 2" xfId="283" xr:uid="{00000000-0005-0000-0000-0000990E0000}"/>
    <cellStyle name="Normal 2 4 2 3 2 2 10" xfId="8908" xr:uid="{BF9FDAAF-2451-4056-8E5D-DF92233A3DCE}"/>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24134" xr:uid="{BCB54DC5-FA8A-4E19-80BB-EC4DAA0F63E5}"/>
    <cellStyle name="Normal 2 4 2 3 2 2 2 2 2 2 3" xfId="15686" xr:uid="{6DEC5F2C-B8F7-490B-B8ED-5CF77907D2D1}"/>
    <cellStyle name="Normal 2 4 2 3 2 2 2 2 2 3" xfId="19916" xr:uid="{4F290C78-A502-410C-A5D2-6569D839A9A8}"/>
    <cellStyle name="Normal 2 4 2 3 2 2 2 2 2 4" xfId="11468" xr:uid="{2101AFFA-B79E-424B-8E2F-685224E187AA}"/>
    <cellStyle name="Normal 2 4 2 3 2 2 2 2 3" xfId="5091" xr:uid="{00000000-0005-0000-0000-00009E0E0000}"/>
    <cellStyle name="Normal 2 4 2 3 2 2 2 2 3 2" xfId="21989" xr:uid="{84DDAAA9-74E4-4C8E-B395-FD7E659C9664}"/>
    <cellStyle name="Normal 2 4 2 3 2 2 2 2 3 3" xfId="13541" xr:uid="{B44C31F3-28FE-42EC-84C3-E25D409BBD61}"/>
    <cellStyle name="Normal 2 4 2 3 2 2 2 2 4" xfId="17771" xr:uid="{0AE621F0-7916-47C1-BFF7-4B64621754E6}"/>
    <cellStyle name="Normal 2 4 2 3 2 2 2 2 5" xfId="9323" xr:uid="{216E55B1-AE07-4B20-A3DB-6F1D3AD2C09D}"/>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24547" xr:uid="{9796218C-B844-490E-A050-34F2CB1A0398}"/>
    <cellStyle name="Normal 2 4 2 3 2 2 2 3 2 2 3" xfId="16099" xr:uid="{5ED7437B-008D-4126-825D-70AE2F5152DA}"/>
    <cellStyle name="Normal 2 4 2 3 2 2 2 3 2 3" xfId="20329" xr:uid="{977036A6-1B50-438B-91E4-F56E19F50F75}"/>
    <cellStyle name="Normal 2 4 2 3 2 2 2 3 2 4" xfId="11881" xr:uid="{F4A06E42-A3A3-4E46-9DF1-13333FEA355D}"/>
    <cellStyle name="Normal 2 4 2 3 2 2 2 3 3" xfId="5504" xr:uid="{00000000-0005-0000-0000-0000A20E0000}"/>
    <cellStyle name="Normal 2 4 2 3 2 2 2 3 3 2" xfId="22402" xr:uid="{ED5BD6FE-BB60-4A8B-B5CC-153E5F67B465}"/>
    <cellStyle name="Normal 2 4 2 3 2 2 2 3 3 3" xfId="13954" xr:uid="{8652954B-CE4A-4AD1-B585-A32E9B650E38}"/>
    <cellStyle name="Normal 2 4 2 3 2 2 2 3 4" xfId="18184" xr:uid="{FA0BDF71-F6AC-42B1-A8EE-D41CD2117A27}"/>
    <cellStyle name="Normal 2 4 2 3 2 2 2 3 5" xfId="9736" xr:uid="{B841019D-E793-430C-B8FC-7F0A078950C3}"/>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24960" xr:uid="{48190213-A0FF-4C29-90EC-BC91D0C31060}"/>
    <cellStyle name="Normal 2 4 2 3 2 2 2 4 2 2 3" xfId="16512" xr:uid="{C3E2AEB4-60E7-4900-B93C-1630EED0170C}"/>
    <cellStyle name="Normal 2 4 2 3 2 2 2 4 2 3" xfId="20742" xr:uid="{8010D53A-9C56-4492-B695-C984F3D8AC8C}"/>
    <cellStyle name="Normal 2 4 2 3 2 2 2 4 2 4" xfId="12294" xr:uid="{015E4866-EB82-4A1A-B6DC-28169516CFFA}"/>
    <cellStyle name="Normal 2 4 2 3 2 2 2 4 3" xfId="5917" xr:uid="{00000000-0005-0000-0000-0000A60E0000}"/>
    <cellStyle name="Normal 2 4 2 3 2 2 2 4 3 2" xfId="22815" xr:uid="{88531D2F-DD51-4DD2-8426-8DBB2A115ECA}"/>
    <cellStyle name="Normal 2 4 2 3 2 2 2 4 3 3" xfId="14367" xr:uid="{01E3F6B7-2165-4867-9AE5-32A85E4935F5}"/>
    <cellStyle name="Normal 2 4 2 3 2 2 2 4 4" xfId="18597" xr:uid="{80B45A8B-619A-45FB-94C0-0376DA157881}"/>
    <cellStyle name="Normal 2 4 2 3 2 2 2 4 5" xfId="10149" xr:uid="{0B162640-256F-4F6A-857E-CB87FD273A3A}"/>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25373" xr:uid="{BE76FFBB-8FE6-44C1-9089-593A6D596EF2}"/>
    <cellStyle name="Normal 2 4 2 3 2 2 2 5 2 2 3" xfId="16925" xr:uid="{9D90B0E2-9D61-493E-B151-509D23D0E49E}"/>
    <cellStyle name="Normal 2 4 2 3 2 2 2 5 2 3" xfId="21155" xr:uid="{92BEBF22-E666-4750-8620-D3FB5BC3F29B}"/>
    <cellStyle name="Normal 2 4 2 3 2 2 2 5 2 4" xfId="12707" xr:uid="{94BC7641-29B0-4ADC-BB79-33FF9E8AA938}"/>
    <cellStyle name="Normal 2 4 2 3 2 2 2 5 3" xfId="6330" xr:uid="{00000000-0005-0000-0000-0000AA0E0000}"/>
    <cellStyle name="Normal 2 4 2 3 2 2 2 5 3 2" xfId="23228" xr:uid="{A5827FEB-382C-4B5D-89AB-7F5E8CB700DF}"/>
    <cellStyle name="Normal 2 4 2 3 2 2 2 5 3 3" xfId="14780" xr:uid="{98861CBC-41F5-4F42-9290-DE6AF47599BE}"/>
    <cellStyle name="Normal 2 4 2 3 2 2 2 5 4" xfId="19010" xr:uid="{8FE3C8FC-3F7A-4BB5-A573-12F7017FF267}"/>
    <cellStyle name="Normal 2 4 2 3 2 2 2 5 5" xfId="10562" xr:uid="{1B6E540B-74C7-4F6C-B062-590D1AF10DCE}"/>
    <cellStyle name="Normal 2 4 2 3 2 2 2 6" xfId="2460" xr:uid="{00000000-0005-0000-0000-0000AB0E0000}"/>
    <cellStyle name="Normal 2 4 2 3 2 2 2 6 2" xfId="6743" xr:uid="{00000000-0005-0000-0000-0000AC0E0000}"/>
    <cellStyle name="Normal 2 4 2 3 2 2 2 6 2 2" xfId="23641" xr:uid="{051243CC-2514-46E6-BB72-A460A0B2A4CE}"/>
    <cellStyle name="Normal 2 4 2 3 2 2 2 6 2 3" xfId="15193" xr:uid="{ECF7836C-C865-4522-860B-4CF9214DA6F4}"/>
    <cellStyle name="Normal 2 4 2 3 2 2 2 6 3" xfId="19423" xr:uid="{3167DDCC-F98D-4F1A-8830-19D67D04AB3C}"/>
    <cellStyle name="Normal 2 4 2 3 2 2 2 6 4" xfId="10975" xr:uid="{6B4B7711-A76D-418E-9759-69B7716B814C}"/>
    <cellStyle name="Normal 2 4 2 3 2 2 2 7" xfId="4677" xr:uid="{00000000-0005-0000-0000-0000AD0E0000}"/>
    <cellStyle name="Normal 2 4 2 3 2 2 2 7 2" xfId="21575" xr:uid="{31321278-0A9A-416F-8E1C-5A5EED01DC44}"/>
    <cellStyle name="Normal 2 4 2 3 2 2 2 7 3" xfId="13127" xr:uid="{353A5E1E-5588-4503-9EBB-809178893B28}"/>
    <cellStyle name="Normal 2 4 2 3 2 2 2 8" xfId="17357" xr:uid="{BE0D8ABE-EEA8-4D49-B145-CB0F87119A6C}"/>
    <cellStyle name="Normal 2 4 2 3 2 2 2 9" xfId="8909" xr:uid="{1976B225-E258-4F67-BABD-C84985399264}"/>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24133" xr:uid="{4E41CB09-68A0-4D17-97C7-383F293AB243}"/>
    <cellStyle name="Normal 2 4 2 3 2 2 3 2 2 3" xfId="15685" xr:uid="{D284BED9-AD07-437C-B990-8316C27A8E4D}"/>
    <cellStyle name="Normal 2 4 2 3 2 2 3 2 3" xfId="19915" xr:uid="{1134A9E2-79B1-4430-85BB-F6D0EBB4BE10}"/>
    <cellStyle name="Normal 2 4 2 3 2 2 3 2 4" xfId="11467" xr:uid="{342C5DC2-CC87-4A52-A194-6C1E2BBAB31C}"/>
    <cellStyle name="Normal 2 4 2 3 2 2 3 3" xfId="5090" xr:uid="{00000000-0005-0000-0000-0000B10E0000}"/>
    <cellStyle name="Normal 2 4 2 3 2 2 3 3 2" xfId="21988" xr:uid="{3B395C6D-6A78-44CF-BFF8-2E8FD66607C8}"/>
    <cellStyle name="Normal 2 4 2 3 2 2 3 3 3" xfId="13540" xr:uid="{EAE49AFA-FB68-43C7-A6DC-663E20E21A1E}"/>
    <cellStyle name="Normal 2 4 2 3 2 2 3 4" xfId="17770" xr:uid="{67947E64-EB25-4CDA-A0D7-A009AA735888}"/>
    <cellStyle name="Normal 2 4 2 3 2 2 3 5" xfId="9322" xr:uid="{7EFA85ED-DAE1-4A18-95D6-4219B65AD211}"/>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24546" xr:uid="{9EB944A4-59C4-4D09-ACEE-614B70D5CACD}"/>
    <cellStyle name="Normal 2 4 2 3 2 2 4 2 2 3" xfId="16098" xr:uid="{4AC0BA72-6AD2-4E73-9B88-DA8674B68AF7}"/>
    <cellStyle name="Normal 2 4 2 3 2 2 4 2 3" xfId="20328" xr:uid="{2AF38C38-C1CC-4784-85EF-3359822BC0B8}"/>
    <cellStyle name="Normal 2 4 2 3 2 2 4 2 4" xfId="11880" xr:uid="{8E93E196-5314-4524-98D5-B61344D5526F}"/>
    <cellStyle name="Normal 2 4 2 3 2 2 4 3" xfId="5503" xr:uid="{00000000-0005-0000-0000-0000B50E0000}"/>
    <cellStyle name="Normal 2 4 2 3 2 2 4 3 2" xfId="22401" xr:uid="{DEA33968-C631-47B3-B483-2B1F0F454767}"/>
    <cellStyle name="Normal 2 4 2 3 2 2 4 3 3" xfId="13953" xr:uid="{A5DDB522-CACE-4A6D-A34F-2967C118DCB3}"/>
    <cellStyle name="Normal 2 4 2 3 2 2 4 4" xfId="18183" xr:uid="{4D6A355A-EE68-4595-AB56-3AF832FAECCB}"/>
    <cellStyle name="Normal 2 4 2 3 2 2 4 5" xfId="9735" xr:uid="{DD9AD30F-9864-446C-A470-F967B9487FA7}"/>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24959" xr:uid="{7F8524D3-DA3C-4957-96F3-13F3A5B5E375}"/>
    <cellStyle name="Normal 2 4 2 3 2 2 5 2 2 3" xfId="16511" xr:uid="{9CC21AB0-1350-4126-9F7C-4AB20BBDF0CB}"/>
    <cellStyle name="Normal 2 4 2 3 2 2 5 2 3" xfId="20741" xr:uid="{B3F39BED-94AF-45EE-8319-A01A914EFF94}"/>
    <cellStyle name="Normal 2 4 2 3 2 2 5 2 4" xfId="12293" xr:uid="{42310355-1B56-4948-9F78-A9B9D77791D7}"/>
    <cellStyle name="Normal 2 4 2 3 2 2 5 3" xfId="5916" xr:uid="{00000000-0005-0000-0000-0000B90E0000}"/>
    <cellStyle name="Normal 2 4 2 3 2 2 5 3 2" xfId="22814" xr:uid="{EC17AC23-8ED5-4204-9575-69C756204875}"/>
    <cellStyle name="Normal 2 4 2 3 2 2 5 3 3" xfId="14366" xr:uid="{9B4DC7BD-3B6B-40A2-8637-C51AE11F61A9}"/>
    <cellStyle name="Normal 2 4 2 3 2 2 5 4" xfId="18596" xr:uid="{FA2885B5-7BBB-4CAE-97D2-13D4B5A4AA7E}"/>
    <cellStyle name="Normal 2 4 2 3 2 2 5 5" xfId="10148" xr:uid="{273801C0-2D3E-47E1-AF0D-6789DA4ECDCD}"/>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25372" xr:uid="{D5C30870-CDEF-4133-A355-5099954763FE}"/>
    <cellStyle name="Normal 2 4 2 3 2 2 6 2 2 3" xfId="16924" xr:uid="{BD6C5F98-5E12-481C-8E52-97DE05148F9A}"/>
    <cellStyle name="Normal 2 4 2 3 2 2 6 2 3" xfId="21154" xr:uid="{D33C2556-611B-4C40-897D-6959FBA68383}"/>
    <cellStyle name="Normal 2 4 2 3 2 2 6 2 4" xfId="12706" xr:uid="{C767470C-9159-4B37-9E4D-B7C4F4E82215}"/>
    <cellStyle name="Normal 2 4 2 3 2 2 6 3" xfId="6329" xr:uid="{00000000-0005-0000-0000-0000BD0E0000}"/>
    <cellStyle name="Normal 2 4 2 3 2 2 6 3 2" xfId="23227" xr:uid="{E9484896-3CBC-49F4-B33E-43A2BC7AEE86}"/>
    <cellStyle name="Normal 2 4 2 3 2 2 6 3 3" xfId="14779" xr:uid="{2BDC2A45-5F57-43EF-B230-0CF0B52F5F50}"/>
    <cellStyle name="Normal 2 4 2 3 2 2 6 4" xfId="19009" xr:uid="{AAA65425-ACB5-4376-83C9-14E04521F9ED}"/>
    <cellStyle name="Normal 2 4 2 3 2 2 6 5" xfId="10561" xr:uid="{6BBA220E-7286-4C28-B8F8-A67ADC5D67AB}"/>
    <cellStyle name="Normal 2 4 2 3 2 2 7" xfId="2459" xr:uid="{00000000-0005-0000-0000-0000BE0E0000}"/>
    <cellStyle name="Normal 2 4 2 3 2 2 7 2" xfId="6742" xr:uid="{00000000-0005-0000-0000-0000BF0E0000}"/>
    <cellStyle name="Normal 2 4 2 3 2 2 7 2 2" xfId="23640" xr:uid="{2F630CCB-8779-4DF7-B4C6-7E0A86E786FB}"/>
    <cellStyle name="Normal 2 4 2 3 2 2 7 2 3" xfId="15192" xr:uid="{44431538-B837-4422-804B-250BCCD429F7}"/>
    <cellStyle name="Normal 2 4 2 3 2 2 7 3" xfId="19422" xr:uid="{90DEB103-BE34-49B5-A1F5-8ECF137D3497}"/>
    <cellStyle name="Normal 2 4 2 3 2 2 7 4" xfId="10974" xr:uid="{58D93E49-49F7-4E2D-AFAE-F1FC504AE7D3}"/>
    <cellStyle name="Normal 2 4 2 3 2 2 8" xfId="4676" xr:uid="{00000000-0005-0000-0000-0000C00E0000}"/>
    <cellStyle name="Normal 2 4 2 3 2 2 8 2" xfId="21574" xr:uid="{2DF3AFE9-0707-47E4-82F6-810E0C6A997D}"/>
    <cellStyle name="Normal 2 4 2 3 2 2 8 3" xfId="13126" xr:uid="{4DCFBD37-6B35-4CDC-BB00-35B4EEDAB4BD}"/>
    <cellStyle name="Normal 2 4 2 3 2 2 9" xfId="17356" xr:uid="{134A7051-8E92-46F0-85AD-DC6A6141E997}"/>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24135" xr:uid="{28B7A2A3-3E1D-4146-88CD-023E0FE398BF}"/>
    <cellStyle name="Normal 2 4 2 3 2 3 2 2 2 3" xfId="15687" xr:uid="{AADF7637-28C7-4292-8458-A11EE98F87FD}"/>
    <cellStyle name="Normal 2 4 2 3 2 3 2 2 3" xfId="19917" xr:uid="{C54DC6CE-52AF-4A83-B7D1-8C424BD992FF}"/>
    <cellStyle name="Normal 2 4 2 3 2 3 2 2 4" xfId="11469" xr:uid="{99CB6927-5BCF-4CB8-B6B4-0678EFC76A8A}"/>
    <cellStyle name="Normal 2 4 2 3 2 3 2 3" xfId="5092" xr:uid="{00000000-0005-0000-0000-0000C50E0000}"/>
    <cellStyle name="Normal 2 4 2 3 2 3 2 3 2" xfId="21990" xr:uid="{6685ABFE-126C-4C2D-9720-16875CA4EE46}"/>
    <cellStyle name="Normal 2 4 2 3 2 3 2 3 3" xfId="13542" xr:uid="{B8EC3929-929E-4699-A869-CE59719B448D}"/>
    <cellStyle name="Normal 2 4 2 3 2 3 2 4" xfId="17772" xr:uid="{2C20344F-41D2-488B-B330-D1CE4E587C8D}"/>
    <cellStyle name="Normal 2 4 2 3 2 3 2 5" xfId="9324" xr:uid="{99FD9D46-B84F-4457-B0B5-C7698EE9E8C6}"/>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24548" xr:uid="{8D02DE49-93BA-410B-A942-48CD695E8F12}"/>
    <cellStyle name="Normal 2 4 2 3 2 3 3 2 2 3" xfId="16100" xr:uid="{27B2D7C2-1046-4B44-A97A-965C193300AA}"/>
    <cellStyle name="Normal 2 4 2 3 2 3 3 2 3" xfId="20330" xr:uid="{95773198-1AC2-49FC-9AFF-C4367D7811DD}"/>
    <cellStyle name="Normal 2 4 2 3 2 3 3 2 4" xfId="11882" xr:uid="{61075DDD-0A3D-43F9-A81B-E1E16487CC80}"/>
    <cellStyle name="Normal 2 4 2 3 2 3 3 3" xfId="5505" xr:uid="{00000000-0005-0000-0000-0000C90E0000}"/>
    <cellStyle name="Normal 2 4 2 3 2 3 3 3 2" xfId="22403" xr:uid="{D0BC80AC-1910-4450-82CA-C6C2945B3B05}"/>
    <cellStyle name="Normal 2 4 2 3 2 3 3 3 3" xfId="13955" xr:uid="{B9B99CE9-77EB-4C4D-A09E-9F2377F7CDAA}"/>
    <cellStyle name="Normal 2 4 2 3 2 3 3 4" xfId="18185" xr:uid="{FC0A49CB-6E56-4219-87C3-73B665C4921A}"/>
    <cellStyle name="Normal 2 4 2 3 2 3 3 5" xfId="9737" xr:uid="{DFAE7876-0757-4A59-A063-72D5CF8E9E1B}"/>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24961" xr:uid="{DE389032-EB78-49D7-9D8D-C28C67F2C897}"/>
    <cellStyle name="Normal 2 4 2 3 2 3 4 2 2 3" xfId="16513" xr:uid="{B92CB7F4-FE62-4997-A435-14EA0828CAFC}"/>
    <cellStyle name="Normal 2 4 2 3 2 3 4 2 3" xfId="20743" xr:uid="{9E684F8A-A215-49BE-B23E-4A4CAA1E4621}"/>
    <cellStyle name="Normal 2 4 2 3 2 3 4 2 4" xfId="12295" xr:uid="{E8A225CC-70FE-4FF1-B49E-A486AA6342BD}"/>
    <cellStyle name="Normal 2 4 2 3 2 3 4 3" xfId="5918" xr:uid="{00000000-0005-0000-0000-0000CD0E0000}"/>
    <cellStyle name="Normal 2 4 2 3 2 3 4 3 2" xfId="22816" xr:uid="{5B351848-FE06-495F-84D7-13DC5A4EED74}"/>
    <cellStyle name="Normal 2 4 2 3 2 3 4 3 3" xfId="14368" xr:uid="{7C463BD2-6A8E-4750-AC50-AC8273D5484F}"/>
    <cellStyle name="Normal 2 4 2 3 2 3 4 4" xfId="18598" xr:uid="{B034B72D-5AD7-4F48-A75C-3EB8B4551854}"/>
    <cellStyle name="Normal 2 4 2 3 2 3 4 5" xfId="10150" xr:uid="{6987EC0C-F4D8-4C0A-90FA-F4B5015A9D7C}"/>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25374" xr:uid="{F7D1ECB1-AF33-446E-A086-F170CB68D558}"/>
    <cellStyle name="Normal 2 4 2 3 2 3 5 2 2 3" xfId="16926" xr:uid="{CD70368F-8C71-4515-A5F5-57DD77347F4B}"/>
    <cellStyle name="Normal 2 4 2 3 2 3 5 2 3" xfId="21156" xr:uid="{41BCA2A3-2599-4FE5-97D2-FA8CD9F2CF77}"/>
    <cellStyle name="Normal 2 4 2 3 2 3 5 2 4" xfId="12708" xr:uid="{3792A5A8-99F7-47DF-A86B-00BED7E7ECE4}"/>
    <cellStyle name="Normal 2 4 2 3 2 3 5 3" xfId="6331" xr:uid="{00000000-0005-0000-0000-0000D10E0000}"/>
    <cellStyle name="Normal 2 4 2 3 2 3 5 3 2" xfId="23229" xr:uid="{11703546-2C1F-4019-B123-2DFAD3C564B5}"/>
    <cellStyle name="Normal 2 4 2 3 2 3 5 3 3" xfId="14781" xr:uid="{0409CBFF-61A1-4448-88DF-FB6738FFE64E}"/>
    <cellStyle name="Normal 2 4 2 3 2 3 5 4" xfId="19011" xr:uid="{38E03E73-CF7A-4349-BDA4-32CE4E6533D4}"/>
    <cellStyle name="Normal 2 4 2 3 2 3 5 5" xfId="10563" xr:uid="{ABF943FD-603D-4833-AEA2-F7FCED6CE15B}"/>
    <cellStyle name="Normal 2 4 2 3 2 3 6" xfId="2461" xr:uid="{00000000-0005-0000-0000-0000D20E0000}"/>
    <cellStyle name="Normal 2 4 2 3 2 3 6 2" xfId="6744" xr:uid="{00000000-0005-0000-0000-0000D30E0000}"/>
    <cellStyle name="Normal 2 4 2 3 2 3 6 2 2" xfId="23642" xr:uid="{FF4FDCBF-3A73-4769-A768-D5ACE559DA32}"/>
    <cellStyle name="Normal 2 4 2 3 2 3 6 2 3" xfId="15194" xr:uid="{86D25749-BF74-4FEC-A3EB-70B3FA4B6BEE}"/>
    <cellStyle name="Normal 2 4 2 3 2 3 6 3" xfId="19424" xr:uid="{114D5591-FE7D-4A3B-83CB-84CD83FFF6D6}"/>
    <cellStyle name="Normal 2 4 2 3 2 3 6 4" xfId="10976" xr:uid="{B18F7C28-76B4-4103-ACB7-9DE8576B6D1B}"/>
    <cellStyle name="Normal 2 4 2 3 2 3 7" xfId="4678" xr:uid="{00000000-0005-0000-0000-0000D40E0000}"/>
    <cellStyle name="Normal 2 4 2 3 2 3 7 2" xfId="21576" xr:uid="{0253466B-CB08-407D-8773-478446D17036}"/>
    <cellStyle name="Normal 2 4 2 3 2 3 7 3" xfId="13128" xr:uid="{ED62DA7F-B994-42F7-A645-0D1E11625403}"/>
    <cellStyle name="Normal 2 4 2 3 2 3 8" xfId="17358" xr:uid="{4A42718D-7EF8-4BCA-A286-B51E4AD37523}"/>
    <cellStyle name="Normal 2 4 2 3 2 3 9" xfId="8910" xr:uid="{55E52167-8BF0-43AE-9D51-4A8AFE975DF4}"/>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24132" xr:uid="{1A20A96A-B8C9-46FE-8CA2-8F3AFD774DD4}"/>
    <cellStyle name="Normal 2 4 2 3 2 4 2 2 3" xfId="15684" xr:uid="{AEDC6153-4D9C-497A-848B-8BBAEEDC3EE6}"/>
    <cellStyle name="Normal 2 4 2 3 2 4 2 3" xfId="19914" xr:uid="{000A9537-A07F-4931-8081-2BAD85BEBA64}"/>
    <cellStyle name="Normal 2 4 2 3 2 4 2 4" xfId="11466" xr:uid="{AA756410-0C93-4745-B770-2B7F4F75416B}"/>
    <cellStyle name="Normal 2 4 2 3 2 4 3" xfId="5089" xr:uid="{00000000-0005-0000-0000-0000D80E0000}"/>
    <cellStyle name="Normal 2 4 2 3 2 4 3 2" xfId="21987" xr:uid="{EB4965D5-9196-43E5-8B67-495976522615}"/>
    <cellStyle name="Normal 2 4 2 3 2 4 3 3" xfId="13539" xr:uid="{929764BA-E2BA-4FCC-9A3D-4D7559EE3BF6}"/>
    <cellStyle name="Normal 2 4 2 3 2 4 4" xfId="17769" xr:uid="{BD963B1B-F954-428F-BA9D-2436AFE12595}"/>
    <cellStyle name="Normal 2 4 2 3 2 4 5" xfId="9321" xr:uid="{C0EB9019-F2E3-4CBB-9053-BD39AE3160D4}"/>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24545" xr:uid="{D1112A19-4ECD-4C14-8D01-30A5F9C547FC}"/>
    <cellStyle name="Normal 2 4 2 3 2 5 2 2 3" xfId="16097" xr:uid="{77C210C7-C232-4BE3-9B04-54B0D1D9D276}"/>
    <cellStyle name="Normal 2 4 2 3 2 5 2 3" xfId="20327" xr:uid="{585FBE04-8667-4F50-BFE8-DDC4E9D08ED0}"/>
    <cellStyle name="Normal 2 4 2 3 2 5 2 4" xfId="11879" xr:uid="{98B3659C-143A-4263-A154-AEA3346168DC}"/>
    <cellStyle name="Normal 2 4 2 3 2 5 3" xfId="5502" xr:uid="{00000000-0005-0000-0000-0000DC0E0000}"/>
    <cellStyle name="Normal 2 4 2 3 2 5 3 2" xfId="22400" xr:uid="{44DFC245-24D7-4D2D-A9A1-16CE8A4304C3}"/>
    <cellStyle name="Normal 2 4 2 3 2 5 3 3" xfId="13952" xr:uid="{1AD35490-16E2-4FC5-93E4-7272B444B31F}"/>
    <cellStyle name="Normal 2 4 2 3 2 5 4" xfId="18182" xr:uid="{88967B3F-9D13-48A8-A7EA-F92820768575}"/>
    <cellStyle name="Normal 2 4 2 3 2 5 5" xfId="9734" xr:uid="{E84EC663-28FE-41FD-AE49-9643046DF9E8}"/>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24958" xr:uid="{B0ECFB56-FFF2-4EAD-BBB0-E4DE9CC582D0}"/>
    <cellStyle name="Normal 2 4 2 3 2 6 2 2 3" xfId="16510" xr:uid="{107D727C-6A91-44FB-A822-8161B8179FBA}"/>
    <cellStyle name="Normal 2 4 2 3 2 6 2 3" xfId="20740" xr:uid="{301A5E16-1E12-46B4-B972-F40B30B3D1F6}"/>
    <cellStyle name="Normal 2 4 2 3 2 6 2 4" xfId="12292" xr:uid="{3951D33D-9792-4029-9FC1-C37B188D7634}"/>
    <cellStyle name="Normal 2 4 2 3 2 6 3" xfId="5915" xr:uid="{00000000-0005-0000-0000-0000E00E0000}"/>
    <cellStyle name="Normal 2 4 2 3 2 6 3 2" xfId="22813" xr:uid="{1F653F12-444C-4EEB-9444-C4F569245221}"/>
    <cellStyle name="Normal 2 4 2 3 2 6 3 3" xfId="14365" xr:uid="{A370372E-E833-477D-B540-4818DC504D5F}"/>
    <cellStyle name="Normal 2 4 2 3 2 6 4" xfId="18595" xr:uid="{E40E5CA0-3A8A-414E-9F3E-FCD00A04EBC4}"/>
    <cellStyle name="Normal 2 4 2 3 2 6 5" xfId="10147" xr:uid="{893766C4-F8F8-4785-B998-679EE532473D}"/>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25371" xr:uid="{481BF02A-0D6C-48B0-8562-603AEA36A51E}"/>
    <cellStyle name="Normal 2 4 2 3 2 7 2 2 3" xfId="16923" xr:uid="{A59D70F2-2F01-496E-9B82-85C129B8B98C}"/>
    <cellStyle name="Normal 2 4 2 3 2 7 2 3" xfId="21153" xr:uid="{0DE13BC2-BCCE-4C83-B05C-0A2D0FB3F9D1}"/>
    <cellStyle name="Normal 2 4 2 3 2 7 2 4" xfId="12705" xr:uid="{A9A64D28-F71C-48F7-8CF6-5E3561CA4067}"/>
    <cellStyle name="Normal 2 4 2 3 2 7 3" xfId="6328" xr:uid="{00000000-0005-0000-0000-0000E40E0000}"/>
    <cellStyle name="Normal 2 4 2 3 2 7 3 2" xfId="23226" xr:uid="{2B9D830E-0B6D-47DD-96D6-8D5814BB4CD9}"/>
    <cellStyle name="Normal 2 4 2 3 2 7 3 3" xfId="14778" xr:uid="{31E1DD38-E753-4865-860A-022788C63EDB}"/>
    <cellStyle name="Normal 2 4 2 3 2 7 4" xfId="19008" xr:uid="{64C1D46C-93D5-4E24-A73D-F62373F100DB}"/>
    <cellStyle name="Normal 2 4 2 3 2 7 5" xfId="10560" xr:uid="{D66BB414-5829-4A32-9C9B-2AB1FDA9876A}"/>
    <cellStyle name="Normal 2 4 2 3 2 8" xfId="2458" xr:uid="{00000000-0005-0000-0000-0000E50E0000}"/>
    <cellStyle name="Normal 2 4 2 3 2 8 2" xfId="6741" xr:uid="{00000000-0005-0000-0000-0000E60E0000}"/>
    <cellStyle name="Normal 2 4 2 3 2 8 2 2" xfId="23639" xr:uid="{0CCA63BA-A183-4F82-93B3-FA78174DE150}"/>
    <cellStyle name="Normal 2 4 2 3 2 8 2 3" xfId="15191" xr:uid="{8684E811-361A-4754-B77D-717E1A94446F}"/>
    <cellStyle name="Normal 2 4 2 3 2 8 3" xfId="19421" xr:uid="{71056CBE-151F-4744-85AA-B67271B7A13B}"/>
    <cellStyle name="Normal 2 4 2 3 2 8 4" xfId="10973" xr:uid="{2815AFA9-FB9A-49DC-B6BE-160631A3A839}"/>
    <cellStyle name="Normal 2 4 2 3 2 9" xfId="4675" xr:uid="{00000000-0005-0000-0000-0000E70E0000}"/>
    <cellStyle name="Normal 2 4 2 3 2 9 2" xfId="21573" xr:uid="{8A55D5A3-D753-4D80-8061-A1E885994DAD}"/>
    <cellStyle name="Normal 2 4 2 3 2 9 3" xfId="13125" xr:uid="{136D746E-7B66-413D-A9EA-BBE7D7B7D8BA}"/>
    <cellStyle name="Normal 2 4 2 3 3" xfId="286" xr:uid="{00000000-0005-0000-0000-0000E80E0000}"/>
    <cellStyle name="Normal 2 4 2 3 3 10" xfId="8911" xr:uid="{50683D32-328B-4549-8C1D-80C1923AE8FF}"/>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24137" xr:uid="{CFC5D1A2-B7B5-47B5-B395-19ABE4675177}"/>
    <cellStyle name="Normal 2 4 2 3 3 2 2 2 2 3" xfId="15689" xr:uid="{E0D48A27-0F88-483C-AC99-4F88C0C69889}"/>
    <cellStyle name="Normal 2 4 2 3 3 2 2 2 3" xfId="19919" xr:uid="{7645C73B-E168-4100-94F4-343088EFAB43}"/>
    <cellStyle name="Normal 2 4 2 3 3 2 2 2 4" xfId="11471" xr:uid="{DAECE1C0-F0B4-42A6-92C9-AEA37B31BE0D}"/>
    <cellStyle name="Normal 2 4 2 3 3 2 2 3" xfId="5094" xr:uid="{00000000-0005-0000-0000-0000ED0E0000}"/>
    <cellStyle name="Normal 2 4 2 3 3 2 2 3 2" xfId="21992" xr:uid="{424C48B3-E187-42E3-A310-1435B695725A}"/>
    <cellStyle name="Normal 2 4 2 3 3 2 2 3 3" xfId="13544" xr:uid="{2BD0F349-C933-4A05-9228-D7D288FA265F}"/>
    <cellStyle name="Normal 2 4 2 3 3 2 2 4" xfId="17774" xr:uid="{69D421D7-4FFC-4357-9073-9F6CE932C317}"/>
    <cellStyle name="Normal 2 4 2 3 3 2 2 5" xfId="9326" xr:uid="{8E31C8F1-D153-4159-9FE5-A787C25D425B}"/>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24550" xr:uid="{AFDA08C7-4B10-4D57-931F-07E1EEB3183E}"/>
    <cellStyle name="Normal 2 4 2 3 3 2 3 2 2 3" xfId="16102" xr:uid="{82012A66-4AB6-4F2D-8D68-6B010229DF4B}"/>
    <cellStyle name="Normal 2 4 2 3 3 2 3 2 3" xfId="20332" xr:uid="{9E8250E1-B124-427B-B425-7D4A6CD8BF79}"/>
    <cellStyle name="Normal 2 4 2 3 3 2 3 2 4" xfId="11884" xr:uid="{34E7F598-4091-4FDE-9F9C-87E05E510476}"/>
    <cellStyle name="Normal 2 4 2 3 3 2 3 3" xfId="5507" xr:uid="{00000000-0005-0000-0000-0000F10E0000}"/>
    <cellStyle name="Normal 2 4 2 3 3 2 3 3 2" xfId="22405" xr:uid="{C2C6A62C-B1A2-4653-BBAC-AA64E92F854E}"/>
    <cellStyle name="Normal 2 4 2 3 3 2 3 3 3" xfId="13957" xr:uid="{46DF742A-D84E-4BB5-9A56-354FBF72EAAF}"/>
    <cellStyle name="Normal 2 4 2 3 3 2 3 4" xfId="18187" xr:uid="{1CF3FBE6-5C77-4474-BE38-86AF3D47A730}"/>
    <cellStyle name="Normal 2 4 2 3 3 2 3 5" xfId="9739" xr:uid="{63819238-71BE-42D3-B3C0-CD74E34F573C}"/>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24963" xr:uid="{222BDB4E-50E0-4DEE-82C9-15CCDABD608C}"/>
    <cellStyle name="Normal 2 4 2 3 3 2 4 2 2 3" xfId="16515" xr:uid="{A2680696-9AE6-4885-AFA8-39BE7D173C8B}"/>
    <cellStyle name="Normal 2 4 2 3 3 2 4 2 3" xfId="20745" xr:uid="{239CFE17-B019-45A5-814F-DD38DDC302F9}"/>
    <cellStyle name="Normal 2 4 2 3 3 2 4 2 4" xfId="12297" xr:uid="{B3D4949E-A88E-492A-861C-8009D4FCAF56}"/>
    <cellStyle name="Normal 2 4 2 3 3 2 4 3" xfId="5920" xr:uid="{00000000-0005-0000-0000-0000F50E0000}"/>
    <cellStyle name="Normal 2 4 2 3 3 2 4 3 2" xfId="22818" xr:uid="{7FE39156-9EEC-4FB6-B237-8E30C4D51420}"/>
    <cellStyle name="Normal 2 4 2 3 3 2 4 3 3" xfId="14370" xr:uid="{855AC83D-1616-4B67-9FE2-AA4C88AB873B}"/>
    <cellStyle name="Normal 2 4 2 3 3 2 4 4" xfId="18600" xr:uid="{D0AE3DA3-835F-4091-BCB1-A07B653937CA}"/>
    <cellStyle name="Normal 2 4 2 3 3 2 4 5" xfId="10152" xr:uid="{630019B8-822F-4AD1-BAD8-A00BAC1C8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25376" xr:uid="{9DC39997-D4B2-4110-9559-CD9423B2286B}"/>
    <cellStyle name="Normal 2 4 2 3 3 2 5 2 2 3" xfId="16928" xr:uid="{72F65F67-4623-440E-A953-4206535C8B5B}"/>
    <cellStyle name="Normal 2 4 2 3 3 2 5 2 3" xfId="21158" xr:uid="{BB7E8842-D97C-4C03-8421-15897ADF7853}"/>
    <cellStyle name="Normal 2 4 2 3 3 2 5 2 4" xfId="12710" xr:uid="{C204407E-B487-4A9A-9FAB-90EC9FE9B3FD}"/>
    <cellStyle name="Normal 2 4 2 3 3 2 5 3" xfId="6333" xr:uid="{00000000-0005-0000-0000-0000F90E0000}"/>
    <cellStyle name="Normal 2 4 2 3 3 2 5 3 2" xfId="23231" xr:uid="{28DDA395-C43A-4D56-8004-FBE97EAA8C63}"/>
    <cellStyle name="Normal 2 4 2 3 3 2 5 3 3" xfId="14783" xr:uid="{25C7EA5A-9963-4784-927B-421B9B652FCB}"/>
    <cellStyle name="Normal 2 4 2 3 3 2 5 4" xfId="19013" xr:uid="{F88C4192-38B7-46F9-BB0B-A49942076A95}"/>
    <cellStyle name="Normal 2 4 2 3 3 2 5 5" xfId="10565" xr:uid="{FDCC2A3B-75B7-4695-BB2E-C56C399512ED}"/>
    <cellStyle name="Normal 2 4 2 3 3 2 6" xfId="2463" xr:uid="{00000000-0005-0000-0000-0000FA0E0000}"/>
    <cellStyle name="Normal 2 4 2 3 3 2 6 2" xfId="6746" xr:uid="{00000000-0005-0000-0000-0000FB0E0000}"/>
    <cellStyle name="Normal 2 4 2 3 3 2 6 2 2" xfId="23644" xr:uid="{C5AFEB02-D860-4A70-8FED-41684C761290}"/>
    <cellStyle name="Normal 2 4 2 3 3 2 6 2 3" xfId="15196" xr:uid="{6CD09D31-3EC9-4F19-A006-FBA7027D2980}"/>
    <cellStyle name="Normal 2 4 2 3 3 2 6 3" xfId="19426" xr:uid="{F43AA73A-74F7-4768-96C6-1DA46759FEE4}"/>
    <cellStyle name="Normal 2 4 2 3 3 2 6 4" xfId="10978" xr:uid="{4DE1E96A-E226-49F1-A56F-3BB50195C1DE}"/>
    <cellStyle name="Normal 2 4 2 3 3 2 7" xfId="4680" xr:uid="{00000000-0005-0000-0000-0000FC0E0000}"/>
    <cellStyle name="Normal 2 4 2 3 3 2 7 2" xfId="21578" xr:uid="{EF71003E-04F7-48A4-A97E-E86729DB86B1}"/>
    <cellStyle name="Normal 2 4 2 3 3 2 7 3" xfId="13130" xr:uid="{EEAABC08-1DC6-4C65-A6AE-891C6B0CC680}"/>
    <cellStyle name="Normal 2 4 2 3 3 2 8" xfId="17360" xr:uid="{CD1BB532-BDE4-4537-A338-635AB9722FFD}"/>
    <cellStyle name="Normal 2 4 2 3 3 2 9" xfId="8912" xr:uid="{798F035A-0B8F-4874-B755-E19AC157A9C5}"/>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24136" xr:uid="{317F6382-1D64-4E1A-908F-5966334FE280}"/>
    <cellStyle name="Normal 2 4 2 3 3 3 2 2 3" xfId="15688" xr:uid="{C3F7E86A-9704-43F3-AC62-4A85AC2C84F5}"/>
    <cellStyle name="Normal 2 4 2 3 3 3 2 3" xfId="19918" xr:uid="{F2231737-D579-4F00-8AC2-1E31E4A6DC32}"/>
    <cellStyle name="Normal 2 4 2 3 3 3 2 4" xfId="11470" xr:uid="{D6065F5E-B42C-40A3-A735-B4BA914EE181}"/>
    <cellStyle name="Normal 2 4 2 3 3 3 3" xfId="5093" xr:uid="{00000000-0005-0000-0000-0000000F0000}"/>
    <cellStyle name="Normal 2 4 2 3 3 3 3 2" xfId="21991" xr:uid="{5533C1BE-AE5A-492C-82FC-579EB2B0DD78}"/>
    <cellStyle name="Normal 2 4 2 3 3 3 3 3" xfId="13543" xr:uid="{CCDA49B7-1F25-435D-B5D4-EA0992624B9F}"/>
    <cellStyle name="Normal 2 4 2 3 3 3 4" xfId="17773" xr:uid="{ACDA178A-E0CF-416A-AA35-A44D724B6D2D}"/>
    <cellStyle name="Normal 2 4 2 3 3 3 5" xfId="9325" xr:uid="{58E6E580-8E61-4541-B140-72FAF10966B2}"/>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24549" xr:uid="{CFA27BC8-4796-463A-8120-A111039076AA}"/>
    <cellStyle name="Normal 2 4 2 3 3 4 2 2 3" xfId="16101" xr:uid="{D097F4B8-FBFA-41DD-8702-860299EF6612}"/>
    <cellStyle name="Normal 2 4 2 3 3 4 2 3" xfId="20331" xr:uid="{6482A3B1-5DF5-485D-838D-D297CBBAA300}"/>
    <cellStyle name="Normal 2 4 2 3 3 4 2 4" xfId="11883" xr:uid="{5CF977A7-AD39-46CD-A52E-E097FEA2197F}"/>
    <cellStyle name="Normal 2 4 2 3 3 4 3" xfId="5506" xr:uid="{00000000-0005-0000-0000-0000040F0000}"/>
    <cellStyle name="Normal 2 4 2 3 3 4 3 2" xfId="22404" xr:uid="{6BDA957B-4ED2-4D62-953C-A85A07191FFF}"/>
    <cellStyle name="Normal 2 4 2 3 3 4 3 3" xfId="13956" xr:uid="{5AEBE1E3-3AA9-4BB9-AF88-D5C9468A11D4}"/>
    <cellStyle name="Normal 2 4 2 3 3 4 4" xfId="18186" xr:uid="{1809EA08-CF31-4198-8708-AF03E165D1FB}"/>
    <cellStyle name="Normal 2 4 2 3 3 4 5" xfId="9738" xr:uid="{3CE78F94-E11A-4F90-B1D2-1D36AA0124EB}"/>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24962" xr:uid="{ACF9ABAD-ED02-403A-8436-9BAF2BE71172}"/>
    <cellStyle name="Normal 2 4 2 3 3 5 2 2 3" xfId="16514" xr:uid="{D1E481FC-17DA-4D18-ADAD-C2B8B938E92E}"/>
    <cellStyle name="Normal 2 4 2 3 3 5 2 3" xfId="20744" xr:uid="{B91CCC07-19D4-4F01-8FFC-C548E9B50E92}"/>
    <cellStyle name="Normal 2 4 2 3 3 5 2 4" xfId="12296" xr:uid="{C682F74C-32EE-4A93-AA5F-2AAD5A58EB69}"/>
    <cellStyle name="Normal 2 4 2 3 3 5 3" xfId="5919" xr:uid="{00000000-0005-0000-0000-0000080F0000}"/>
    <cellStyle name="Normal 2 4 2 3 3 5 3 2" xfId="22817" xr:uid="{05B8F5B9-7D25-4FC9-B4C3-467FB373B90C}"/>
    <cellStyle name="Normal 2 4 2 3 3 5 3 3" xfId="14369" xr:uid="{F919511F-85A1-4EE4-A121-B06ABE26E58F}"/>
    <cellStyle name="Normal 2 4 2 3 3 5 4" xfId="18599" xr:uid="{E678269E-E992-4DF1-AE9E-39E3BEAFAB38}"/>
    <cellStyle name="Normal 2 4 2 3 3 5 5" xfId="10151" xr:uid="{6E49BE73-C24C-44D0-969F-D3EE3F627854}"/>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25375" xr:uid="{B0ED5260-BAA6-4DEB-9F89-7D5E0CC4510B}"/>
    <cellStyle name="Normal 2 4 2 3 3 6 2 2 3" xfId="16927" xr:uid="{85E97CA6-F48F-416C-9BFA-9D5F4B1D8903}"/>
    <cellStyle name="Normal 2 4 2 3 3 6 2 3" xfId="21157" xr:uid="{9697C264-12AC-473A-A271-09B0828D3EB8}"/>
    <cellStyle name="Normal 2 4 2 3 3 6 2 4" xfId="12709" xr:uid="{CABB05A0-C8D3-4BDE-B127-04611B6E909E}"/>
    <cellStyle name="Normal 2 4 2 3 3 6 3" xfId="6332" xr:uid="{00000000-0005-0000-0000-00000C0F0000}"/>
    <cellStyle name="Normal 2 4 2 3 3 6 3 2" xfId="23230" xr:uid="{598A74CC-65A9-4008-8806-8A986DAE9FEF}"/>
    <cellStyle name="Normal 2 4 2 3 3 6 3 3" xfId="14782" xr:uid="{3E7D364D-2B9B-4AE2-B38C-B5899FA9F823}"/>
    <cellStyle name="Normal 2 4 2 3 3 6 4" xfId="19012" xr:uid="{259621BF-DBF5-4FE8-8BFA-FA99047B72AD}"/>
    <cellStyle name="Normal 2 4 2 3 3 6 5" xfId="10564" xr:uid="{701AAB60-9C04-429D-8831-23C2904392D0}"/>
    <cellStyle name="Normal 2 4 2 3 3 7" xfId="2462" xr:uid="{00000000-0005-0000-0000-00000D0F0000}"/>
    <cellStyle name="Normal 2 4 2 3 3 7 2" xfId="6745" xr:uid="{00000000-0005-0000-0000-00000E0F0000}"/>
    <cellStyle name="Normal 2 4 2 3 3 7 2 2" xfId="23643" xr:uid="{27695C04-3BB1-466A-9195-32C7D1818D62}"/>
    <cellStyle name="Normal 2 4 2 3 3 7 2 3" xfId="15195" xr:uid="{1EC52AA6-6871-4726-BEEE-D29B4B4B484C}"/>
    <cellStyle name="Normal 2 4 2 3 3 7 3" xfId="19425" xr:uid="{C0C77EE0-A0FF-4942-9C34-27F4E726F6C0}"/>
    <cellStyle name="Normal 2 4 2 3 3 7 4" xfId="10977" xr:uid="{278FB3F7-5086-4CCF-9C46-F838377CA75D}"/>
    <cellStyle name="Normal 2 4 2 3 3 8" xfId="4679" xr:uid="{00000000-0005-0000-0000-00000F0F0000}"/>
    <cellStyle name="Normal 2 4 2 3 3 8 2" xfId="21577" xr:uid="{B0F0445C-E88F-4EBE-8AF0-370738C97675}"/>
    <cellStyle name="Normal 2 4 2 3 3 8 3" xfId="13129" xr:uid="{6B54A926-BCBB-4105-A5B9-AE9E0500B780}"/>
    <cellStyle name="Normal 2 4 2 3 3 9" xfId="17359" xr:uid="{9D2486BA-0CB6-40B5-A4EB-A29ACA037EF3}"/>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24138" xr:uid="{AFB54041-8B72-4451-A627-24B295562A1C}"/>
    <cellStyle name="Normal 2 4 2 3 4 2 2 2 3" xfId="15690" xr:uid="{BF83F2E1-A3CF-41D5-8726-63F0771CC548}"/>
    <cellStyle name="Normal 2 4 2 3 4 2 2 3" xfId="19920" xr:uid="{1C1FAA04-DC12-410D-B99F-8508C1E2ACD3}"/>
    <cellStyle name="Normal 2 4 2 3 4 2 2 4" xfId="11472" xr:uid="{CF3E43B6-E6B5-4547-AFFD-E3779CDE2E92}"/>
    <cellStyle name="Normal 2 4 2 3 4 2 3" xfId="5095" xr:uid="{00000000-0005-0000-0000-0000140F0000}"/>
    <cellStyle name="Normal 2 4 2 3 4 2 3 2" xfId="21993" xr:uid="{CB2D1714-DB2A-4A50-BBF1-94E1A5945191}"/>
    <cellStyle name="Normal 2 4 2 3 4 2 3 3" xfId="13545" xr:uid="{67EF8A4F-3FB5-459E-8A4F-4C5E22113BE0}"/>
    <cellStyle name="Normal 2 4 2 3 4 2 4" xfId="17775" xr:uid="{07F1CC16-B8D7-4351-AB5F-48C37300F0E6}"/>
    <cellStyle name="Normal 2 4 2 3 4 2 5" xfId="9327" xr:uid="{3FFA98C3-7D01-4CB6-B74E-F71EA48A6581}"/>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24551" xr:uid="{56E8C0B2-095D-4CA0-979A-25BF83EE90B4}"/>
    <cellStyle name="Normal 2 4 2 3 4 3 2 2 3" xfId="16103" xr:uid="{2ED5012B-A90E-40E3-92A3-C284CE3313F2}"/>
    <cellStyle name="Normal 2 4 2 3 4 3 2 3" xfId="20333" xr:uid="{BAB250B2-AA2A-4438-88FA-4454C380FD79}"/>
    <cellStyle name="Normal 2 4 2 3 4 3 2 4" xfId="11885" xr:uid="{9003B2D9-2E2A-4470-B600-2DD8681481E0}"/>
    <cellStyle name="Normal 2 4 2 3 4 3 3" xfId="5508" xr:uid="{00000000-0005-0000-0000-0000180F0000}"/>
    <cellStyle name="Normal 2 4 2 3 4 3 3 2" xfId="22406" xr:uid="{FEB96C1F-90CC-4466-A2F4-181A37A6B4DF}"/>
    <cellStyle name="Normal 2 4 2 3 4 3 3 3" xfId="13958" xr:uid="{CFCF0724-953B-4552-8A67-A10F0FDB4258}"/>
    <cellStyle name="Normal 2 4 2 3 4 3 4" xfId="18188" xr:uid="{E5B9FBBE-C740-4F70-B644-A16B99169B15}"/>
    <cellStyle name="Normal 2 4 2 3 4 3 5" xfId="9740" xr:uid="{508A074A-A0DF-4D72-A291-C2FFE054901C}"/>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24964" xr:uid="{258B3CD8-C71B-413D-BE79-C3F88E010917}"/>
    <cellStyle name="Normal 2 4 2 3 4 4 2 2 3" xfId="16516" xr:uid="{E1D70081-8A14-4315-A429-1A2198A7DC67}"/>
    <cellStyle name="Normal 2 4 2 3 4 4 2 3" xfId="20746" xr:uid="{3F0F06A6-34D7-40C5-AFB3-B5536C637E20}"/>
    <cellStyle name="Normal 2 4 2 3 4 4 2 4" xfId="12298" xr:uid="{E63B9700-E69B-4384-AAA4-1C8A53AB7D65}"/>
    <cellStyle name="Normal 2 4 2 3 4 4 3" xfId="5921" xr:uid="{00000000-0005-0000-0000-00001C0F0000}"/>
    <cellStyle name="Normal 2 4 2 3 4 4 3 2" xfId="22819" xr:uid="{C763A9C4-FA13-40E1-8853-B27292DE42D4}"/>
    <cellStyle name="Normal 2 4 2 3 4 4 3 3" xfId="14371" xr:uid="{3955CF8C-7F6E-4960-9F2D-B5E30B4249A0}"/>
    <cellStyle name="Normal 2 4 2 3 4 4 4" xfId="18601" xr:uid="{CE153574-F7B2-4A25-9D7B-0C6A38FD24DA}"/>
    <cellStyle name="Normal 2 4 2 3 4 4 5" xfId="10153" xr:uid="{47D0C56E-FDD3-4AE4-B2E2-230095555EA8}"/>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25377" xr:uid="{176B57AE-32D6-4CEE-BF37-6E8FB02DCC29}"/>
    <cellStyle name="Normal 2 4 2 3 4 5 2 2 3" xfId="16929" xr:uid="{0D21E22E-2CAD-45B3-9CFB-C37642E5C566}"/>
    <cellStyle name="Normal 2 4 2 3 4 5 2 3" xfId="21159" xr:uid="{C5B842EC-36C5-4E82-A3A5-1C17012B9829}"/>
    <cellStyle name="Normal 2 4 2 3 4 5 2 4" xfId="12711" xr:uid="{DFA76C12-6A76-45DA-9E98-6B3A48DDC9E4}"/>
    <cellStyle name="Normal 2 4 2 3 4 5 3" xfId="6334" xr:uid="{00000000-0005-0000-0000-0000200F0000}"/>
    <cellStyle name="Normal 2 4 2 3 4 5 3 2" xfId="23232" xr:uid="{B923DE08-6597-4C19-8399-117A26E09067}"/>
    <cellStyle name="Normal 2 4 2 3 4 5 3 3" xfId="14784" xr:uid="{E96EDE90-018F-48CD-90F7-728206713157}"/>
    <cellStyle name="Normal 2 4 2 3 4 5 4" xfId="19014" xr:uid="{349E4EE6-2A68-4D34-868D-B29FC918DE05}"/>
    <cellStyle name="Normal 2 4 2 3 4 5 5" xfId="10566" xr:uid="{19C809F4-A088-4C05-A8A5-25FF6166093A}"/>
    <cellStyle name="Normal 2 4 2 3 4 6" xfId="2464" xr:uid="{00000000-0005-0000-0000-0000210F0000}"/>
    <cellStyle name="Normal 2 4 2 3 4 6 2" xfId="6747" xr:uid="{00000000-0005-0000-0000-0000220F0000}"/>
    <cellStyle name="Normal 2 4 2 3 4 6 2 2" xfId="23645" xr:uid="{2CB6FDDD-81D6-4063-98AC-C4A07A448DE2}"/>
    <cellStyle name="Normal 2 4 2 3 4 6 2 3" xfId="15197" xr:uid="{AB1BEDAB-4223-4B42-8BFA-535658BCFDD3}"/>
    <cellStyle name="Normal 2 4 2 3 4 6 3" xfId="19427" xr:uid="{C6C4D3A9-A464-4C7E-84E6-944E9F8B58F9}"/>
    <cellStyle name="Normal 2 4 2 3 4 6 4" xfId="10979" xr:uid="{13BE2605-28DF-47C5-AFE1-0FBF6EA8FDC0}"/>
    <cellStyle name="Normal 2 4 2 3 4 7" xfId="4681" xr:uid="{00000000-0005-0000-0000-0000230F0000}"/>
    <cellStyle name="Normal 2 4 2 3 4 7 2" xfId="21579" xr:uid="{B8C4E185-88F2-4845-AD85-244C191F85DB}"/>
    <cellStyle name="Normal 2 4 2 3 4 7 3" xfId="13131" xr:uid="{942B69E8-DC9A-461D-954B-7EC6DF9F76A0}"/>
    <cellStyle name="Normal 2 4 2 3 4 8" xfId="17361" xr:uid="{6AC4B03A-3A4F-4173-8F6B-9F25D22306F1}"/>
    <cellStyle name="Normal 2 4 2 3 4 9" xfId="8913" xr:uid="{A8247B9C-BAE1-46D8-8B32-47DCAAC05AF1}"/>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24131" xr:uid="{E3900720-D8FB-4DA1-8365-591C8142C024}"/>
    <cellStyle name="Normal 2 4 2 3 5 2 2 3" xfId="15683" xr:uid="{73302F66-F929-4831-A9D1-EF7B597F03EF}"/>
    <cellStyle name="Normal 2 4 2 3 5 2 3" xfId="19913" xr:uid="{911059E4-A035-418C-AB77-BC881D933B28}"/>
    <cellStyle name="Normal 2 4 2 3 5 2 4" xfId="11465" xr:uid="{A8391A5B-887D-4786-BB26-DDF84F105555}"/>
    <cellStyle name="Normal 2 4 2 3 5 3" xfId="5088" xr:uid="{00000000-0005-0000-0000-0000270F0000}"/>
    <cellStyle name="Normal 2 4 2 3 5 3 2" xfId="21986" xr:uid="{E00F6AF7-715C-49D8-AFC1-96A9CA2FD616}"/>
    <cellStyle name="Normal 2 4 2 3 5 3 3" xfId="13538" xr:uid="{BBFBB3DF-A266-4A39-B5AF-7564F498BC9D}"/>
    <cellStyle name="Normal 2 4 2 3 5 4" xfId="17768" xr:uid="{21D3F09B-D1D3-4321-B004-FFBF2EDAD963}"/>
    <cellStyle name="Normal 2 4 2 3 5 5" xfId="9320" xr:uid="{5FB09329-6D8B-4E4F-9C1C-D9D8159300F1}"/>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24544" xr:uid="{F814983D-15D8-4F06-80E6-0BE1A903405F}"/>
    <cellStyle name="Normal 2 4 2 3 6 2 2 3" xfId="16096" xr:uid="{98308CBE-C525-480F-97AE-AABEC4881016}"/>
    <cellStyle name="Normal 2 4 2 3 6 2 3" xfId="20326" xr:uid="{32B77FE4-387D-48FF-921D-F5E2710D79AA}"/>
    <cellStyle name="Normal 2 4 2 3 6 2 4" xfId="11878" xr:uid="{0506753C-F5E2-42A2-B295-4F9180468CCF}"/>
    <cellStyle name="Normal 2 4 2 3 6 3" xfId="5501" xr:uid="{00000000-0005-0000-0000-00002B0F0000}"/>
    <cellStyle name="Normal 2 4 2 3 6 3 2" xfId="22399" xr:uid="{C80D7B3B-F713-4066-8CCE-9B5F5F84C0BA}"/>
    <cellStyle name="Normal 2 4 2 3 6 3 3" xfId="13951" xr:uid="{7A001C64-2369-44F1-99F0-F4722C7ACEC9}"/>
    <cellStyle name="Normal 2 4 2 3 6 4" xfId="18181" xr:uid="{096FA2E2-1830-4461-8519-E86269A03945}"/>
    <cellStyle name="Normal 2 4 2 3 6 5" xfId="9733" xr:uid="{73D1465A-161D-429D-9D16-B5087D382BD7}"/>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24957" xr:uid="{A022ECFC-A0ED-4079-A09C-EAC99DA3BF38}"/>
    <cellStyle name="Normal 2 4 2 3 7 2 2 3" xfId="16509" xr:uid="{525DA808-A7D0-4431-A263-CDFF25A9B50A}"/>
    <cellStyle name="Normal 2 4 2 3 7 2 3" xfId="20739" xr:uid="{BD03E06D-51F3-4109-9C1C-B19BDB750F6F}"/>
    <cellStyle name="Normal 2 4 2 3 7 2 4" xfId="12291" xr:uid="{E3C564BD-EE8E-4714-A34F-9CCC6AD2993D}"/>
    <cellStyle name="Normal 2 4 2 3 7 3" xfId="5914" xr:uid="{00000000-0005-0000-0000-00002F0F0000}"/>
    <cellStyle name="Normal 2 4 2 3 7 3 2" xfId="22812" xr:uid="{A0077F31-AF9B-4CF0-A431-67E8D914EB23}"/>
    <cellStyle name="Normal 2 4 2 3 7 3 3" xfId="14364" xr:uid="{BCB03E03-DBE0-484C-B076-88893483B7A6}"/>
    <cellStyle name="Normal 2 4 2 3 7 4" xfId="18594" xr:uid="{8A526E66-C223-4081-B06E-550E5CAC7E5B}"/>
    <cellStyle name="Normal 2 4 2 3 7 5" xfId="10146" xr:uid="{6C1A880B-6ED0-4249-A581-C8ED50D526EF}"/>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25370" xr:uid="{3F077FF6-CB51-49BC-9BFE-430A19E1657F}"/>
    <cellStyle name="Normal 2 4 2 3 8 2 2 3" xfId="16922" xr:uid="{6FBAEAEA-2E10-4E64-85E5-1374EA3D7320}"/>
    <cellStyle name="Normal 2 4 2 3 8 2 3" xfId="21152" xr:uid="{B631B069-219B-4BF4-9907-1E42359FD868}"/>
    <cellStyle name="Normal 2 4 2 3 8 2 4" xfId="12704" xr:uid="{D68278E5-3EEA-42C9-A243-575A5FBC8F75}"/>
    <cellStyle name="Normal 2 4 2 3 8 3" xfId="6327" xr:uid="{00000000-0005-0000-0000-0000330F0000}"/>
    <cellStyle name="Normal 2 4 2 3 8 3 2" xfId="23225" xr:uid="{25D1CDAA-E4C1-4352-A6AA-5C5265C4A28E}"/>
    <cellStyle name="Normal 2 4 2 3 8 3 3" xfId="14777" xr:uid="{B0CB5C08-D596-4EFF-8E5B-275BC72509FE}"/>
    <cellStyle name="Normal 2 4 2 3 8 4" xfId="19007" xr:uid="{0551CB17-F054-451E-8EF9-15C0C03824CF}"/>
    <cellStyle name="Normal 2 4 2 3 8 5" xfId="10559" xr:uid="{E0C9A5C4-DFE1-40CA-8D69-931BC40985F0}"/>
    <cellStyle name="Normal 2 4 2 3 9" xfId="2457" xr:uid="{00000000-0005-0000-0000-0000340F0000}"/>
    <cellStyle name="Normal 2 4 2 3 9 2" xfId="6740" xr:uid="{00000000-0005-0000-0000-0000350F0000}"/>
    <cellStyle name="Normal 2 4 2 3 9 2 2" xfId="23638" xr:uid="{C0666362-36AC-4E38-820F-BD7E42399401}"/>
    <cellStyle name="Normal 2 4 2 3 9 2 3" xfId="15190" xr:uid="{DA28E685-A8C1-4938-89D9-86A96183FE90}"/>
    <cellStyle name="Normal 2 4 2 3 9 3" xfId="19420" xr:uid="{128F9D2E-E884-40C7-A72B-1C1382F4EE93}"/>
    <cellStyle name="Normal 2 4 2 3 9 4" xfId="10972" xr:uid="{6F1CDD3E-5E7F-41D1-8AD5-225B1BAD2394}"/>
    <cellStyle name="Normal 2 4 2 4" xfId="289" xr:uid="{00000000-0005-0000-0000-0000360F0000}"/>
    <cellStyle name="Normal 2 4 2 4 10" xfId="17362" xr:uid="{DE3716E0-7D8C-468B-AF17-70FE1ECE2EEA}"/>
    <cellStyle name="Normal 2 4 2 4 11" xfId="8914" xr:uid="{33D8C8A4-0E2C-4269-B85B-12EFAA034658}"/>
    <cellStyle name="Normal 2 4 2 4 2" xfId="290" xr:uid="{00000000-0005-0000-0000-0000370F0000}"/>
    <cellStyle name="Normal 2 4 2 4 2 10" xfId="8915" xr:uid="{0DA859AE-CB34-459F-95E6-20FC723F2DD7}"/>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24141" xr:uid="{20D4B906-9075-4AC4-9098-3AA5D1AFA63F}"/>
    <cellStyle name="Normal 2 4 2 4 2 2 2 2 2 3" xfId="15693" xr:uid="{DB048B90-659D-463A-ACE8-B340BA1E7AA3}"/>
    <cellStyle name="Normal 2 4 2 4 2 2 2 2 3" xfId="19923" xr:uid="{3E20357A-DDFD-4574-B377-29F982A936AE}"/>
    <cellStyle name="Normal 2 4 2 4 2 2 2 2 4" xfId="11475" xr:uid="{2FC25945-3850-43F6-8BA5-39020DD962F7}"/>
    <cellStyle name="Normal 2 4 2 4 2 2 2 3" xfId="5098" xr:uid="{00000000-0005-0000-0000-00003C0F0000}"/>
    <cellStyle name="Normal 2 4 2 4 2 2 2 3 2" xfId="21996" xr:uid="{D5569810-5EE1-45D4-A760-E3B9CD95A606}"/>
    <cellStyle name="Normal 2 4 2 4 2 2 2 3 3" xfId="13548" xr:uid="{A387165B-4370-47CE-AC83-2DC9D52F9E13}"/>
    <cellStyle name="Normal 2 4 2 4 2 2 2 4" xfId="17778" xr:uid="{A7873601-F39F-4BDA-AC1E-C2DDD618BFA6}"/>
    <cellStyle name="Normal 2 4 2 4 2 2 2 5" xfId="9330" xr:uid="{6B51E552-8469-4EA1-B8CE-02447422768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24554" xr:uid="{6A863712-8AAC-4A3E-8C55-243D97435EDD}"/>
    <cellStyle name="Normal 2 4 2 4 2 2 3 2 2 3" xfId="16106" xr:uid="{2666068A-C525-4677-8827-095A6FD5E509}"/>
    <cellStyle name="Normal 2 4 2 4 2 2 3 2 3" xfId="20336" xr:uid="{A91D3A60-8138-41A6-98DF-AE66F85FEF20}"/>
    <cellStyle name="Normal 2 4 2 4 2 2 3 2 4" xfId="11888" xr:uid="{AE649FDC-D84C-4E30-8E7A-F9424AD28CC5}"/>
    <cellStyle name="Normal 2 4 2 4 2 2 3 3" xfId="5511" xr:uid="{00000000-0005-0000-0000-0000400F0000}"/>
    <cellStyle name="Normal 2 4 2 4 2 2 3 3 2" xfId="22409" xr:uid="{8EDA0F92-D429-40DC-AA06-DD98EAB8984D}"/>
    <cellStyle name="Normal 2 4 2 4 2 2 3 3 3" xfId="13961" xr:uid="{6E9A073D-E061-4282-9D2E-8DD88AD16499}"/>
    <cellStyle name="Normal 2 4 2 4 2 2 3 4" xfId="18191" xr:uid="{65F348B7-B0C4-4AAE-9C94-7D87CEDE6A33}"/>
    <cellStyle name="Normal 2 4 2 4 2 2 3 5" xfId="9743" xr:uid="{0E45A1BD-0121-49D6-9645-3C3532AF66C7}"/>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24967" xr:uid="{A984BFA4-27B6-4B7E-9656-51C8AD7406C7}"/>
    <cellStyle name="Normal 2 4 2 4 2 2 4 2 2 3" xfId="16519" xr:uid="{56395940-FD4F-4F1F-AE59-47B6A196E106}"/>
    <cellStyle name="Normal 2 4 2 4 2 2 4 2 3" xfId="20749" xr:uid="{6BF862A0-F162-4C24-9382-A369B6392FD7}"/>
    <cellStyle name="Normal 2 4 2 4 2 2 4 2 4" xfId="12301" xr:uid="{05B5927A-563E-4506-8626-D33BD0A6FB82}"/>
    <cellStyle name="Normal 2 4 2 4 2 2 4 3" xfId="5924" xr:uid="{00000000-0005-0000-0000-0000440F0000}"/>
    <cellStyle name="Normal 2 4 2 4 2 2 4 3 2" xfId="22822" xr:uid="{3AB4954B-930F-4D96-89A0-1C4A571DD259}"/>
    <cellStyle name="Normal 2 4 2 4 2 2 4 3 3" xfId="14374" xr:uid="{D50EBD50-189B-4C55-B423-39BE7842D39C}"/>
    <cellStyle name="Normal 2 4 2 4 2 2 4 4" xfId="18604" xr:uid="{16EF5955-14C7-4B48-A483-D4FBECA78335}"/>
    <cellStyle name="Normal 2 4 2 4 2 2 4 5" xfId="10156" xr:uid="{E3B3E1F4-39C1-4189-8C1B-EAD554438DD8}"/>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25380" xr:uid="{301A295F-B26B-4E2E-A739-A3E8891AA6BD}"/>
    <cellStyle name="Normal 2 4 2 4 2 2 5 2 2 3" xfId="16932" xr:uid="{FF596587-7F30-424F-92A3-4E735A787933}"/>
    <cellStyle name="Normal 2 4 2 4 2 2 5 2 3" xfId="21162" xr:uid="{873AF565-1815-42E4-A310-4F76F821057A}"/>
    <cellStyle name="Normal 2 4 2 4 2 2 5 2 4" xfId="12714" xr:uid="{E2C1D983-A6FF-49B4-8F0B-72BB49EA9A61}"/>
    <cellStyle name="Normal 2 4 2 4 2 2 5 3" xfId="6337" xr:uid="{00000000-0005-0000-0000-0000480F0000}"/>
    <cellStyle name="Normal 2 4 2 4 2 2 5 3 2" xfId="23235" xr:uid="{2174CDB3-9937-40F3-8911-B89B16E78937}"/>
    <cellStyle name="Normal 2 4 2 4 2 2 5 3 3" xfId="14787" xr:uid="{29643A83-DDDC-42BC-B323-331760DF3DEA}"/>
    <cellStyle name="Normal 2 4 2 4 2 2 5 4" xfId="19017" xr:uid="{41FC08B3-CB29-4112-A650-3D741A996FDF}"/>
    <cellStyle name="Normal 2 4 2 4 2 2 5 5" xfId="10569" xr:uid="{BB720388-0BAE-45C0-BD6C-7CBEECFAE6C1}"/>
    <cellStyle name="Normal 2 4 2 4 2 2 6" xfId="2467" xr:uid="{00000000-0005-0000-0000-0000490F0000}"/>
    <cellStyle name="Normal 2 4 2 4 2 2 6 2" xfId="6750" xr:uid="{00000000-0005-0000-0000-00004A0F0000}"/>
    <cellStyle name="Normal 2 4 2 4 2 2 6 2 2" xfId="23648" xr:uid="{863A372C-397F-46DB-ACAE-2F4F75286480}"/>
    <cellStyle name="Normal 2 4 2 4 2 2 6 2 3" xfId="15200" xr:uid="{B002CB45-728E-4A5B-BE48-A8B9055E2B98}"/>
    <cellStyle name="Normal 2 4 2 4 2 2 6 3" xfId="19430" xr:uid="{95558850-BF27-4CEB-94F0-D402DEBB1688}"/>
    <cellStyle name="Normal 2 4 2 4 2 2 6 4" xfId="10982" xr:uid="{49401E08-1F22-4ED3-A824-152F6A740EC7}"/>
    <cellStyle name="Normal 2 4 2 4 2 2 7" xfId="4684" xr:uid="{00000000-0005-0000-0000-00004B0F0000}"/>
    <cellStyle name="Normal 2 4 2 4 2 2 7 2" xfId="21582" xr:uid="{6BD2EF10-36E9-4F52-84B7-97AA57621F6E}"/>
    <cellStyle name="Normal 2 4 2 4 2 2 7 3" xfId="13134" xr:uid="{235603C3-9E0E-47B7-A65B-0AADB317755E}"/>
    <cellStyle name="Normal 2 4 2 4 2 2 8" xfId="17364" xr:uid="{81234FBB-AAF6-4D0B-91A2-DF570DFC562D}"/>
    <cellStyle name="Normal 2 4 2 4 2 2 9" xfId="8916" xr:uid="{C9FCCE05-3C08-4E2B-A855-A24E92B63F3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24140" xr:uid="{B752AC55-B6AE-42B2-B852-E7D1C36DCDA5}"/>
    <cellStyle name="Normal 2 4 2 4 2 3 2 2 3" xfId="15692" xr:uid="{541B568E-8C0A-43D3-9790-BEC73EE38203}"/>
    <cellStyle name="Normal 2 4 2 4 2 3 2 3" xfId="19922" xr:uid="{E17770F9-81B9-4F0A-8A74-9DE8AF6D70DB}"/>
    <cellStyle name="Normal 2 4 2 4 2 3 2 4" xfId="11474" xr:uid="{E7895CC6-E6E8-40C9-B285-BFFE6386F870}"/>
    <cellStyle name="Normal 2 4 2 4 2 3 3" xfId="5097" xr:uid="{00000000-0005-0000-0000-00004F0F0000}"/>
    <cellStyle name="Normal 2 4 2 4 2 3 3 2" xfId="21995" xr:uid="{90AE4D83-F19B-42CF-810B-AC891B44B4F9}"/>
    <cellStyle name="Normal 2 4 2 4 2 3 3 3" xfId="13547" xr:uid="{85242DF5-C761-4570-AEFD-77A1A038A177}"/>
    <cellStyle name="Normal 2 4 2 4 2 3 4" xfId="17777" xr:uid="{33733813-EF10-4DBA-A4DC-444F7528DAB1}"/>
    <cellStyle name="Normal 2 4 2 4 2 3 5" xfId="9329" xr:uid="{8DFD18F8-A0CA-482B-9D8F-1632C86FC9C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24553" xr:uid="{8526358E-3AC3-4891-AE55-CF168ECFA7B6}"/>
    <cellStyle name="Normal 2 4 2 4 2 4 2 2 3" xfId="16105" xr:uid="{D0DE3C09-1B0A-426C-996F-334FC0670B3A}"/>
    <cellStyle name="Normal 2 4 2 4 2 4 2 3" xfId="20335" xr:uid="{85BD9E91-38EC-4CD7-8BCA-0A4CAA2E2DA8}"/>
    <cellStyle name="Normal 2 4 2 4 2 4 2 4" xfId="11887" xr:uid="{3A1EBD16-C4CA-4B0D-AFFA-0C569D6F0345}"/>
    <cellStyle name="Normal 2 4 2 4 2 4 3" xfId="5510" xr:uid="{00000000-0005-0000-0000-0000530F0000}"/>
    <cellStyle name="Normal 2 4 2 4 2 4 3 2" xfId="22408" xr:uid="{23717247-7097-4BBA-9F12-6EE45691670E}"/>
    <cellStyle name="Normal 2 4 2 4 2 4 3 3" xfId="13960" xr:uid="{A31069E5-1BF6-428E-AD67-A28EB8AA5AAD}"/>
    <cellStyle name="Normal 2 4 2 4 2 4 4" xfId="18190" xr:uid="{1B0FBF31-BA1A-40C3-A6B0-CD64F6659AB0}"/>
    <cellStyle name="Normal 2 4 2 4 2 4 5" xfId="9742" xr:uid="{D0F1E4D0-3619-4C79-85D5-22F8DFAB578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24966" xr:uid="{2E6FB4B6-9880-4DF0-B152-6C985DFD39F9}"/>
    <cellStyle name="Normal 2 4 2 4 2 5 2 2 3" xfId="16518" xr:uid="{706C8AE9-68DE-4CF0-A80E-86441201C2CA}"/>
    <cellStyle name="Normal 2 4 2 4 2 5 2 3" xfId="20748" xr:uid="{A8D4CDA5-1886-4F98-A192-A3572E78FEF1}"/>
    <cellStyle name="Normal 2 4 2 4 2 5 2 4" xfId="12300" xr:uid="{B47FD5A1-5016-4C67-A542-2AE32E964A35}"/>
    <cellStyle name="Normal 2 4 2 4 2 5 3" xfId="5923" xr:uid="{00000000-0005-0000-0000-0000570F0000}"/>
    <cellStyle name="Normal 2 4 2 4 2 5 3 2" xfId="22821" xr:uid="{674A90DB-643A-404E-B551-50B71E6BE96B}"/>
    <cellStyle name="Normal 2 4 2 4 2 5 3 3" xfId="14373" xr:uid="{E0B4D96B-E3EC-48B7-9BEF-49450A1E2C7D}"/>
    <cellStyle name="Normal 2 4 2 4 2 5 4" xfId="18603" xr:uid="{BB9893EA-3006-4967-AF15-CA5F0A4ECEC1}"/>
    <cellStyle name="Normal 2 4 2 4 2 5 5" xfId="10155" xr:uid="{EED71349-BD80-405B-B45A-7467DB40007B}"/>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25379" xr:uid="{302B67C0-F365-4089-AF28-A4C913B063A9}"/>
    <cellStyle name="Normal 2 4 2 4 2 6 2 2 3" xfId="16931" xr:uid="{63E1D0C0-85B7-4002-8280-38514A146A7A}"/>
    <cellStyle name="Normal 2 4 2 4 2 6 2 3" xfId="21161" xr:uid="{0D7E2B8A-075D-40DA-9B62-464DE9240BB8}"/>
    <cellStyle name="Normal 2 4 2 4 2 6 2 4" xfId="12713" xr:uid="{47F1CF74-7776-4A66-B54D-9AA66058C9FB}"/>
    <cellStyle name="Normal 2 4 2 4 2 6 3" xfId="6336" xr:uid="{00000000-0005-0000-0000-00005B0F0000}"/>
    <cellStyle name="Normal 2 4 2 4 2 6 3 2" xfId="23234" xr:uid="{39CB60C8-B63E-4876-BEE8-6DAE4821F7DA}"/>
    <cellStyle name="Normal 2 4 2 4 2 6 3 3" xfId="14786" xr:uid="{7FB6C177-81D6-478E-AED1-32481CAB5B05}"/>
    <cellStyle name="Normal 2 4 2 4 2 6 4" xfId="19016" xr:uid="{EABDA34B-1588-45F2-B7C1-454D9ACF4237}"/>
    <cellStyle name="Normal 2 4 2 4 2 6 5" xfId="10568" xr:uid="{366239F3-A962-4418-AFAD-EB7DC7BD4072}"/>
    <cellStyle name="Normal 2 4 2 4 2 7" xfId="2466" xr:uid="{00000000-0005-0000-0000-00005C0F0000}"/>
    <cellStyle name="Normal 2 4 2 4 2 7 2" xfId="6749" xr:uid="{00000000-0005-0000-0000-00005D0F0000}"/>
    <cellStyle name="Normal 2 4 2 4 2 7 2 2" xfId="23647" xr:uid="{85D9E7DF-D1B5-4E32-876B-24E7F2E73AA1}"/>
    <cellStyle name="Normal 2 4 2 4 2 7 2 3" xfId="15199" xr:uid="{57E24E9F-C884-488A-9E1D-BE3FEE7BFE96}"/>
    <cellStyle name="Normal 2 4 2 4 2 7 3" xfId="19429" xr:uid="{D4791679-ABC2-4433-82E8-0F05C5176C53}"/>
    <cellStyle name="Normal 2 4 2 4 2 7 4" xfId="10981" xr:uid="{2788DC09-C57F-4EFA-94B1-923C67BA69BC}"/>
    <cellStyle name="Normal 2 4 2 4 2 8" xfId="4683" xr:uid="{00000000-0005-0000-0000-00005E0F0000}"/>
    <cellStyle name="Normal 2 4 2 4 2 8 2" xfId="21581" xr:uid="{D5A107EF-3D6D-41C3-8E0A-5CA82F899797}"/>
    <cellStyle name="Normal 2 4 2 4 2 8 3" xfId="13133" xr:uid="{3F6C729D-6EA9-4237-8538-6B3A40355A66}"/>
    <cellStyle name="Normal 2 4 2 4 2 9" xfId="17363" xr:uid="{75BC3BA3-68DF-4D39-BB74-95343D6DA6A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24142" xr:uid="{2421076D-D5A9-415D-94D5-ABB6FA5D9D9D}"/>
    <cellStyle name="Normal 2 4 2 4 3 2 2 2 3" xfId="15694" xr:uid="{FD837077-1A51-456A-8E8B-68D80D935A90}"/>
    <cellStyle name="Normal 2 4 2 4 3 2 2 3" xfId="19924" xr:uid="{B1B930BF-E18B-44BA-A819-63331414671A}"/>
    <cellStyle name="Normal 2 4 2 4 3 2 2 4" xfId="11476" xr:uid="{2D790FAD-5AE9-4EAB-BABC-7CCAD9EFBE34}"/>
    <cellStyle name="Normal 2 4 2 4 3 2 3" xfId="5099" xr:uid="{00000000-0005-0000-0000-0000630F0000}"/>
    <cellStyle name="Normal 2 4 2 4 3 2 3 2" xfId="21997" xr:uid="{6CCEBA13-078B-4554-A65E-0A9430DD0D53}"/>
    <cellStyle name="Normal 2 4 2 4 3 2 3 3" xfId="13549" xr:uid="{D031C197-753B-41B9-9C14-3FCBBFBACFF0}"/>
    <cellStyle name="Normal 2 4 2 4 3 2 4" xfId="17779" xr:uid="{DCE4BDEB-37F7-4C1A-9441-FBB9095CC557}"/>
    <cellStyle name="Normal 2 4 2 4 3 2 5" xfId="9331" xr:uid="{11922681-D909-4C10-AADA-B1B25B25784D}"/>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24555" xr:uid="{E4046344-B241-4A1A-8388-341CAE204BC7}"/>
    <cellStyle name="Normal 2 4 2 4 3 3 2 2 3" xfId="16107" xr:uid="{0917CBED-1171-46E2-89C9-2728DC85B43B}"/>
    <cellStyle name="Normal 2 4 2 4 3 3 2 3" xfId="20337" xr:uid="{7E46F86E-791C-4EAE-A51D-C1A92D5A8520}"/>
    <cellStyle name="Normal 2 4 2 4 3 3 2 4" xfId="11889" xr:uid="{EC9EF9B9-92F9-4740-A0BF-E9CBD5361FEA}"/>
    <cellStyle name="Normal 2 4 2 4 3 3 3" xfId="5512" xr:uid="{00000000-0005-0000-0000-0000670F0000}"/>
    <cellStyle name="Normal 2 4 2 4 3 3 3 2" xfId="22410" xr:uid="{70206417-8B37-4E38-B8C6-2A9C9520C7EC}"/>
    <cellStyle name="Normal 2 4 2 4 3 3 3 3" xfId="13962" xr:uid="{BF5D6794-C585-44F4-BDBF-E2FF23E570C7}"/>
    <cellStyle name="Normal 2 4 2 4 3 3 4" xfId="18192" xr:uid="{511A4135-5F13-47C2-8D76-56802AC9D129}"/>
    <cellStyle name="Normal 2 4 2 4 3 3 5" xfId="9744" xr:uid="{EC4790F0-669F-42E8-B95D-8399517E8D7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24968" xr:uid="{80A429D0-F04D-4EBC-982A-3211021D44A6}"/>
    <cellStyle name="Normal 2 4 2 4 3 4 2 2 3" xfId="16520" xr:uid="{7D4A42A7-7D42-49CD-9889-4EF9779811A7}"/>
    <cellStyle name="Normal 2 4 2 4 3 4 2 3" xfId="20750" xr:uid="{4D662CF4-C815-417D-B8E6-0B0CAE8287F5}"/>
    <cellStyle name="Normal 2 4 2 4 3 4 2 4" xfId="12302" xr:uid="{0CB40B28-041D-4737-88B4-07E28A5FC45A}"/>
    <cellStyle name="Normal 2 4 2 4 3 4 3" xfId="5925" xr:uid="{00000000-0005-0000-0000-00006B0F0000}"/>
    <cellStyle name="Normal 2 4 2 4 3 4 3 2" xfId="22823" xr:uid="{41C88BC0-232B-4E79-8938-329CACA94FFB}"/>
    <cellStyle name="Normal 2 4 2 4 3 4 3 3" xfId="14375" xr:uid="{5EF94580-9812-4A60-9D41-F06583D9DC0C}"/>
    <cellStyle name="Normal 2 4 2 4 3 4 4" xfId="18605" xr:uid="{50F5E453-B950-4C66-8D9E-8440EC145DD7}"/>
    <cellStyle name="Normal 2 4 2 4 3 4 5" xfId="10157" xr:uid="{443DFEA6-500A-44B5-A5F3-47FFB113E272}"/>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25381" xr:uid="{A1DC6F86-E79A-416B-9BA1-BF2DC2D51BF2}"/>
    <cellStyle name="Normal 2 4 2 4 3 5 2 2 3" xfId="16933" xr:uid="{A05A2DFF-7A33-497D-A432-159C6C833885}"/>
    <cellStyle name="Normal 2 4 2 4 3 5 2 3" xfId="21163" xr:uid="{ED866D21-D9E8-42DC-9652-14502E1912DC}"/>
    <cellStyle name="Normal 2 4 2 4 3 5 2 4" xfId="12715" xr:uid="{BA24A365-E815-4A16-B5C7-03BEF7751668}"/>
    <cellStyle name="Normal 2 4 2 4 3 5 3" xfId="6338" xr:uid="{00000000-0005-0000-0000-00006F0F0000}"/>
    <cellStyle name="Normal 2 4 2 4 3 5 3 2" xfId="23236" xr:uid="{56C0F84B-E7BE-4124-903E-0D3336C2B006}"/>
    <cellStyle name="Normal 2 4 2 4 3 5 3 3" xfId="14788" xr:uid="{EF807FC0-EF5E-439B-B149-D4996FA6129B}"/>
    <cellStyle name="Normal 2 4 2 4 3 5 4" xfId="19018" xr:uid="{9ED26187-CB19-4E5E-8B3F-4E20F7F10A05}"/>
    <cellStyle name="Normal 2 4 2 4 3 5 5" xfId="10570" xr:uid="{723B71BD-3990-4ADE-A91D-C68138F03519}"/>
    <cellStyle name="Normal 2 4 2 4 3 6" xfId="2468" xr:uid="{00000000-0005-0000-0000-0000700F0000}"/>
    <cellStyle name="Normal 2 4 2 4 3 6 2" xfId="6751" xr:uid="{00000000-0005-0000-0000-0000710F0000}"/>
    <cellStyle name="Normal 2 4 2 4 3 6 2 2" xfId="23649" xr:uid="{822F7F2D-1637-4D74-B4FE-D03642D11009}"/>
    <cellStyle name="Normal 2 4 2 4 3 6 2 3" xfId="15201" xr:uid="{709F6D01-94F7-44BC-9840-DE11902E6FE7}"/>
    <cellStyle name="Normal 2 4 2 4 3 6 3" xfId="19431" xr:uid="{3D574172-A534-4031-8300-4B245147A195}"/>
    <cellStyle name="Normal 2 4 2 4 3 6 4" xfId="10983" xr:uid="{DEF056EE-09CC-48A7-BC06-71BEC30882FC}"/>
    <cellStyle name="Normal 2 4 2 4 3 7" xfId="4685" xr:uid="{00000000-0005-0000-0000-0000720F0000}"/>
    <cellStyle name="Normal 2 4 2 4 3 7 2" xfId="21583" xr:uid="{A1A8975E-A434-4A48-A6A2-867D0426B9EF}"/>
    <cellStyle name="Normal 2 4 2 4 3 7 3" xfId="13135" xr:uid="{49EE05CD-10A6-45BC-8D98-760806CB2313}"/>
    <cellStyle name="Normal 2 4 2 4 3 8" xfId="17365" xr:uid="{37965C89-1A73-41D3-99CE-4532601CCA98}"/>
    <cellStyle name="Normal 2 4 2 4 3 9" xfId="8917" xr:uid="{B526EFB2-98AB-447D-B2CB-FAFF2AB7EF32}"/>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24139" xr:uid="{0198A89F-74CC-4BF4-A5D8-1AAA21C76C87}"/>
    <cellStyle name="Normal 2 4 2 4 4 2 2 3" xfId="15691" xr:uid="{E7BF64D8-6C81-481F-9B87-3F4C20F4BC0B}"/>
    <cellStyle name="Normal 2 4 2 4 4 2 3" xfId="19921" xr:uid="{FD41C6AD-9B57-40BD-A906-14996AB04843}"/>
    <cellStyle name="Normal 2 4 2 4 4 2 4" xfId="11473" xr:uid="{797BCDC1-ADB9-4C9E-A154-C55CAA310640}"/>
    <cellStyle name="Normal 2 4 2 4 4 3" xfId="5096" xr:uid="{00000000-0005-0000-0000-0000760F0000}"/>
    <cellStyle name="Normal 2 4 2 4 4 3 2" xfId="21994" xr:uid="{8A55668C-6CF0-45D2-BD59-B9C27557850C}"/>
    <cellStyle name="Normal 2 4 2 4 4 3 3" xfId="13546" xr:uid="{342B4753-B4FA-40F3-B597-798DE7CB2782}"/>
    <cellStyle name="Normal 2 4 2 4 4 4" xfId="17776" xr:uid="{9C3D88E1-6A14-44BA-A674-FE890C3639BD}"/>
    <cellStyle name="Normal 2 4 2 4 4 5" xfId="9328" xr:uid="{040BFE30-CBF8-44FC-B008-82C14F16C109}"/>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24552" xr:uid="{5F7E9840-76F2-4B78-8E00-5D6F18ACE9C6}"/>
    <cellStyle name="Normal 2 4 2 4 5 2 2 3" xfId="16104" xr:uid="{1051FD72-09DA-4473-B0E8-33E84338FD72}"/>
    <cellStyle name="Normal 2 4 2 4 5 2 3" xfId="20334" xr:uid="{7C3AC6BE-C463-471E-B60C-19D566D955E5}"/>
    <cellStyle name="Normal 2 4 2 4 5 2 4" xfId="11886" xr:uid="{B649D7EE-4B8C-4190-8473-1C6D7DBCF871}"/>
    <cellStyle name="Normal 2 4 2 4 5 3" xfId="5509" xr:uid="{00000000-0005-0000-0000-00007A0F0000}"/>
    <cellStyle name="Normal 2 4 2 4 5 3 2" xfId="22407" xr:uid="{9D7147BD-41CF-4D13-8B8A-69D2D0A08CB0}"/>
    <cellStyle name="Normal 2 4 2 4 5 3 3" xfId="13959" xr:uid="{ED7590A6-B8FC-4BAA-BB80-998A99E00A79}"/>
    <cellStyle name="Normal 2 4 2 4 5 4" xfId="18189" xr:uid="{02FF1388-CD34-48DF-9630-EC933D84F10A}"/>
    <cellStyle name="Normal 2 4 2 4 5 5" xfId="9741" xr:uid="{711D9E62-B141-41EF-97C3-23A378F31BC0}"/>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24965" xr:uid="{91D7F637-5DC2-49FD-8971-9014C7E8E2AE}"/>
    <cellStyle name="Normal 2 4 2 4 6 2 2 3" xfId="16517" xr:uid="{CAC14904-782F-4705-8E8E-4393A4B87DB2}"/>
    <cellStyle name="Normal 2 4 2 4 6 2 3" xfId="20747" xr:uid="{146939CF-186B-4B13-880B-8FC5193EF242}"/>
    <cellStyle name="Normal 2 4 2 4 6 2 4" xfId="12299" xr:uid="{51E9442F-95FC-4912-AB6D-FFE37AF1FC4A}"/>
    <cellStyle name="Normal 2 4 2 4 6 3" xfId="5922" xr:uid="{00000000-0005-0000-0000-00007E0F0000}"/>
    <cellStyle name="Normal 2 4 2 4 6 3 2" xfId="22820" xr:uid="{1155412E-EEA4-47CF-A35D-DA1CC37E3D58}"/>
    <cellStyle name="Normal 2 4 2 4 6 3 3" xfId="14372" xr:uid="{A31E8F85-85CC-4A56-B38C-42C3ED51979C}"/>
    <cellStyle name="Normal 2 4 2 4 6 4" xfId="18602" xr:uid="{09668CF5-16A1-49FE-BD05-EABDA8EDC587}"/>
    <cellStyle name="Normal 2 4 2 4 6 5" xfId="10154" xr:uid="{D045018A-02D1-4DB5-B29D-4126E56127D2}"/>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25378" xr:uid="{0EB90B62-5AD9-4B7E-A921-DC9916DACEB4}"/>
    <cellStyle name="Normal 2 4 2 4 7 2 2 3" xfId="16930" xr:uid="{4130FFB5-6C51-4583-A123-3E7106A47E39}"/>
    <cellStyle name="Normal 2 4 2 4 7 2 3" xfId="21160" xr:uid="{1E037AFC-4CCB-4C37-8DF9-BFC1252710FF}"/>
    <cellStyle name="Normal 2 4 2 4 7 2 4" xfId="12712" xr:uid="{E0B1FFEB-BF8F-43A3-997D-55FCD08D7FB7}"/>
    <cellStyle name="Normal 2 4 2 4 7 3" xfId="6335" xr:uid="{00000000-0005-0000-0000-0000820F0000}"/>
    <cellStyle name="Normal 2 4 2 4 7 3 2" xfId="23233" xr:uid="{952E4C0C-FD56-4407-A7BC-35053A135DF3}"/>
    <cellStyle name="Normal 2 4 2 4 7 3 3" xfId="14785" xr:uid="{3766A60D-CCE6-4485-9719-DFB2E622DDE6}"/>
    <cellStyle name="Normal 2 4 2 4 7 4" xfId="19015" xr:uid="{3364390F-47D4-4F88-AF90-F701164BCFB7}"/>
    <cellStyle name="Normal 2 4 2 4 7 5" xfId="10567" xr:uid="{83636F2C-3264-4E5F-89A1-80F17CD84A92}"/>
    <cellStyle name="Normal 2 4 2 4 8" xfId="2465" xr:uid="{00000000-0005-0000-0000-0000830F0000}"/>
    <cellStyle name="Normal 2 4 2 4 8 2" xfId="6748" xr:uid="{00000000-0005-0000-0000-0000840F0000}"/>
    <cellStyle name="Normal 2 4 2 4 8 2 2" xfId="23646" xr:uid="{A3334F7E-0A91-4B61-9CEE-39FFD5789CCD}"/>
    <cellStyle name="Normal 2 4 2 4 8 2 3" xfId="15198" xr:uid="{A98C8FA2-4CDA-43CD-86A9-470D12F86165}"/>
    <cellStyle name="Normal 2 4 2 4 8 3" xfId="19428" xr:uid="{92CACD91-42AD-4689-A0BB-69F61F2C3A87}"/>
    <cellStyle name="Normal 2 4 2 4 8 4" xfId="10980" xr:uid="{38D864FA-6BE5-46B9-9F75-9C8360EC806F}"/>
    <cellStyle name="Normal 2 4 2 4 9" xfId="4682" xr:uid="{00000000-0005-0000-0000-0000850F0000}"/>
    <cellStyle name="Normal 2 4 2 4 9 2" xfId="21580" xr:uid="{EE5F4C3F-D15B-4FA1-8479-714A2803AB25}"/>
    <cellStyle name="Normal 2 4 2 4 9 3" xfId="13132" xr:uid="{97F94CF1-8340-4FB4-9934-2EA8393AEE9E}"/>
    <cellStyle name="Normal 2 4 2 5" xfId="293" xr:uid="{00000000-0005-0000-0000-0000860F0000}"/>
    <cellStyle name="Normal 2 4 2 5 10" xfId="8918" xr:uid="{C5F7AA9D-53A6-4C51-9163-A9E1F3E16554}"/>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24144" xr:uid="{3038F4AD-2C6F-4C96-867B-D0506885A2D3}"/>
    <cellStyle name="Normal 2 4 2 5 2 2 2 2 3" xfId="15696" xr:uid="{AA93BBF6-F059-45A3-90D6-676B3D773106}"/>
    <cellStyle name="Normal 2 4 2 5 2 2 2 3" xfId="19926" xr:uid="{39AE65CF-F564-45BB-B341-E6484B1BC800}"/>
    <cellStyle name="Normal 2 4 2 5 2 2 2 4" xfId="11478" xr:uid="{AAFB24D4-12BA-474A-B7AC-DC58279C031D}"/>
    <cellStyle name="Normal 2 4 2 5 2 2 3" xfId="5101" xr:uid="{00000000-0005-0000-0000-00008B0F0000}"/>
    <cellStyle name="Normal 2 4 2 5 2 2 3 2" xfId="21999" xr:uid="{A48561D1-DC4B-4098-BD38-7E3ED97E39C9}"/>
    <cellStyle name="Normal 2 4 2 5 2 2 3 3" xfId="13551" xr:uid="{3768C352-26F0-486A-A621-FC8A1E13491D}"/>
    <cellStyle name="Normal 2 4 2 5 2 2 4" xfId="17781" xr:uid="{F2632411-3BE8-43B0-9E2E-2DC4601D3B62}"/>
    <cellStyle name="Normal 2 4 2 5 2 2 5" xfId="9333" xr:uid="{0699DB78-9FE6-46C3-A045-7CB65AB663B2}"/>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24557" xr:uid="{FC335E35-D093-4390-B6D6-BA36F865B2FA}"/>
    <cellStyle name="Normal 2 4 2 5 2 3 2 2 3" xfId="16109" xr:uid="{9D798AAF-7CF5-4319-A4DB-B66999841749}"/>
    <cellStyle name="Normal 2 4 2 5 2 3 2 3" xfId="20339" xr:uid="{0EC187FF-AEF7-4B95-8403-B81B4215E7C3}"/>
    <cellStyle name="Normal 2 4 2 5 2 3 2 4" xfId="11891" xr:uid="{3BDC0903-0303-4104-AAAA-059976E80151}"/>
    <cellStyle name="Normal 2 4 2 5 2 3 3" xfId="5514" xr:uid="{00000000-0005-0000-0000-00008F0F0000}"/>
    <cellStyle name="Normal 2 4 2 5 2 3 3 2" xfId="22412" xr:uid="{607D8F2E-1002-41BE-B34F-1BE35F99292B}"/>
    <cellStyle name="Normal 2 4 2 5 2 3 3 3" xfId="13964" xr:uid="{2FC635AE-ABCB-4608-B7AC-7E11078C98F7}"/>
    <cellStyle name="Normal 2 4 2 5 2 3 4" xfId="18194" xr:uid="{40AE02D6-C52A-41E0-8E05-E3B42E14C031}"/>
    <cellStyle name="Normal 2 4 2 5 2 3 5" xfId="9746" xr:uid="{95FFC468-DE74-47F9-B06B-7B0E6CEEB993}"/>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24970" xr:uid="{45EBD203-A591-4C96-8382-05E2327FA9AF}"/>
    <cellStyle name="Normal 2 4 2 5 2 4 2 2 3" xfId="16522" xr:uid="{4DA54042-C3BC-451D-BC1A-C45761AE69D9}"/>
    <cellStyle name="Normal 2 4 2 5 2 4 2 3" xfId="20752" xr:uid="{84280946-334D-4107-B3C8-BB1045DEDE79}"/>
    <cellStyle name="Normal 2 4 2 5 2 4 2 4" xfId="12304" xr:uid="{42E36A56-F28B-4C41-B99E-F13EF267DE71}"/>
    <cellStyle name="Normal 2 4 2 5 2 4 3" xfId="5927" xr:uid="{00000000-0005-0000-0000-0000930F0000}"/>
    <cellStyle name="Normal 2 4 2 5 2 4 3 2" xfId="22825" xr:uid="{B05DA139-56EA-4965-84AA-772535F28C63}"/>
    <cellStyle name="Normal 2 4 2 5 2 4 3 3" xfId="14377" xr:uid="{62B7B99D-C7B2-49E4-9BFA-7CCFAA28526F}"/>
    <cellStyle name="Normal 2 4 2 5 2 4 4" xfId="18607" xr:uid="{60669412-7F26-4CF0-9CCC-369681950C2D}"/>
    <cellStyle name="Normal 2 4 2 5 2 4 5" xfId="10159" xr:uid="{1C0284A2-88EA-4516-B271-538924AED67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25383" xr:uid="{99CCE136-248A-48D8-9708-DEACED4E2492}"/>
    <cellStyle name="Normal 2 4 2 5 2 5 2 2 3" xfId="16935" xr:uid="{D0D6E603-CA09-4BC1-9526-3D65337ED0ED}"/>
    <cellStyle name="Normal 2 4 2 5 2 5 2 3" xfId="21165" xr:uid="{F3B0BF4B-8E68-4E04-8B79-BD3C0CDEB512}"/>
    <cellStyle name="Normal 2 4 2 5 2 5 2 4" xfId="12717" xr:uid="{8300C1C6-777D-489E-8941-918C57D9CDF0}"/>
    <cellStyle name="Normal 2 4 2 5 2 5 3" xfId="6340" xr:uid="{00000000-0005-0000-0000-0000970F0000}"/>
    <cellStyle name="Normal 2 4 2 5 2 5 3 2" xfId="23238" xr:uid="{DCD55918-4E37-4748-9310-DBFAE138DBC7}"/>
    <cellStyle name="Normal 2 4 2 5 2 5 3 3" xfId="14790" xr:uid="{EF318514-E3E5-471A-87A2-C66C5C06436E}"/>
    <cellStyle name="Normal 2 4 2 5 2 5 4" xfId="19020" xr:uid="{FE585199-C9BC-4DA8-BF6C-8E10AEBBB238}"/>
    <cellStyle name="Normal 2 4 2 5 2 5 5" xfId="10572" xr:uid="{968B7441-4A61-402C-A36B-0FD9811FE55D}"/>
    <cellStyle name="Normal 2 4 2 5 2 6" xfId="2470" xr:uid="{00000000-0005-0000-0000-0000980F0000}"/>
    <cellStyle name="Normal 2 4 2 5 2 6 2" xfId="6753" xr:uid="{00000000-0005-0000-0000-0000990F0000}"/>
    <cellStyle name="Normal 2 4 2 5 2 6 2 2" xfId="23651" xr:uid="{ADB2C3C5-6B6F-4288-A2D6-E3A43B5200D9}"/>
    <cellStyle name="Normal 2 4 2 5 2 6 2 3" xfId="15203" xr:uid="{DE459115-9689-4F59-837D-0530F2CF163B}"/>
    <cellStyle name="Normal 2 4 2 5 2 6 3" xfId="19433" xr:uid="{9D4B3EC6-F429-4CA2-8CFF-EC93BEF65A8D}"/>
    <cellStyle name="Normal 2 4 2 5 2 6 4" xfId="10985" xr:uid="{6A426C9C-FA23-4B16-9845-28027F4626DE}"/>
    <cellStyle name="Normal 2 4 2 5 2 7" xfId="4687" xr:uid="{00000000-0005-0000-0000-00009A0F0000}"/>
    <cellStyle name="Normal 2 4 2 5 2 7 2" xfId="21585" xr:uid="{4E31193D-92EC-4292-99AB-08038AADE220}"/>
    <cellStyle name="Normal 2 4 2 5 2 7 3" xfId="13137" xr:uid="{BF4665D7-6F8F-4B56-A238-A15F86836955}"/>
    <cellStyle name="Normal 2 4 2 5 2 8" xfId="17367" xr:uid="{E20391EB-B270-42D6-9A6A-B84DBA8BA438}"/>
    <cellStyle name="Normal 2 4 2 5 2 9" xfId="8919" xr:uid="{C66BA2D4-FEB7-4099-813E-DFEC3C90B2EF}"/>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24143" xr:uid="{7B8737CB-4D5E-4CA5-A02C-FED4196023C4}"/>
    <cellStyle name="Normal 2 4 2 5 3 2 2 3" xfId="15695" xr:uid="{B4FE07E7-AF24-40FC-872F-E88454E60CC6}"/>
    <cellStyle name="Normal 2 4 2 5 3 2 3" xfId="19925" xr:uid="{816412A7-C60D-4E90-93A4-FC76D3E11E85}"/>
    <cellStyle name="Normal 2 4 2 5 3 2 4" xfId="11477" xr:uid="{FDC412C3-693E-47C3-AEF2-B37165DFA6B0}"/>
    <cellStyle name="Normal 2 4 2 5 3 3" xfId="5100" xr:uid="{00000000-0005-0000-0000-00009E0F0000}"/>
    <cellStyle name="Normal 2 4 2 5 3 3 2" xfId="21998" xr:uid="{1CF73EE9-04B6-4BE6-9CE7-087F7295719A}"/>
    <cellStyle name="Normal 2 4 2 5 3 3 3" xfId="13550" xr:uid="{AAC30F2D-C26A-45F0-89DD-FCE5B67D0D9A}"/>
    <cellStyle name="Normal 2 4 2 5 3 4" xfId="17780" xr:uid="{236A5EAA-44AB-4040-811D-4090D0A2BE38}"/>
    <cellStyle name="Normal 2 4 2 5 3 5" xfId="9332" xr:uid="{A72D9E14-BAE0-4D79-8F56-C16585B1E4AC}"/>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24556" xr:uid="{28CF2CA8-1D36-49C1-B6DC-8E3238380E73}"/>
    <cellStyle name="Normal 2 4 2 5 4 2 2 3" xfId="16108" xr:uid="{A9D8FB59-ADCF-41B9-8A9F-1094B6CD3728}"/>
    <cellStyle name="Normal 2 4 2 5 4 2 3" xfId="20338" xr:uid="{E0AB69CD-E4BD-418B-BD8C-24243F0A5B25}"/>
    <cellStyle name="Normal 2 4 2 5 4 2 4" xfId="11890" xr:uid="{BF64088C-69F1-4A97-8A66-0BA7555DEF24}"/>
    <cellStyle name="Normal 2 4 2 5 4 3" xfId="5513" xr:uid="{00000000-0005-0000-0000-0000A20F0000}"/>
    <cellStyle name="Normal 2 4 2 5 4 3 2" xfId="22411" xr:uid="{7DA9B0DE-CCB2-4B89-AEE8-47E6B36F5FCF}"/>
    <cellStyle name="Normal 2 4 2 5 4 3 3" xfId="13963" xr:uid="{AFABC96B-A7E9-4C15-AAAF-BDCACA7E610C}"/>
    <cellStyle name="Normal 2 4 2 5 4 4" xfId="18193" xr:uid="{9AB509FA-2725-4388-992B-B6FE9D2A7F8F}"/>
    <cellStyle name="Normal 2 4 2 5 4 5" xfId="9745" xr:uid="{C4E03245-5246-4D3B-B588-C619D6882A9C}"/>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24969" xr:uid="{42CA6FC4-B5C3-41B8-8E13-3983D8D155A6}"/>
    <cellStyle name="Normal 2 4 2 5 5 2 2 3" xfId="16521" xr:uid="{297A2709-4F22-4AF9-B05F-DF675961CD34}"/>
    <cellStyle name="Normal 2 4 2 5 5 2 3" xfId="20751" xr:uid="{98E3BE56-EA72-4C1B-8E9F-0CFB137985CA}"/>
    <cellStyle name="Normal 2 4 2 5 5 2 4" xfId="12303" xr:uid="{ACD1D822-7D54-4A65-9BB3-10719AA6EF45}"/>
    <cellStyle name="Normal 2 4 2 5 5 3" xfId="5926" xr:uid="{00000000-0005-0000-0000-0000A60F0000}"/>
    <cellStyle name="Normal 2 4 2 5 5 3 2" xfId="22824" xr:uid="{D02B7D74-01AA-4898-84CB-918F59015C05}"/>
    <cellStyle name="Normal 2 4 2 5 5 3 3" xfId="14376" xr:uid="{E0862FF8-E67A-4AC8-AF79-202A71416D86}"/>
    <cellStyle name="Normal 2 4 2 5 5 4" xfId="18606" xr:uid="{CB8C9AFF-3830-4E93-9366-5BE4EEE39087}"/>
    <cellStyle name="Normal 2 4 2 5 5 5" xfId="10158" xr:uid="{89D8546F-8AFD-4C1C-9CE1-85B70285B317}"/>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25382" xr:uid="{851965B7-E91F-4F3A-91AE-3F0D78014627}"/>
    <cellStyle name="Normal 2 4 2 5 6 2 2 3" xfId="16934" xr:uid="{83598E6E-BAC0-461D-B0CB-ADC73BC2FBE0}"/>
    <cellStyle name="Normal 2 4 2 5 6 2 3" xfId="21164" xr:uid="{F90C85C7-C984-4D46-BE19-316631E87ECB}"/>
    <cellStyle name="Normal 2 4 2 5 6 2 4" xfId="12716" xr:uid="{458DE7C7-DDB9-4A02-B150-EF337771D652}"/>
    <cellStyle name="Normal 2 4 2 5 6 3" xfId="6339" xr:uid="{00000000-0005-0000-0000-0000AA0F0000}"/>
    <cellStyle name="Normal 2 4 2 5 6 3 2" xfId="23237" xr:uid="{AD759F72-5871-41C0-B952-FB63F66B7960}"/>
    <cellStyle name="Normal 2 4 2 5 6 3 3" xfId="14789" xr:uid="{800A3F87-BCA7-45C9-B494-F976BA2B52FB}"/>
    <cellStyle name="Normal 2 4 2 5 6 4" xfId="19019" xr:uid="{022F4107-F927-46F3-AA00-8B0CDBD353D6}"/>
    <cellStyle name="Normal 2 4 2 5 6 5" xfId="10571" xr:uid="{DE180650-F429-4637-B6A9-30B17AD8608A}"/>
    <cellStyle name="Normal 2 4 2 5 7" xfId="2469" xr:uid="{00000000-0005-0000-0000-0000AB0F0000}"/>
    <cellStyle name="Normal 2 4 2 5 7 2" xfId="6752" xr:uid="{00000000-0005-0000-0000-0000AC0F0000}"/>
    <cellStyle name="Normal 2 4 2 5 7 2 2" xfId="23650" xr:uid="{E12BB01B-DDC2-4734-A920-FCF9B6D26D79}"/>
    <cellStyle name="Normal 2 4 2 5 7 2 3" xfId="15202" xr:uid="{1FCDF89C-230C-4635-A06B-64B741008761}"/>
    <cellStyle name="Normal 2 4 2 5 7 3" xfId="19432" xr:uid="{FF2D5CE3-0B3C-4501-8F1E-02A9A0C3DA4B}"/>
    <cellStyle name="Normal 2 4 2 5 7 4" xfId="10984" xr:uid="{3DED9DC2-F028-43E9-BEC6-6CF7CBF41489}"/>
    <cellStyle name="Normal 2 4 2 5 8" xfId="4686" xr:uid="{00000000-0005-0000-0000-0000AD0F0000}"/>
    <cellStyle name="Normal 2 4 2 5 8 2" xfId="21584" xr:uid="{D029AE83-0E5F-4909-BCD9-D22D608C4955}"/>
    <cellStyle name="Normal 2 4 2 5 8 3" xfId="13136" xr:uid="{01D2FEDB-0312-49A2-B632-4CC2E8AD548B}"/>
    <cellStyle name="Normal 2 4 2 5 9" xfId="17366" xr:uid="{0F579DDB-BD34-4512-AD2B-DA854AA2EC01}"/>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24145" xr:uid="{13AF3E88-2753-4B9E-A2D0-9EC27C96363E}"/>
    <cellStyle name="Normal 2 4 2 6 2 2 2 3" xfId="15697" xr:uid="{3575CC73-AF20-470B-AE17-71BEE6F88B08}"/>
    <cellStyle name="Normal 2 4 2 6 2 2 3" xfId="19927" xr:uid="{3FA1BE4E-E160-4C97-B2AE-4B672071A2F2}"/>
    <cellStyle name="Normal 2 4 2 6 2 2 4" xfId="11479" xr:uid="{23889DC9-291D-4728-BCC4-D9D532CE0B97}"/>
    <cellStyle name="Normal 2 4 2 6 2 3" xfId="5102" xr:uid="{00000000-0005-0000-0000-0000B20F0000}"/>
    <cellStyle name="Normal 2 4 2 6 2 3 2" xfId="22000" xr:uid="{A473F942-F413-4472-8F47-5ECB92AAF709}"/>
    <cellStyle name="Normal 2 4 2 6 2 3 3" xfId="13552" xr:uid="{98A98057-7E4A-44CF-98C3-87906B0D4156}"/>
    <cellStyle name="Normal 2 4 2 6 2 4" xfId="17782" xr:uid="{4A67EF8A-E787-4622-9A83-2F2AF43CD6AB}"/>
    <cellStyle name="Normal 2 4 2 6 2 5" xfId="9334" xr:uid="{127CB0E2-39DD-4419-866C-E0BDF25E38D3}"/>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24558" xr:uid="{887C69EE-6C75-48E8-997A-E08832454F5B}"/>
    <cellStyle name="Normal 2 4 2 6 3 2 2 3" xfId="16110" xr:uid="{4C0D7341-AA75-4647-B04B-99922F773D66}"/>
    <cellStyle name="Normal 2 4 2 6 3 2 3" xfId="20340" xr:uid="{3B8AD12D-F616-4007-9D7D-E25CF8BD4538}"/>
    <cellStyle name="Normal 2 4 2 6 3 2 4" xfId="11892" xr:uid="{FBECEBAF-E02E-469E-8F63-BC524DC57B03}"/>
    <cellStyle name="Normal 2 4 2 6 3 3" xfId="5515" xr:uid="{00000000-0005-0000-0000-0000B60F0000}"/>
    <cellStyle name="Normal 2 4 2 6 3 3 2" xfId="22413" xr:uid="{64C8AE7B-2818-4EB1-824E-A16BA462E142}"/>
    <cellStyle name="Normal 2 4 2 6 3 3 3" xfId="13965" xr:uid="{1A90FD29-B009-4DCF-BC8F-C5CCF24876F5}"/>
    <cellStyle name="Normal 2 4 2 6 3 4" xfId="18195" xr:uid="{5E43A3C6-111C-4DBA-B3B8-8E9CC4274105}"/>
    <cellStyle name="Normal 2 4 2 6 3 5" xfId="9747" xr:uid="{C4334E53-1B1D-4F7D-BE2C-52B2C88F64F9}"/>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24971" xr:uid="{22820AE4-7D13-4FBA-BE7E-ACF32D4C99BD}"/>
    <cellStyle name="Normal 2 4 2 6 4 2 2 3" xfId="16523" xr:uid="{B3A7B399-1253-4A75-885E-93B226F7243F}"/>
    <cellStyle name="Normal 2 4 2 6 4 2 3" xfId="20753" xr:uid="{352A60AD-2BF9-4820-91FB-7DC4BAA980DC}"/>
    <cellStyle name="Normal 2 4 2 6 4 2 4" xfId="12305" xr:uid="{362CE7D7-010A-4CC9-AA5A-4EAE9929DB12}"/>
    <cellStyle name="Normal 2 4 2 6 4 3" xfId="5928" xr:uid="{00000000-0005-0000-0000-0000BA0F0000}"/>
    <cellStyle name="Normal 2 4 2 6 4 3 2" xfId="22826" xr:uid="{1F3C6B68-A1AE-47A5-BFB2-218A5CB358D8}"/>
    <cellStyle name="Normal 2 4 2 6 4 3 3" xfId="14378" xr:uid="{D5E2349D-5E56-44BC-AAC6-6B0BC9CF9CA3}"/>
    <cellStyle name="Normal 2 4 2 6 4 4" xfId="18608" xr:uid="{91A88E5F-DA60-4325-B124-EED6A3DF6AD1}"/>
    <cellStyle name="Normal 2 4 2 6 4 5" xfId="10160" xr:uid="{0CA23ABF-FC11-4BB0-BD10-DF0683DE7DC5}"/>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25384" xr:uid="{CE26AA18-DBCA-44D3-A746-A214AFDA9070}"/>
    <cellStyle name="Normal 2 4 2 6 5 2 2 3" xfId="16936" xr:uid="{D4B662E2-98C4-474C-89F8-1388F40C597E}"/>
    <cellStyle name="Normal 2 4 2 6 5 2 3" xfId="21166" xr:uid="{FA80C0FE-2FC3-40F5-8FF3-787364A443DA}"/>
    <cellStyle name="Normal 2 4 2 6 5 2 4" xfId="12718" xr:uid="{0C7D83D4-E000-43E5-9658-0A9013DC7008}"/>
    <cellStyle name="Normal 2 4 2 6 5 3" xfId="6341" xr:uid="{00000000-0005-0000-0000-0000BE0F0000}"/>
    <cellStyle name="Normal 2 4 2 6 5 3 2" xfId="23239" xr:uid="{677700EC-C543-4773-AAD6-AA97CCE23570}"/>
    <cellStyle name="Normal 2 4 2 6 5 3 3" xfId="14791" xr:uid="{ABDB9DAF-C82A-46B1-8AAE-71E3E4FAC3D3}"/>
    <cellStyle name="Normal 2 4 2 6 5 4" xfId="19021" xr:uid="{271CAD43-ADD1-476B-9D2D-26C265EE5B10}"/>
    <cellStyle name="Normal 2 4 2 6 5 5" xfId="10573" xr:uid="{A3FE8A8A-CBBA-49BC-B5F2-B6758DA79568}"/>
    <cellStyle name="Normal 2 4 2 6 6" xfId="2471" xr:uid="{00000000-0005-0000-0000-0000BF0F0000}"/>
    <cellStyle name="Normal 2 4 2 6 6 2" xfId="6754" xr:uid="{00000000-0005-0000-0000-0000C00F0000}"/>
    <cellStyle name="Normal 2 4 2 6 6 2 2" xfId="23652" xr:uid="{3A4164D8-085C-4969-8E34-C9284FD5D603}"/>
    <cellStyle name="Normal 2 4 2 6 6 2 3" xfId="15204" xr:uid="{9D47745A-D740-4C18-B20F-46E291C33C02}"/>
    <cellStyle name="Normal 2 4 2 6 6 3" xfId="19434" xr:uid="{E1D16E00-F66A-4ADC-8125-94E7728B3161}"/>
    <cellStyle name="Normal 2 4 2 6 6 4" xfId="10986" xr:uid="{0FE33105-CF27-4C07-AE4A-AF96D5496DB0}"/>
    <cellStyle name="Normal 2 4 2 6 7" xfId="4688" xr:uid="{00000000-0005-0000-0000-0000C10F0000}"/>
    <cellStyle name="Normal 2 4 2 6 7 2" xfId="21586" xr:uid="{F16A22FE-A6DF-4E2E-8CCC-06D713D6AD0C}"/>
    <cellStyle name="Normal 2 4 2 6 7 3" xfId="13138" xr:uid="{436C0E38-93E0-412D-9A04-7E3ADD2B583E}"/>
    <cellStyle name="Normal 2 4 2 6 8" xfId="17368" xr:uid="{5153C2DF-6502-4427-82E2-BC5332894F3A}"/>
    <cellStyle name="Normal 2 4 2 6 9" xfId="8920" xr:uid="{11151C36-88F8-49ED-85D9-83247C790379}"/>
    <cellStyle name="Normal 2 4 2 7" xfId="771" xr:uid="{00000000-0005-0000-0000-0000C20F0000}"/>
    <cellStyle name="Normal 2 4 2 7 2" xfId="3010" xr:uid="{00000000-0005-0000-0000-0000C30F0000}"/>
    <cellStyle name="Normal 2 4 2 7 2 2" xfId="7232" xr:uid="{00000000-0005-0000-0000-0000C40F0000}"/>
    <cellStyle name="Normal 2 4 2 7 2 2 2" xfId="24130" xr:uid="{69DF6B39-8EBE-4547-9BB1-AA2183FFE728}"/>
    <cellStyle name="Normal 2 4 2 7 2 2 3" xfId="15682" xr:uid="{E01AFFB7-BA93-41CC-B704-5FD0CA05059A}"/>
    <cellStyle name="Normal 2 4 2 7 2 3" xfId="19912" xr:uid="{EAAEE16C-1DAA-46CA-B443-2338E696E4F3}"/>
    <cellStyle name="Normal 2 4 2 7 2 4" xfId="11464" xr:uid="{C6089CE6-F423-42D1-8F0F-111E9AF5B295}"/>
    <cellStyle name="Normal 2 4 2 7 3" xfId="5087" xr:uid="{00000000-0005-0000-0000-0000C50F0000}"/>
    <cellStyle name="Normal 2 4 2 7 3 2" xfId="21985" xr:uid="{CB8EBEDD-8AEE-49CC-BAF2-0F45B15319DD}"/>
    <cellStyle name="Normal 2 4 2 7 3 3" xfId="13537" xr:uid="{82652422-2626-4975-9180-58F24B0CB423}"/>
    <cellStyle name="Normal 2 4 2 7 4" xfId="17767" xr:uid="{65CE1738-1423-4919-ABBE-14AA5D83FC56}"/>
    <cellStyle name="Normal 2 4 2 7 5" xfId="9319" xr:uid="{1A552A95-06D6-4461-9DD9-9A4F91B79719}"/>
    <cellStyle name="Normal 2 4 2 8" xfId="1193" xr:uid="{00000000-0005-0000-0000-0000C60F0000}"/>
    <cellStyle name="Normal 2 4 2 8 2" xfId="3423" xr:uid="{00000000-0005-0000-0000-0000C70F0000}"/>
    <cellStyle name="Normal 2 4 2 8 2 2" xfId="7645" xr:uid="{00000000-0005-0000-0000-0000C80F0000}"/>
    <cellStyle name="Normal 2 4 2 8 2 2 2" xfId="24543" xr:uid="{0D9F80F3-2A7B-423A-A264-94E2F4C40C90}"/>
    <cellStyle name="Normal 2 4 2 8 2 2 3" xfId="16095" xr:uid="{08491740-AB94-484B-B729-4B273FAFCE94}"/>
    <cellStyle name="Normal 2 4 2 8 2 3" xfId="20325" xr:uid="{D6B405DF-89EC-4FFC-B460-0E27DA3A502D}"/>
    <cellStyle name="Normal 2 4 2 8 2 4" xfId="11877" xr:uid="{8E3B1F70-12B8-4B80-A128-A1A28A811484}"/>
    <cellStyle name="Normal 2 4 2 8 3" xfId="5500" xr:uid="{00000000-0005-0000-0000-0000C90F0000}"/>
    <cellStyle name="Normal 2 4 2 8 3 2" xfId="22398" xr:uid="{94BFFC53-A514-49F3-BCDD-57EF827B60F6}"/>
    <cellStyle name="Normal 2 4 2 8 3 3" xfId="13950" xr:uid="{891EE7E6-01D5-45A8-B5A3-1D667537F282}"/>
    <cellStyle name="Normal 2 4 2 8 4" xfId="18180" xr:uid="{E6593BDB-2F49-4B2A-BF2C-D383B90CFCA3}"/>
    <cellStyle name="Normal 2 4 2 8 5" xfId="9732" xr:uid="{F5AB33A2-A604-4B7C-B208-2124176E5E24}"/>
    <cellStyle name="Normal 2 4 2 9" xfId="1606" xr:uid="{00000000-0005-0000-0000-0000CA0F0000}"/>
    <cellStyle name="Normal 2 4 2 9 2" xfId="3836" xr:uid="{00000000-0005-0000-0000-0000CB0F0000}"/>
    <cellStyle name="Normal 2 4 2 9 2 2" xfId="8058" xr:uid="{00000000-0005-0000-0000-0000CC0F0000}"/>
    <cellStyle name="Normal 2 4 2 9 2 2 2" xfId="24956" xr:uid="{F8498506-4A34-4193-813A-C7D19DF41B3E}"/>
    <cellStyle name="Normal 2 4 2 9 2 2 3" xfId="16508" xr:uid="{19499D4F-2695-4AAC-94C1-CF0473A5F8D3}"/>
    <cellStyle name="Normal 2 4 2 9 2 3" xfId="20738" xr:uid="{4AD985B9-0A46-42AE-A897-7AB8363B92E3}"/>
    <cellStyle name="Normal 2 4 2 9 2 4" xfId="12290" xr:uid="{FF95242D-EE1C-4E7B-BC37-6FA2E8A3C108}"/>
    <cellStyle name="Normal 2 4 2 9 3" xfId="5913" xr:uid="{00000000-0005-0000-0000-0000CD0F0000}"/>
    <cellStyle name="Normal 2 4 2 9 3 2" xfId="22811" xr:uid="{4F8D2171-602F-41C7-A47A-AC53C4DC3569}"/>
    <cellStyle name="Normal 2 4 2 9 3 3" xfId="14363" xr:uid="{CAC58F95-59EB-49D1-BA2B-C9BDE177336D}"/>
    <cellStyle name="Normal 2 4 2 9 4" xfId="18593" xr:uid="{32A03871-3AE3-413E-82BB-F0841FC91BAA}"/>
    <cellStyle name="Normal 2 4 2 9 5" xfId="10145" xr:uid="{E8C31C42-8607-4AB4-B3E1-B4677C5E8A6C}"/>
    <cellStyle name="Normal 2 4 3" xfId="296" xr:uid="{00000000-0005-0000-0000-0000CE0F0000}"/>
    <cellStyle name="Normal 2 4 3 10" xfId="17369" xr:uid="{E24E5049-CE47-4CAD-8077-7ECA6C9FDAC0}"/>
    <cellStyle name="Normal 2 4 3 11" xfId="8921" xr:uid="{48FDBF57-55EF-4C03-984E-FEDEC36E5A77}"/>
    <cellStyle name="Normal 2 4 3 2" xfId="297" xr:uid="{00000000-0005-0000-0000-0000CF0F0000}"/>
    <cellStyle name="Normal 2 4 3 3" xfId="298" xr:uid="{00000000-0005-0000-0000-0000D00F0000}"/>
    <cellStyle name="Normal 2 4 3 3 10" xfId="17370" xr:uid="{D94EF436-F99E-47E6-A69F-EEEC9584F772}"/>
    <cellStyle name="Normal 2 4 3 3 11" xfId="8922" xr:uid="{13E49989-C633-43C5-861E-F48D570A1E4A}"/>
    <cellStyle name="Normal 2 4 3 3 2" xfId="299" xr:uid="{00000000-0005-0000-0000-0000D10F0000}"/>
    <cellStyle name="Normal 2 4 3 3 2 10" xfId="8923" xr:uid="{32672C64-94FC-46A5-890D-F0476FEA3FA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24149" xr:uid="{3BB1A698-F020-49A6-91E4-3FEBAE55516C}"/>
    <cellStyle name="Normal 2 4 3 3 2 2 2 2 2 3" xfId="15701" xr:uid="{CF152745-DDF4-45FA-A7F0-06B056B84781}"/>
    <cellStyle name="Normal 2 4 3 3 2 2 2 2 3" xfId="19931" xr:uid="{751D79FD-892E-4E87-B80E-D624C7B41AA2}"/>
    <cellStyle name="Normal 2 4 3 3 2 2 2 2 4" xfId="11483" xr:uid="{085754CD-D8CD-4971-984D-3AD78999BB87}"/>
    <cellStyle name="Normal 2 4 3 3 2 2 2 3" xfId="5106" xr:uid="{00000000-0005-0000-0000-0000D60F0000}"/>
    <cellStyle name="Normal 2 4 3 3 2 2 2 3 2" xfId="22004" xr:uid="{A62A4748-927F-43DB-9A89-A0FCBFBBAC99}"/>
    <cellStyle name="Normal 2 4 3 3 2 2 2 3 3" xfId="13556" xr:uid="{BAF44B1F-EDC0-4DC7-AD33-127F7D15CAFD}"/>
    <cellStyle name="Normal 2 4 3 3 2 2 2 4" xfId="17786" xr:uid="{442EDE29-210E-4602-ABD9-F0082C071B65}"/>
    <cellStyle name="Normal 2 4 3 3 2 2 2 5" xfId="9338" xr:uid="{3848A7E8-E386-43AF-AFA1-135CD0235B1D}"/>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24562" xr:uid="{F6A765E3-0011-46E4-BFE6-10D1B1C91A78}"/>
    <cellStyle name="Normal 2 4 3 3 2 2 3 2 2 3" xfId="16114" xr:uid="{AC224CE5-EF0A-4CE8-8465-C43D215150E9}"/>
    <cellStyle name="Normal 2 4 3 3 2 2 3 2 3" xfId="20344" xr:uid="{48DE7E92-F18F-420D-B7C9-28C57BA24CB6}"/>
    <cellStyle name="Normal 2 4 3 3 2 2 3 2 4" xfId="11896" xr:uid="{EBE26CA7-2B9A-4FF4-97E5-1486B415CFDD}"/>
    <cellStyle name="Normal 2 4 3 3 2 2 3 3" xfId="5519" xr:uid="{00000000-0005-0000-0000-0000DA0F0000}"/>
    <cellStyle name="Normal 2 4 3 3 2 2 3 3 2" xfId="22417" xr:uid="{6C636735-22BA-45B5-82A0-626C6045AEE9}"/>
    <cellStyle name="Normal 2 4 3 3 2 2 3 3 3" xfId="13969" xr:uid="{8C5A4EE3-0848-4441-96CF-141C3ED53173}"/>
    <cellStyle name="Normal 2 4 3 3 2 2 3 4" xfId="18199" xr:uid="{5E5E36D7-32C1-4F51-A6AF-7D6D60D30989}"/>
    <cellStyle name="Normal 2 4 3 3 2 2 3 5" xfId="9751" xr:uid="{1A5E0C7D-32D4-4478-B699-AB091AE9A3B4}"/>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24975" xr:uid="{BFB20EC4-287A-4FFB-B1DA-1A83523F80D5}"/>
    <cellStyle name="Normal 2 4 3 3 2 2 4 2 2 3" xfId="16527" xr:uid="{D15143D6-4F9B-4CB0-89CB-3BC3525DE89C}"/>
    <cellStyle name="Normal 2 4 3 3 2 2 4 2 3" xfId="20757" xr:uid="{4D667842-0A90-4DB3-A203-F4BD4541F554}"/>
    <cellStyle name="Normal 2 4 3 3 2 2 4 2 4" xfId="12309" xr:uid="{A3F5D74E-CBC1-42C5-B73E-CF5303A6614C}"/>
    <cellStyle name="Normal 2 4 3 3 2 2 4 3" xfId="5932" xr:uid="{00000000-0005-0000-0000-0000DE0F0000}"/>
    <cellStyle name="Normal 2 4 3 3 2 2 4 3 2" xfId="22830" xr:uid="{11D7C44F-F1EC-4FF3-A6CC-60D39B0C9FC6}"/>
    <cellStyle name="Normal 2 4 3 3 2 2 4 3 3" xfId="14382" xr:uid="{1E4C3FF9-85E5-4B5B-8366-3DCDEBDF71EE}"/>
    <cellStyle name="Normal 2 4 3 3 2 2 4 4" xfId="18612" xr:uid="{17893AC4-1DBC-40F8-947A-290072280314}"/>
    <cellStyle name="Normal 2 4 3 3 2 2 4 5" xfId="10164" xr:uid="{6A1958BB-B82A-4E24-9DBD-D019354E48A1}"/>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25388" xr:uid="{B1A8E88E-DC20-4278-8CEF-535AB3008BD1}"/>
    <cellStyle name="Normal 2 4 3 3 2 2 5 2 2 3" xfId="16940" xr:uid="{2F952599-7024-4002-A222-F4A8F66F40DA}"/>
    <cellStyle name="Normal 2 4 3 3 2 2 5 2 3" xfId="21170" xr:uid="{AD157A52-B8FD-4F97-854B-CADB6FF5F56B}"/>
    <cellStyle name="Normal 2 4 3 3 2 2 5 2 4" xfId="12722" xr:uid="{B2290396-53C9-4DA4-AB52-6103152B55A0}"/>
    <cellStyle name="Normal 2 4 3 3 2 2 5 3" xfId="6345" xr:uid="{00000000-0005-0000-0000-0000E20F0000}"/>
    <cellStyle name="Normal 2 4 3 3 2 2 5 3 2" xfId="23243" xr:uid="{B10036AF-1549-4552-AE87-E4C662F0EEFB}"/>
    <cellStyle name="Normal 2 4 3 3 2 2 5 3 3" xfId="14795" xr:uid="{FE5EB206-35DA-4701-BAF0-1FB754FEBB53}"/>
    <cellStyle name="Normal 2 4 3 3 2 2 5 4" xfId="19025" xr:uid="{8A27D510-09EC-422E-9454-EBFC600EAB0F}"/>
    <cellStyle name="Normal 2 4 3 3 2 2 5 5" xfId="10577" xr:uid="{E0FB9154-001A-4F73-B4EC-3AC5FDA4D41E}"/>
    <cellStyle name="Normal 2 4 3 3 2 2 6" xfId="2475" xr:uid="{00000000-0005-0000-0000-0000E30F0000}"/>
    <cellStyle name="Normal 2 4 3 3 2 2 6 2" xfId="6758" xr:uid="{00000000-0005-0000-0000-0000E40F0000}"/>
    <cellStyle name="Normal 2 4 3 3 2 2 6 2 2" xfId="23656" xr:uid="{2A89742C-E955-4514-9B77-B0DEEBA7C1AA}"/>
    <cellStyle name="Normal 2 4 3 3 2 2 6 2 3" xfId="15208" xr:uid="{2FA30AF4-0E94-4041-8E7E-B44D169578C6}"/>
    <cellStyle name="Normal 2 4 3 3 2 2 6 3" xfId="19438" xr:uid="{AFD999CD-7EF1-41BF-AC59-9B8358626D20}"/>
    <cellStyle name="Normal 2 4 3 3 2 2 6 4" xfId="10990" xr:uid="{77375E7B-E07A-4933-A1D8-1D9BD3B2FCCF}"/>
    <cellStyle name="Normal 2 4 3 3 2 2 7" xfId="4692" xr:uid="{00000000-0005-0000-0000-0000E50F0000}"/>
    <cellStyle name="Normal 2 4 3 3 2 2 7 2" xfId="21590" xr:uid="{C9F6D32F-2509-4675-B274-7DC56614E419}"/>
    <cellStyle name="Normal 2 4 3 3 2 2 7 3" xfId="13142" xr:uid="{AC568A0D-80AC-45E3-B894-602A53262627}"/>
    <cellStyle name="Normal 2 4 3 3 2 2 8" xfId="17372" xr:uid="{90A074BD-1F18-40C8-AFAA-2ED361390657}"/>
    <cellStyle name="Normal 2 4 3 3 2 2 9" xfId="8924" xr:uid="{E7504225-A107-44F8-85B0-B15B6BBB4FE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24148" xr:uid="{38E130C1-D5A9-431E-884C-64279CBAEEC8}"/>
    <cellStyle name="Normal 2 4 3 3 2 3 2 2 3" xfId="15700" xr:uid="{A8F330DB-AE2E-42BE-AE9D-3F4C3F12B98F}"/>
    <cellStyle name="Normal 2 4 3 3 2 3 2 3" xfId="19930" xr:uid="{9E9C15A2-FB79-4F32-9B52-8A2CD3CF44AE}"/>
    <cellStyle name="Normal 2 4 3 3 2 3 2 4" xfId="11482" xr:uid="{E1C8F0C4-92A1-4268-8DB4-937FA24C13DF}"/>
    <cellStyle name="Normal 2 4 3 3 2 3 3" xfId="5105" xr:uid="{00000000-0005-0000-0000-0000E90F0000}"/>
    <cellStyle name="Normal 2 4 3 3 2 3 3 2" xfId="22003" xr:uid="{62F7FF4E-8916-436D-B7A1-4C1115A161F1}"/>
    <cellStyle name="Normal 2 4 3 3 2 3 3 3" xfId="13555" xr:uid="{3A73B75B-25BF-41C5-9C8F-2878A063C95E}"/>
    <cellStyle name="Normal 2 4 3 3 2 3 4" xfId="17785" xr:uid="{607DC31F-0868-4404-ABEA-19330A7E9F3C}"/>
    <cellStyle name="Normal 2 4 3 3 2 3 5" xfId="9337" xr:uid="{EF2A0D19-7324-456E-836B-FA66CD2AA75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24561" xr:uid="{8A62FC10-2975-4E3B-A93D-8F312CA840B5}"/>
    <cellStyle name="Normal 2 4 3 3 2 4 2 2 3" xfId="16113" xr:uid="{7BFCDDFC-E77B-4348-98B5-39192807C8A7}"/>
    <cellStyle name="Normal 2 4 3 3 2 4 2 3" xfId="20343" xr:uid="{A75273EE-9EF4-488B-A4A4-00EA2B13556F}"/>
    <cellStyle name="Normal 2 4 3 3 2 4 2 4" xfId="11895" xr:uid="{63C4DED3-34E1-4B99-A8E8-96232A4CA030}"/>
    <cellStyle name="Normal 2 4 3 3 2 4 3" xfId="5518" xr:uid="{00000000-0005-0000-0000-0000ED0F0000}"/>
    <cellStyle name="Normal 2 4 3 3 2 4 3 2" xfId="22416" xr:uid="{FB0E4C2A-3C27-431C-81E8-9B1E5D18083E}"/>
    <cellStyle name="Normal 2 4 3 3 2 4 3 3" xfId="13968" xr:uid="{1D8E4DEF-E2FA-4469-9747-8C86743DEB3D}"/>
    <cellStyle name="Normal 2 4 3 3 2 4 4" xfId="18198" xr:uid="{7FA355AC-FFB9-4AD2-B804-9A52BC1E2E65}"/>
    <cellStyle name="Normal 2 4 3 3 2 4 5" xfId="9750" xr:uid="{0536723F-1CC2-4F7A-A617-E81E2C808C24}"/>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24974" xr:uid="{A2BE980A-5751-4D9A-9DB8-0664AD33EF20}"/>
    <cellStyle name="Normal 2 4 3 3 2 5 2 2 3" xfId="16526" xr:uid="{C07DAB3F-ECFB-4BBA-AE41-A16A091FE023}"/>
    <cellStyle name="Normal 2 4 3 3 2 5 2 3" xfId="20756" xr:uid="{781C8FB2-0CC8-4AB6-B4CD-F489823438A4}"/>
    <cellStyle name="Normal 2 4 3 3 2 5 2 4" xfId="12308" xr:uid="{861CD7F6-824C-4B75-842A-A6E98BD2A117}"/>
    <cellStyle name="Normal 2 4 3 3 2 5 3" xfId="5931" xr:uid="{00000000-0005-0000-0000-0000F10F0000}"/>
    <cellStyle name="Normal 2 4 3 3 2 5 3 2" xfId="22829" xr:uid="{0921853E-EDCB-4B56-8B81-73306DDB9BCF}"/>
    <cellStyle name="Normal 2 4 3 3 2 5 3 3" xfId="14381" xr:uid="{8B9ED6AF-3E38-4852-AE11-9174249476C6}"/>
    <cellStyle name="Normal 2 4 3 3 2 5 4" xfId="18611" xr:uid="{F933A97E-02B2-40C2-A003-150ABCB5354C}"/>
    <cellStyle name="Normal 2 4 3 3 2 5 5" xfId="10163" xr:uid="{66BED58A-D949-4B85-9C89-F692ECFD92CA}"/>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25387" xr:uid="{34C69EA2-650C-46D3-9050-CF4AAD0ADC6D}"/>
    <cellStyle name="Normal 2 4 3 3 2 6 2 2 3" xfId="16939" xr:uid="{7A580051-495B-4E86-BF79-CB4BE8E96211}"/>
    <cellStyle name="Normal 2 4 3 3 2 6 2 3" xfId="21169" xr:uid="{07109499-449B-4F52-B86A-A96BEF1645EF}"/>
    <cellStyle name="Normal 2 4 3 3 2 6 2 4" xfId="12721" xr:uid="{CB468A8F-94AB-475C-9ED5-5293B77B3A10}"/>
    <cellStyle name="Normal 2 4 3 3 2 6 3" xfId="6344" xr:uid="{00000000-0005-0000-0000-0000F50F0000}"/>
    <cellStyle name="Normal 2 4 3 3 2 6 3 2" xfId="23242" xr:uid="{36AAFA7C-B258-45BE-8800-4E32B2EA5368}"/>
    <cellStyle name="Normal 2 4 3 3 2 6 3 3" xfId="14794" xr:uid="{C873885B-C599-4F14-BCE6-7F2B0EC3B566}"/>
    <cellStyle name="Normal 2 4 3 3 2 6 4" xfId="19024" xr:uid="{C2BDD6A0-1FFA-4802-9BEA-6D9BF4F8B22C}"/>
    <cellStyle name="Normal 2 4 3 3 2 6 5" xfId="10576" xr:uid="{720D1D04-EBC0-4DDB-88BE-D833C999D105}"/>
    <cellStyle name="Normal 2 4 3 3 2 7" xfId="2474" xr:uid="{00000000-0005-0000-0000-0000F60F0000}"/>
    <cellStyle name="Normal 2 4 3 3 2 7 2" xfId="6757" xr:uid="{00000000-0005-0000-0000-0000F70F0000}"/>
    <cellStyle name="Normal 2 4 3 3 2 7 2 2" xfId="23655" xr:uid="{B1F150EE-5700-4F5A-93FB-D24060F4EAC4}"/>
    <cellStyle name="Normal 2 4 3 3 2 7 2 3" xfId="15207" xr:uid="{B24FECC0-4AEB-48EF-A4D0-29F8D76EDF33}"/>
    <cellStyle name="Normal 2 4 3 3 2 7 3" xfId="19437" xr:uid="{02AF58FA-2A61-490D-A3EB-F9E3CD14FF61}"/>
    <cellStyle name="Normal 2 4 3 3 2 7 4" xfId="10989" xr:uid="{D9541005-56ED-4941-A7E9-4ED403AF7354}"/>
    <cellStyle name="Normal 2 4 3 3 2 8" xfId="4691" xr:uid="{00000000-0005-0000-0000-0000F80F0000}"/>
    <cellStyle name="Normal 2 4 3 3 2 8 2" xfId="21589" xr:uid="{00D428C2-9ADF-4875-8F71-E4FC6E4091B6}"/>
    <cellStyle name="Normal 2 4 3 3 2 8 3" xfId="13141" xr:uid="{97671ADD-B197-46C2-BC70-8F860D1F9217}"/>
    <cellStyle name="Normal 2 4 3 3 2 9" xfId="17371" xr:uid="{E31B56A4-9320-408B-833D-69A23F7F9922}"/>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24150" xr:uid="{11477D07-5DB0-4E0F-BDBE-D88EC0B1F614}"/>
    <cellStyle name="Normal 2 4 3 3 3 2 2 2 3" xfId="15702" xr:uid="{D3ACA04F-027B-4ECA-B293-E3A17E54C479}"/>
    <cellStyle name="Normal 2 4 3 3 3 2 2 3" xfId="19932" xr:uid="{C93FE4E9-7B88-4A4D-BB3C-FCE8E2EEC798}"/>
    <cellStyle name="Normal 2 4 3 3 3 2 2 4" xfId="11484" xr:uid="{CDA175B0-D045-4F08-B978-53E55C147BBF}"/>
    <cellStyle name="Normal 2 4 3 3 3 2 3" xfId="5107" xr:uid="{00000000-0005-0000-0000-0000FD0F0000}"/>
    <cellStyle name="Normal 2 4 3 3 3 2 3 2" xfId="22005" xr:uid="{DCC1F9A6-AC57-4F8E-82D1-047CB18819C0}"/>
    <cellStyle name="Normal 2 4 3 3 3 2 3 3" xfId="13557" xr:uid="{55905436-2E16-43FB-8CC9-4927779A1661}"/>
    <cellStyle name="Normal 2 4 3 3 3 2 4" xfId="17787" xr:uid="{760C1BC1-74C3-4CDE-BD5A-0CBAD18446A9}"/>
    <cellStyle name="Normal 2 4 3 3 3 2 5" xfId="9339" xr:uid="{05939DD5-23CD-45BF-9FB7-EADB4FCEC45B}"/>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24563" xr:uid="{E98497FC-0342-4827-ADE7-AACF75D38360}"/>
    <cellStyle name="Normal 2 4 3 3 3 3 2 2 3" xfId="16115" xr:uid="{8ACA8851-9CDC-47D5-8200-238501E70107}"/>
    <cellStyle name="Normal 2 4 3 3 3 3 2 3" xfId="20345" xr:uid="{4B74A8BE-37CC-4674-9C6C-2825441A6550}"/>
    <cellStyle name="Normal 2 4 3 3 3 3 2 4" xfId="11897" xr:uid="{5336242F-8968-4EAC-8EA3-5D83B61057B7}"/>
    <cellStyle name="Normal 2 4 3 3 3 3 3" xfId="5520" xr:uid="{00000000-0005-0000-0000-000001100000}"/>
    <cellStyle name="Normal 2 4 3 3 3 3 3 2" xfId="22418" xr:uid="{F8C23C58-71EA-4E20-91DC-CFA32C97DCA5}"/>
    <cellStyle name="Normal 2 4 3 3 3 3 3 3" xfId="13970" xr:uid="{D4E36FD7-5D06-4C7C-A7DF-A3F4808C2CB6}"/>
    <cellStyle name="Normal 2 4 3 3 3 3 4" xfId="18200" xr:uid="{10837C9E-2B96-41CA-A613-AF936E582870}"/>
    <cellStyle name="Normal 2 4 3 3 3 3 5" xfId="9752" xr:uid="{2C9CCF83-6001-4E39-9E26-C89C6B8BAEDC}"/>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24976" xr:uid="{52F6DAF1-B0B8-4770-8302-7350DA87FD2B}"/>
    <cellStyle name="Normal 2 4 3 3 3 4 2 2 3" xfId="16528" xr:uid="{6BF27FDF-6A39-458E-A4CC-CD63663AE2ED}"/>
    <cellStyle name="Normal 2 4 3 3 3 4 2 3" xfId="20758" xr:uid="{0ED009DC-9FCB-410E-B119-9BFF5EF1524E}"/>
    <cellStyle name="Normal 2 4 3 3 3 4 2 4" xfId="12310" xr:uid="{5A55F9A4-51C5-46E8-982E-F4D4D3EA5E63}"/>
    <cellStyle name="Normal 2 4 3 3 3 4 3" xfId="5933" xr:uid="{00000000-0005-0000-0000-000005100000}"/>
    <cellStyle name="Normal 2 4 3 3 3 4 3 2" xfId="22831" xr:uid="{65E1B007-1330-496D-98CE-BF33E0727A14}"/>
    <cellStyle name="Normal 2 4 3 3 3 4 3 3" xfId="14383" xr:uid="{8CC1FFA9-D3BB-416C-A432-013A7A152093}"/>
    <cellStyle name="Normal 2 4 3 3 3 4 4" xfId="18613" xr:uid="{B1A8E9FB-B40F-4735-9ADB-B1D6C2DEE7E8}"/>
    <cellStyle name="Normal 2 4 3 3 3 4 5" xfId="10165" xr:uid="{27CAF672-E0E3-4FE5-8AB5-617CCA63C72B}"/>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25389" xr:uid="{ECF1E5A6-3C21-4748-874E-970839A11A38}"/>
    <cellStyle name="Normal 2 4 3 3 3 5 2 2 3" xfId="16941" xr:uid="{CD62D95E-A154-4F2E-9478-D03C34999D93}"/>
    <cellStyle name="Normal 2 4 3 3 3 5 2 3" xfId="21171" xr:uid="{AA0B2025-9882-4A82-B453-C32536640891}"/>
    <cellStyle name="Normal 2 4 3 3 3 5 2 4" xfId="12723" xr:uid="{D9A746FA-25A9-43D1-B624-2356B74DE72B}"/>
    <cellStyle name="Normal 2 4 3 3 3 5 3" xfId="6346" xr:uid="{00000000-0005-0000-0000-000009100000}"/>
    <cellStyle name="Normal 2 4 3 3 3 5 3 2" xfId="23244" xr:uid="{95E509F0-A442-4E65-A1BB-E529FAEAB5CE}"/>
    <cellStyle name="Normal 2 4 3 3 3 5 3 3" xfId="14796" xr:uid="{E88F0121-1624-43B1-842E-3A00867C7887}"/>
    <cellStyle name="Normal 2 4 3 3 3 5 4" xfId="19026" xr:uid="{1CDC4A16-4282-4B0D-9E4B-61DC2AF53890}"/>
    <cellStyle name="Normal 2 4 3 3 3 5 5" xfId="10578" xr:uid="{CD7F85A7-D263-4042-B47E-A968A84600D5}"/>
    <cellStyle name="Normal 2 4 3 3 3 6" xfId="2476" xr:uid="{00000000-0005-0000-0000-00000A100000}"/>
    <cellStyle name="Normal 2 4 3 3 3 6 2" xfId="6759" xr:uid="{00000000-0005-0000-0000-00000B100000}"/>
    <cellStyle name="Normal 2 4 3 3 3 6 2 2" xfId="23657" xr:uid="{2428D383-0768-4AF7-B931-05F0C0E1588C}"/>
    <cellStyle name="Normal 2 4 3 3 3 6 2 3" xfId="15209" xr:uid="{90CD6C7D-281C-4D5C-894A-3CC940047BFB}"/>
    <cellStyle name="Normal 2 4 3 3 3 6 3" xfId="19439" xr:uid="{894D825B-8D1A-4F5F-ABE0-54A962A1AF97}"/>
    <cellStyle name="Normal 2 4 3 3 3 6 4" xfId="10991" xr:uid="{8A560460-9680-41D9-86A7-28ED961E9FB1}"/>
    <cellStyle name="Normal 2 4 3 3 3 7" xfId="4693" xr:uid="{00000000-0005-0000-0000-00000C100000}"/>
    <cellStyle name="Normal 2 4 3 3 3 7 2" xfId="21591" xr:uid="{8B439B8B-190B-4953-B426-6E5488AD7409}"/>
    <cellStyle name="Normal 2 4 3 3 3 7 3" xfId="13143" xr:uid="{4CFD4BD2-4505-4D13-A957-4CFEFD03A3F6}"/>
    <cellStyle name="Normal 2 4 3 3 3 8" xfId="17373" xr:uid="{1ABBD221-28AF-447E-ABB8-0EBCD1F3702A}"/>
    <cellStyle name="Normal 2 4 3 3 3 9" xfId="8925" xr:uid="{3DC08805-EFD0-48A4-A766-3D996B5BC810}"/>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24147" xr:uid="{554EF708-A9DE-45BE-AC75-CBD18F6279CA}"/>
    <cellStyle name="Normal 2 4 3 3 4 2 2 3" xfId="15699" xr:uid="{4775886F-FF4F-400F-AB4C-60CC965A10BE}"/>
    <cellStyle name="Normal 2 4 3 3 4 2 3" xfId="19929" xr:uid="{3868DAC2-276E-42D4-8629-AC919F36101C}"/>
    <cellStyle name="Normal 2 4 3 3 4 2 4" xfId="11481" xr:uid="{7F50AF99-D3D5-4154-904D-D96CF77A6BFF}"/>
    <cellStyle name="Normal 2 4 3 3 4 3" xfId="5104" xr:uid="{00000000-0005-0000-0000-000010100000}"/>
    <cellStyle name="Normal 2 4 3 3 4 3 2" xfId="22002" xr:uid="{752269FD-14EB-49A9-8443-3FA0D8B2742E}"/>
    <cellStyle name="Normal 2 4 3 3 4 3 3" xfId="13554" xr:uid="{003AA449-52CE-4D8F-A3F7-DE56EC224A9D}"/>
    <cellStyle name="Normal 2 4 3 3 4 4" xfId="17784" xr:uid="{44F0B6F0-86CD-47FC-A74E-CFC25A077849}"/>
    <cellStyle name="Normal 2 4 3 3 4 5" xfId="9336" xr:uid="{3208C666-33CB-4FDD-B855-2E04FD49081A}"/>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24560" xr:uid="{FBF9F642-8008-4AC6-906E-392B9C5CC5A0}"/>
    <cellStyle name="Normal 2 4 3 3 5 2 2 3" xfId="16112" xr:uid="{18923ED2-3CCC-4588-9C2B-F9570C5075E2}"/>
    <cellStyle name="Normal 2 4 3 3 5 2 3" xfId="20342" xr:uid="{BE731EC9-5F68-4A54-9337-784C61E78984}"/>
    <cellStyle name="Normal 2 4 3 3 5 2 4" xfId="11894" xr:uid="{54114865-942B-4D07-B81D-AF705FB6B0F3}"/>
    <cellStyle name="Normal 2 4 3 3 5 3" xfId="5517" xr:uid="{00000000-0005-0000-0000-000014100000}"/>
    <cellStyle name="Normal 2 4 3 3 5 3 2" xfId="22415" xr:uid="{9B4B43F2-EE84-4AAF-8AE6-769E97F09CE3}"/>
    <cellStyle name="Normal 2 4 3 3 5 3 3" xfId="13967" xr:uid="{2284D26F-DDB2-4330-A0F1-EE3B17AE2D40}"/>
    <cellStyle name="Normal 2 4 3 3 5 4" xfId="18197" xr:uid="{044BFC48-8A77-44A8-9BEE-17C5AF315A68}"/>
    <cellStyle name="Normal 2 4 3 3 5 5" xfId="9749" xr:uid="{6081C6C3-38CB-4B43-BE1C-12CEB17785A5}"/>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24973" xr:uid="{455C89D1-865E-4A48-B10F-3050D0537B50}"/>
    <cellStyle name="Normal 2 4 3 3 6 2 2 3" xfId="16525" xr:uid="{96458AFE-2F69-441B-86E8-934AC6DDDF5B}"/>
    <cellStyle name="Normal 2 4 3 3 6 2 3" xfId="20755" xr:uid="{F857D5D8-A680-48E6-ABB8-231B8908EC68}"/>
    <cellStyle name="Normal 2 4 3 3 6 2 4" xfId="12307" xr:uid="{040666B8-51F0-4191-BF8F-BC5297A067ED}"/>
    <cellStyle name="Normal 2 4 3 3 6 3" xfId="5930" xr:uid="{00000000-0005-0000-0000-000018100000}"/>
    <cellStyle name="Normal 2 4 3 3 6 3 2" xfId="22828" xr:uid="{B80D7648-C1FD-419F-B2C5-09F6A73CA80B}"/>
    <cellStyle name="Normal 2 4 3 3 6 3 3" xfId="14380" xr:uid="{6D75D14A-AF5F-4935-B859-539A8C81578C}"/>
    <cellStyle name="Normal 2 4 3 3 6 4" xfId="18610" xr:uid="{16CF7A37-9E37-4F50-B0C2-76D9CC5893F6}"/>
    <cellStyle name="Normal 2 4 3 3 6 5" xfId="10162" xr:uid="{C06DEA15-7A38-4103-99F3-6C794992EBFF}"/>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25386" xr:uid="{7EEDF9A2-3361-41D3-B492-58A48EF11FB8}"/>
    <cellStyle name="Normal 2 4 3 3 7 2 2 3" xfId="16938" xr:uid="{919695CB-B94D-4E20-B99D-2069EA71B495}"/>
    <cellStyle name="Normal 2 4 3 3 7 2 3" xfId="21168" xr:uid="{E9C4EB33-2896-4193-92E0-21C265B5B85E}"/>
    <cellStyle name="Normal 2 4 3 3 7 2 4" xfId="12720" xr:uid="{1B1D8502-42A7-43E8-A8CB-3C59AC79CA08}"/>
    <cellStyle name="Normal 2 4 3 3 7 3" xfId="6343" xr:uid="{00000000-0005-0000-0000-00001C100000}"/>
    <cellStyle name="Normal 2 4 3 3 7 3 2" xfId="23241" xr:uid="{BA26EB1A-F0D4-40AB-87D1-941965F07068}"/>
    <cellStyle name="Normal 2 4 3 3 7 3 3" xfId="14793" xr:uid="{6985A0BF-5BB7-414A-BC0C-CC393A50DB35}"/>
    <cellStyle name="Normal 2 4 3 3 7 4" xfId="19023" xr:uid="{BCD4B9EB-7447-4A81-9576-DCCD322518FA}"/>
    <cellStyle name="Normal 2 4 3 3 7 5" xfId="10575" xr:uid="{24892B2F-79EC-4F62-9A91-7A4091EAAF8F}"/>
    <cellStyle name="Normal 2 4 3 3 8" xfId="2473" xr:uid="{00000000-0005-0000-0000-00001D100000}"/>
    <cellStyle name="Normal 2 4 3 3 8 2" xfId="6756" xr:uid="{00000000-0005-0000-0000-00001E100000}"/>
    <cellStyle name="Normal 2 4 3 3 8 2 2" xfId="23654" xr:uid="{1FAC03D4-E4BA-45B5-AAF8-A20BD6C6F987}"/>
    <cellStyle name="Normal 2 4 3 3 8 2 3" xfId="15206" xr:uid="{C29F4975-525E-4202-B644-7F91CC183C6E}"/>
    <cellStyle name="Normal 2 4 3 3 8 3" xfId="19436" xr:uid="{53F0CA23-CD91-4AE8-B044-6DAFEF5D4D4D}"/>
    <cellStyle name="Normal 2 4 3 3 8 4" xfId="10988" xr:uid="{36C3DD0A-3829-4694-906C-9E58C26AD678}"/>
    <cellStyle name="Normal 2 4 3 3 9" xfId="4690" xr:uid="{00000000-0005-0000-0000-00001F100000}"/>
    <cellStyle name="Normal 2 4 3 3 9 2" xfId="21588" xr:uid="{61690825-DE00-43F1-91CA-C7C66F7FDAC6}"/>
    <cellStyle name="Normal 2 4 3 3 9 3" xfId="13140" xr:uid="{FAEE6CF8-44C0-4F7E-A2B5-7503390F83B1}"/>
    <cellStyle name="Normal 2 4 3 4" xfId="787" xr:uid="{00000000-0005-0000-0000-000020100000}"/>
    <cellStyle name="Normal 2 4 3 4 2" xfId="3026" xr:uid="{00000000-0005-0000-0000-000021100000}"/>
    <cellStyle name="Normal 2 4 3 4 2 2" xfId="7248" xr:uid="{00000000-0005-0000-0000-000022100000}"/>
    <cellStyle name="Normal 2 4 3 4 2 2 2" xfId="24146" xr:uid="{2A5FB3F7-0BB3-4584-AE45-F92AAFF7BCF9}"/>
    <cellStyle name="Normal 2 4 3 4 2 2 3" xfId="15698" xr:uid="{BEBB028D-D29A-44CE-B8CA-9BB304AAD452}"/>
    <cellStyle name="Normal 2 4 3 4 2 3" xfId="19928" xr:uid="{EFC2BA24-7E8A-45B1-8411-D04708B2DCE7}"/>
    <cellStyle name="Normal 2 4 3 4 2 4" xfId="11480" xr:uid="{21879E90-B425-4B58-B089-CD38CFEBB045}"/>
    <cellStyle name="Normal 2 4 3 4 3" xfId="5103" xr:uid="{00000000-0005-0000-0000-000023100000}"/>
    <cellStyle name="Normal 2 4 3 4 3 2" xfId="22001" xr:uid="{570173C6-072C-4F6E-B056-C281FC14031A}"/>
    <cellStyle name="Normal 2 4 3 4 3 3" xfId="13553" xr:uid="{9F640750-9EF7-4823-AECE-CE9A485560F6}"/>
    <cellStyle name="Normal 2 4 3 4 4" xfId="17783" xr:uid="{CD01F501-C8A8-4AB3-88A6-8EF60DC3329A}"/>
    <cellStyle name="Normal 2 4 3 4 5" xfId="9335" xr:uid="{AB16091A-AD61-4F96-8879-11D04568510D}"/>
    <cellStyle name="Normal 2 4 3 5" xfId="1209" xr:uid="{00000000-0005-0000-0000-000024100000}"/>
    <cellStyle name="Normal 2 4 3 5 2" xfId="3439" xr:uid="{00000000-0005-0000-0000-000025100000}"/>
    <cellStyle name="Normal 2 4 3 5 2 2" xfId="7661" xr:uid="{00000000-0005-0000-0000-000026100000}"/>
    <cellStyle name="Normal 2 4 3 5 2 2 2" xfId="24559" xr:uid="{773006EF-7EE0-418A-B36B-65B8821B68E7}"/>
    <cellStyle name="Normal 2 4 3 5 2 2 3" xfId="16111" xr:uid="{FA424124-0B6C-48E9-B3C9-72031B696865}"/>
    <cellStyle name="Normal 2 4 3 5 2 3" xfId="20341" xr:uid="{286F46C2-C5ED-4F3F-B174-C8922F62A0BA}"/>
    <cellStyle name="Normal 2 4 3 5 2 4" xfId="11893" xr:uid="{EDA2246D-4886-4E9D-BA91-2A6ECD6015A0}"/>
    <cellStyle name="Normal 2 4 3 5 3" xfId="5516" xr:uid="{00000000-0005-0000-0000-000027100000}"/>
    <cellStyle name="Normal 2 4 3 5 3 2" xfId="22414" xr:uid="{6A9361C3-E42D-48AF-A25D-E34DBB82677C}"/>
    <cellStyle name="Normal 2 4 3 5 3 3" xfId="13966" xr:uid="{3E6BCEFD-66BF-4C1D-B136-C40735D47857}"/>
    <cellStyle name="Normal 2 4 3 5 4" xfId="18196" xr:uid="{6E70EE87-7581-4316-8948-372CAF6BC862}"/>
    <cellStyle name="Normal 2 4 3 5 5" xfId="9748" xr:uid="{DE03EC07-666F-46D5-B62E-B60B04100607}"/>
    <cellStyle name="Normal 2 4 3 6" xfId="1622" xr:uid="{00000000-0005-0000-0000-000028100000}"/>
    <cellStyle name="Normal 2 4 3 6 2" xfId="3852" xr:uid="{00000000-0005-0000-0000-000029100000}"/>
    <cellStyle name="Normal 2 4 3 6 2 2" xfId="8074" xr:uid="{00000000-0005-0000-0000-00002A100000}"/>
    <cellStyle name="Normal 2 4 3 6 2 2 2" xfId="24972" xr:uid="{B6BECBA4-FE4D-46BC-B2F3-D8129D597B08}"/>
    <cellStyle name="Normal 2 4 3 6 2 2 3" xfId="16524" xr:uid="{C89D6C34-707C-4A0C-B8D6-CEDCFD3FA34B}"/>
    <cellStyle name="Normal 2 4 3 6 2 3" xfId="20754" xr:uid="{21413619-7F86-4914-8D85-BF4EDEBD8F27}"/>
    <cellStyle name="Normal 2 4 3 6 2 4" xfId="12306" xr:uid="{7B5C3F65-DF9C-4BAE-A1FF-08F072B3E7CA}"/>
    <cellStyle name="Normal 2 4 3 6 3" xfId="5929" xr:uid="{00000000-0005-0000-0000-00002B100000}"/>
    <cellStyle name="Normal 2 4 3 6 3 2" xfId="22827" xr:uid="{44E967FA-60F6-4470-94AD-29D8091D97E9}"/>
    <cellStyle name="Normal 2 4 3 6 3 3" xfId="14379" xr:uid="{D4A61F35-42D7-4E3D-8A7B-2BEED228FAB4}"/>
    <cellStyle name="Normal 2 4 3 6 4" xfId="18609" xr:uid="{1E6D4734-9BA5-4FC6-8AD8-05870CE18F30}"/>
    <cellStyle name="Normal 2 4 3 6 5" xfId="10161" xr:uid="{45A49C34-D4B0-405D-8625-D2F152FABB08}"/>
    <cellStyle name="Normal 2 4 3 7" xfId="2036" xr:uid="{00000000-0005-0000-0000-00002C100000}"/>
    <cellStyle name="Normal 2 4 3 7 2" xfId="4265" xr:uid="{00000000-0005-0000-0000-00002D100000}"/>
    <cellStyle name="Normal 2 4 3 7 2 2" xfId="8487" xr:uid="{00000000-0005-0000-0000-00002E100000}"/>
    <cellStyle name="Normal 2 4 3 7 2 2 2" xfId="25385" xr:uid="{79983B5F-A95A-4B28-97FC-C011FA6B3BBF}"/>
    <cellStyle name="Normal 2 4 3 7 2 2 3" xfId="16937" xr:uid="{E8BF196C-2069-4DF4-AFE4-B3EC0A7E675F}"/>
    <cellStyle name="Normal 2 4 3 7 2 3" xfId="21167" xr:uid="{DBBFCC49-EDA6-49B5-A692-E02B76767D5F}"/>
    <cellStyle name="Normal 2 4 3 7 2 4" xfId="12719" xr:uid="{D038917F-27D4-4395-B0FA-1CADB680D227}"/>
    <cellStyle name="Normal 2 4 3 7 3" xfId="6342" xr:uid="{00000000-0005-0000-0000-00002F100000}"/>
    <cellStyle name="Normal 2 4 3 7 3 2" xfId="23240" xr:uid="{B0875585-B26D-46A4-944F-0F3858CF70A8}"/>
    <cellStyle name="Normal 2 4 3 7 3 3" xfId="14792" xr:uid="{491F9562-F818-4CB2-B30F-A9588D849A8B}"/>
    <cellStyle name="Normal 2 4 3 7 4" xfId="19022" xr:uid="{A4FB49E5-9E05-4AE9-AC58-16D7871C4E1C}"/>
    <cellStyle name="Normal 2 4 3 7 5" xfId="10574" xr:uid="{1974C35D-431A-4013-961A-3A83EDDE6D57}"/>
    <cellStyle name="Normal 2 4 3 8" xfId="2472" xr:uid="{00000000-0005-0000-0000-000030100000}"/>
    <cellStyle name="Normal 2 4 3 8 2" xfId="6755" xr:uid="{00000000-0005-0000-0000-000031100000}"/>
    <cellStyle name="Normal 2 4 3 8 2 2" xfId="23653" xr:uid="{2BFD3E0C-FD7A-451E-A1A0-D9EA123F86B2}"/>
    <cellStyle name="Normal 2 4 3 8 2 3" xfId="15205" xr:uid="{99768972-BF77-4C40-B69C-64C2EEB80F56}"/>
    <cellStyle name="Normal 2 4 3 8 3" xfId="19435" xr:uid="{F7605CDA-0B93-4CCF-BDC0-4602960A9DA3}"/>
    <cellStyle name="Normal 2 4 3 8 4" xfId="10987" xr:uid="{0E410A5F-86EF-4F6A-A9B9-4F39A6BEE2CF}"/>
    <cellStyle name="Normal 2 4 3 9" xfId="4689" xr:uid="{00000000-0005-0000-0000-000032100000}"/>
    <cellStyle name="Normal 2 4 3 9 2" xfId="21587" xr:uid="{BEC8A814-8B83-474D-971A-6A3F6DD997C3}"/>
    <cellStyle name="Normal 2 4 3 9 3" xfId="13139" xr:uid="{CC3ECD49-92AD-4CF6-A661-CF82B8B41E3C}"/>
    <cellStyle name="Normal 2 4 4" xfId="302" xr:uid="{00000000-0005-0000-0000-000033100000}"/>
    <cellStyle name="Normal 2 4 5" xfId="303" xr:uid="{00000000-0005-0000-0000-000034100000}"/>
    <cellStyle name="Normal 2 4 5 10" xfId="4694" xr:uid="{00000000-0005-0000-0000-000035100000}"/>
    <cellStyle name="Normal 2 4 5 10 2" xfId="21592" xr:uid="{FCD758D7-893D-437B-94C2-0B6577D822BF}"/>
    <cellStyle name="Normal 2 4 5 10 3" xfId="13144" xr:uid="{2EEFA344-6397-4BDB-A5C0-EE9B91EA3EDB}"/>
    <cellStyle name="Normal 2 4 5 11" xfId="17374" xr:uid="{6ACEA86D-C5FE-4062-8A02-5C3632E20B77}"/>
    <cellStyle name="Normal 2 4 5 12" xfId="8926" xr:uid="{D792FE63-D235-4F76-8FBA-7079335BDFC7}"/>
    <cellStyle name="Normal 2 4 5 2" xfId="304" xr:uid="{00000000-0005-0000-0000-000036100000}"/>
    <cellStyle name="Normal 2 4 5 2 10" xfId="17375" xr:uid="{883792C0-7C82-44CB-BD49-FA3D00DEB8C6}"/>
    <cellStyle name="Normal 2 4 5 2 11" xfId="8927" xr:uid="{A20EB028-46FF-492C-A120-63A4832EE908}"/>
    <cellStyle name="Normal 2 4 5 2 2" xfId="305" xr:uid="{00000000-0005-0000-0000-000037100000}"/>
    <cellStyle name="Normal 2 4 5 2 2 10" xfId="8928" xr:uid="{8D8FE0D0-568D-47E3-A703-CA3E146DC6C6}"/>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24154" xr:uid="{89BAD86F-B8CB-4F65-8E9E-1B6DF82C3EC6}"/>
    <cellStyle name="Normal 2 4 5 2 2 2 2 2 2 3" xfId="15706" xr:uid="{1D48977C-56ED-44B0-A86F-5CD3EABBF4E8}"/>
    <cellStyle name="Normal 2 4 5 2 2 2 2 2 3" xfId="19936" xr:uid="{F0249C5A-AAB7-4824-ACF1-C11233E1EF2C}"/>
    <cellStyle name="Normal 2 4 5 2 2 2 2 2 4" xfId="11488" xr:uid="{246964C0-0D00-4F10-84C7-4497E0DC8DE0}"/>
    <cellStyle name="Normal 2 4 5 2 2 2 2 3" xfId="5111" xr:uid="{00000000-0005-0000-0000-00003C100000}"/>
    <cellStyle name="Normal 2 4 5 2 2 2 2 3 2" xfId="22009" xr:uid="{7D67F045-774E-4C0A-8F84-256399D04EF7}"/>
    <cellStyle name="Normal 2 4 5 2 2 2 2 3 3" xfId="13561" xr:uid="{70100915-4CA0-475A-8DC5-5234F4057AC2}"/>
    <cellStyle name="Normal 2 4 5 2 2 2 2 4" xfId="17791" xr:uid="{2BB90FAD-436A-45A0-940D-1B097E384532}"/>
    <cellStyle name="Normal 2 4 5 2 2 2 2 5" xfId="9343" xr:uid="{50C88B46-0FB4-4105-8C0B-0C2B6AD021C5}"/>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24567" xr:uid="{F620D993-22DE-4F61-8B6E-4CCA3D6D0075}"/>
    <cellStyle name="Normal 2 4 5 2 2 2 3 2 2 3" xfId="16119" xr:uid="{C04165D8-D9E1-4D0F-8D96-17B70C17DEEF}"/>
    <cellStyle name="Normal 2 4 5 2 2 2 3 2 3" xfId="20349" xr:uid="{208F7026-65FA-4E60-8B10-6409B13ABC06}"/>
    <cellStyle name="Normal 2 4 5 2 2 2 3 2 4" xfId="11901" xr:uid="{E15FE22B-E8BC-482C-BC17-70D458A286E8}"/>
    <cellStyle name="Normal 2 4 5 2 2 2 3 3" xfId="5524" xr:uid="{00000000-0005-0000-0000-000040100000}"/>
    <cellStyle name="Normal 2 4 5 2 2 2 3 3 2" xfId="22422" xr:uid="{B65BBB02-A255-45D2-8A01-DE5F03374F9B}"/>
    <cellStyle name="Normal 2 4 5 2 2 2 3 3 3" xfId="13974" xr:uid="{36701AA2-E712-42CE-981B-BCC68A11CACD}"/>
    <cellStyle name="Normal 2 4 5 2 2 2 3 4" xfId="18204" xr:uid="{6F98A92D-E240-4D72-BC8C-4CF7B2B7B1E5}"/>
    <cellStyle name="Normal 2 4 5 2 2 2 3 5" xfId="9756" xr:uid="{674CE12B-4FD9-4ECC-AB53-B7DF790147DF}"/>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24980" xr:uid="{8F505844-B7CC-48C0-8604-1BFBCCD5DEF1}"/>
    <cellStyle name="Normal 2 4 5 2 2 2 4 2 2 3" xfId="16532" xr:uid="{D7930CD5-3473-4349-9FBD-C75581E20B7E}"/>
    <cellStyle name="Normal 2 4 5 2 2 2 4 2 3" xfId="20762" xr:uid="{6DB910E2-C249-4D5F-8B3B-BBD405BAE54D}"/>
    <cellStyle name="Normal 2 4 5 2 2 2 4 2 4" xfId="12314" xr:uid="{167278C9-5F57-42B7-92C6-5E21A78DCFB6}"/>
    <cellStyle name="Normal 2 4 5 2 2 2 4 3" xfId="5937" xr:uid="{00000000-0005-0000-0000-000044100000}"/>
    <cellStyle name="Normal 2 4 5 2 2 2 4 3 2" xfId="22835" xr:uid="{0B72AADB-BDC7-45E8-8195-859DE325A7A7}"/>
    <cellStyle name="Normal 2 4 5 2 2 2 4 3 3" xfId="14387" xr:uid="{732F3BFB-FA47-409A-A930-129B955AB062}"/>
    <cellStyle name="Normal 2 4 5 2 2 2 4 4" xfId="18617" xr:uid="{909EEBF0-3D47-4B1F-A63C-71D19B095729}"/>
    <cellStyle name="Normal 2 4 5 2 2 2 4 5" xfId="10169" xr:uid="{EC07B2CA-ACBB-4465-8B2E-6E2974A03BD2}"/>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25393" xr:uid="{324CF12C-7D48-416F-A1D3-9047B172BCE6}"/>
    <cellStyle name="Normal 2 4 5 2 2 2 5 2 2 3" xfId="16945" xr:uid="{034894DB-704E-4642-9CEC-E6D6A77133A9}"/>
    <cellStyle name="Normal 2 4 5 2 2 2 5 2 3" xfId="21175" xr:uid="{612A2CB2-DE2A-4352-9917-6817AEBA3CD9}"/>
    <cellStyle name="Normal 2 4 5 2 2 2 5 2 4" xfId="12727" xr:uid="{7CCED8A8-7482-4712-ABB2-AE533F0236B1}"/>
    <cellStyle name="Normal 2 4 5 2 2 2 5 3" xfId="6350" xr:uid="{00000000-0005-0000-0000-000048100000}"/>
    <cellStyle name="Normal 2 4 5 2 2 2 5 3 2" xfId="23248" xr:uid="{A2230E84-4F48-494C-8BCA-AE8F11DDB3FF}"/>
    <cellStyle name="Normal 2 4 5 2 2 2 5 3 3" xfId="14800" xr:uid="{7E5BA43A-D86F-4DDC-854A-C02170E928C4}"/>
    <cellStyle name="Normal 2 4 5 2 2 2 5 4" xfId="19030" xr:uid="{FAFDA103-A03E-4DDF-9200-AFA1459063AF}"/>
    <cellStyle name="Normal 2 4 5 2 2 2 5 5" xfId="10582" xr:uid="{A7AE0BC3-7B7C-4058-8919-A0073F194771}"/>
    <cellStyle name="Normal 2 4 5 2 2 2 6" xfId="2480" xr:uid="{00000000-0005-0000-0000-000049100000}"/>
    <cellStyle name="Normal 2 4 5 2 2 2 6 2" xfId="6763" xr:uid="{00000000-0005-0000-0000-00004A100000}"/>
    <cellStyle name="Normal 2 4 5 2 2 2 6 2 2" xfId="23661" xr:uid="{6797140A-0951-4092-AE23-5751B6871ECB}"/>
    <cellStyle name="Normal 2 4 5 2 2 2 6 2 3" xfId="15213" xr:uid="{616AF8CA-936B-4907-8D36-5D6AEC7C2A76}"/>
    <cellStyle name="Normal 2 4 5 2 2 2 6 3" xfId="19443" xr:uid="{B87ABD70-024A-42CE-9C16-8097253E8390}"/>
    <cellStyle name="Normal 2 4 5 2 2 2 6 4" xfId="10995" xr:uid="{AE2FFB19-1B7D-40B5-AEF2-4A04A4B1AD4D}"/>
    <cellStyle name="Normal 2 4 5 2 2 2 7" xfId="4697" xr:uid="{00000000-0005-0000-0000-00004B100000}"/>
    <cellStyle name="Normal 2 4 5 2 2 2 7 2" xfId="21595" xr:uid="{26388409-1032-477E-A5AE-DEE08E25C94B}"/>
    <cellStyle name="Normal 2 4 5 2 2 2 7 3" xfId="13147" xr:uid="{6162F435-3C35-4F1F-81F8-F38C10044E74}"/>
    <cellStyle name="Normal 2 4 5 2 2 2 8" xfId="17377" xr:uid="{3D55DA38-FA1B-42AD-9D69-06E291EB60FF}"/>
    <cellStyle name="Normal 2 4 5 2 2 2 9" xfId="8929" xr:uid="{2047A2D4-2C6D-498B-91A4-72D865573C65}"/>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24153" xr:uid="{6198C957-0FC4-48A9-BF7E-F4C8087FCDC7}"/>
    <cellStyle name="Normal 2 4 5 2 2 3 2 2 3" xfId="15705" xr:uid="{1AC11963-A663-4642-A5BA-1CB0BD3A4A6C}"/>
    <cellStyle name="Normal 2 4 5 2 2 3 2 3" xfId="19935" xr:uid="{7976AE2A-C7A3-46CA-A292-B83B87B35FFF}"/>
    <cellStyle name="Normal 2 4 5 2 2 3 2 4" xfId="11487" xr:uid="{9650E6E0-5A3D-4008-9D27-A7D79C515FCC}"/>
    <cellStyle name="Normal 2 4 5 2 2 3 3" xfId="5110" xr:uid="{00000000-0005-0000-0000-00004F100000}"/>
    <cellStyle name="Normal 2 4 5 2 2 3 3 2" xfId="22008" xr:uid="{6D292FDF-2859-4920-9F26-5E2545CBBDBC}"/>
    <cellStyle name="Normal 2 4 5 2 2 3 3 3" xfId="13560" xr:uid="{DF142737-00EE-4C9E-AB6F-156D0AFE2A51}"/>
    <cellStyle name="Normal 2 4 5 2 2 3 4" xfId="17790" xr:uid="{5CEDA034-0330-4453-9338-B7D924245B6D}"/>
    <cellStyle name="Normal 2 4 5 2 2 3 5" xfId="9342" xr:uid="{0D2071AD-459F-4046-9D6D-8DF14917DEE5}"/>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24566" xr:uid="{819E3585-6F01-4F1E-8264-5BA3D160B6C4}"/>
    <cellStyle name="Normal 2 4 5 2 2 4 2 2 3" xfId="16118" xr:uid="{674BB32B-2EAF-49BC-99BD-0C8B34B26655}"/>
    <cellStyle name="Normal 2 4 5 2 2 4 2 3" xfId="20348" xr:uid="{549F76DC-5675-420C-8A4C-9DFE2383C766}"/>
    <cellStyle name="Normal 2 4 5 2 2 4 2 4" xfId="11900" xr:uid="{E399240D-BB87-40AA-9198-2F604E552BAC}"/>
    <cellStyle name="Normal 2 4 5 2 2 4 3" xfId="5523" xr:uid="{00000000-0005-0000-0000-000053100000}"/>
    <cellStyle name="Normal 2 4 5 2 2 4 3 2" xfId="22421" xr:uid="{2F981CF8-11DA-40E5-9C26-45FF5BDFF50D}"/>
    <cellStyle name="Normal 2 4 5 2 2 4 3 3" xfId="13973" xr:uid="{9297FB0D-64BC-4C81-9E0C-309D7AA29B1C}"/>
    <cellStyle name="Normal 2 4 5 2 2 4 4" xfId="18203" xr:uid="{C9B35A65-43A2-4277-BC3D-1C3D423885F1}"/>
    <cellStyle name="Normal 2 4 5 2 2 4 5" xfId="9755" xr:uid="{DD7C0E6E-2EC7-40C3-97CE-1F7D809D82F4}"/>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24979" xr:uid="{859DE19E-0078-46CF-90DF-9A9FCCCE1933}"/>
    <cellStyle name="Normal 2 4 5 2 2 5 2 2 3" xfId="16531" xr:uid="{51DD4741-B8BF-497F-9D3E-E2E651EE93C4}"/>
    <cellStyle name="Normal 2 4 5 2 2 5 2 3" xfId="20761" xr:uid="{4E3556B2-C9FF-4BE6-B169-F5DA22F3A377}"/>
    <cellStyle name="Normal 2 4 5 2 2 5 2 4" xfId="12313" xr:uid="{A4193D93-4F99-4B8F-8E20-877349CD9F08}"/>
    <cellStyle name="Normal 2 4 5 2 2 5 3" xfId="5936" xr:uid="{00000000-0005-0000-0000-000057100000}"/>
    <cellStyle name="Normal 2 4 5 2 2 5 3 2" xfId="22834" xr:uid="{9DB7172C-07B9-4F21-BA28-B8FC9E68DC1B}"/>
    <cellStyle name="Normal 2 4 5 2 2 5 3 3" xfId="14386" xr:uid="{5EA8CC97-13BD-4C34-8CF8-3AF0073D5346}"/>
    <cellStyle name="Normal 2 4 5 2 2 5 4" xfId="18616" xr:uid="{387DFCAB-E853-4F1C-AE8E-09AE1FE429BC}"/>
    <cellStyle name="Normal 2 4 5 2 2 5 5" xfId="10168" xr:uid="{E006A4E3-C108-498F-93C3-00394CE808B7}"/>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25392" xr:uid="{030742C5-0C99-44C0-ADEF-8AA31C48820B}"/>
    <cellStyle name="Normal 2 4 5 2 2 6 2 2 3" xfId="16944" xr:uid="{CF005B99-79BC-42DB-B630-246E1B0FFB4B}"/>
    <cellStyle name="Normal 2 4 5 2 2 6 2 3" xfId="21174" xr:uid="{5083BF9C-550F-4D5C-8BA7-4BC2DE178D76}"/>
    <cellStyle name="Normal 2 4 5 2 2 6 2 4" xfId="12726" xr:uid="{EDAF2BA5-FBA6-4458-842D-A91C72EE1D19}"/>
    <cellStyle name="Normal 2 4 5 2 2 6 3" xfId="6349" xr:uid="{00000000-0005-0000-0000-00005B100000}"/>
    <cellStyle name="Normal 2 4 5 2 2 6 3 2" xfId="23247" xr:uid="{15B10F33-7F4F-4545-80CA-C6863E22DE07}"/>
    <cellStyle name="Normal 2 4 5 2 2 6 3 3" xfId="14799" xr:uid="{885E9C2B-33F4-427F-A043-F8ABAE95913A}"/>
    <cellStyle name="Normal 2 4 5 2 2 6 4" xfId="19029" xr:uid="{CD19600C-270B-4F08-A9D3-8A0B4324BFA9}"/>
    <cellStyle name="Normal 2 4 5 2 2 6 5" xfId="10581" xr:uid="{FEDB0AF0-4156-4E35-B0D6-AE64BAC350B4}"/>
    <cellStyle name="Normal 2 4 5 2 2 7" xfId="2479" xr:uid="{00000000-0005-0000-0000-00005C100000}"/>
    <cellStyle name="Normal 2 4 5 2 2 7 2" xfId="6762" xr:uid="{00000000-0005-0000-0000-00005D100000}"/>
    <cellStyle name="Normal 2 4 5 2 2 7 2 2" xfId="23660" xr:uid="{1563FEB4-21BD-468A-B0E4-2D3E22BB9000}"/>
    <cellStyle name="Normal 2 4 5 2 2 7 2 3" xfId="15212" xr:uid="{EBB88A56-9FDB-48B2-98A4-1B99D5B9988E}"/>
    <cellStyle name="Normal 2 4 5 2 2 7 3" xfId="19442" xr:uid="{D820CEAB-FA30-451E-8CB1-BA7DB0979753}"/>
    <cellStyle name="Normal 2 4 5 2 2 7 4" xfId="10994" xr:uid="{93DCEF41-6BAA-4B06-844B-B5DD9AA1F6AE}"/>
    <cellStyle name="Normal 2 4 5 2 2 8" xfId="4696" xr:uid="{00000000-0005-0000-0000-00005E100000}"/>
    <cellStyle name="Normal 2 4 5 2 2 8 2" xfId="21594" xr:uid="{067840D2-34DD-4077-932F-DF2805E76055}"/>
    <cellStyle name="Normal 2 4 5 2 2 8 3" xfId="13146" xr:uid="{338AFA6D-749E-49ED-9C8C-222DB7E99698}"/>
    <cellStyle name="Normal 2 4 5 2 2 9" xfId="17376" xr:uid="{773C161E-F13D-46F8-AE1B-ED4C0B5745E9}"/>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24155" xr:uid="{437177C4-3798-44E7-8CC3-5E0065DCB02B}"/>
    <cellStyle name="Normal 2 4 5 2 3 2 2 2 3" xfId="15707" xr:uid="{FA3B9BC6-FC1C-4591-A54E-11D78ED8B5FF}"/>
    <cellStyle name="Normal 2 4 5 2 3 2 2 3" xfId="19937" xr:uid="{78DFDC9E-89FB-4CFC-B165-E2F00DED7817}"/>
    <cellStyle name="Normal 2 4 5 2 3 2 2 4" xfId="11489" xr:uid="{064A68A6-731A-4BE8-8855-A5625C41CA77}"/>
    <cellStyle name="Normal 2 4 5 2 3 2 3" xfId="5112" xr:uid="{00000000-0005-0000-0000-000063100000}"/>
    <cellStyle name="Normal 2 4 5 2 3 2 3 2" xfId="22010" xr:uid="{CF9C9AA0-DA7A-4D3E-A2BA-B29C4538B740}"/>
    <cellStyle name="Normal 2 4 5 2 3 2 3 3" xfId="13562" xr:uid="{78E79D0B-258A-4480-B598-8985B15A1273}"/>
    <cellStyle name="Normal 2 4 5 2 3 2 4" xfId="17792" xr:uid="{C1945003-6223-4A27-82DD-9F83375A01FF}"/>
    <cellStyle name="Normal 2 4 5 2 3 2 5" xfId="9344" xr:uid="{1CE65DF6-978C-401F-A616-AB44AA7550D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24568" xr:uid="{D81F4230-33A2-4433-8C37-49E0962A651E}"/>
    <cellStyle name="Normal 2 4 5 2 3 3 2 2 3" xfId="16120" xr:uid="{845DEE15-42A5-4EFC-ABFD-6BD28EA6D338}"/>
    <cellStyle name="Normal 2 4 5 2 3 3 2 3" xfId="20350" xr:uid="{726C4B8D-1566-41DA-9106-6DB35288BF91}"/>
    <cellStyle name="Normal 2 4 5 2 3 3 2 4" xfId="11902" xr:uid="{9E610129-19C9-41EF-A23A-AF82C2851DCA}"/>
    <cellStyle name="Normal 2 4 5 2 3 3 3" xfId="5525" xr:uid="{00000000-0005-0000-0000-000067100000}"/>
    <cellStyle name="Normal 2 4 5 2 3 3 3 2" xfId="22423" xr:uid="{C845E1D4-DD25-4804-A803-B82FEC7E8B53}"/>
    <cellStyle name="Normal 2 4 5 2 3 3 3 3" xfId="13975" xr:uid="{8336D447-0E71-4F2B-BDAC-E1D5D88BFA21}"/>
    <cellStyle name="Normal 2 4 5 2 3 3 4" xfId="18205" xr:uid="{868FF647-58A8-4527-BABB-EDA7DB07005C}"/>
    <cellStyle name="Normal 2 4 5 2 3 3 5" xfId="9757" xr:uid="{0B6DD819-A750-4607-8ABA-1AF5EEE77DE1}"/>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24981" xr:uid="{7FF46A2B-76E2-4DA6-A8AC-72FB5CDE2DCF}"/>
    <cellStyle name="Normal 2 4 5 2 3 4 2 2 3" xfId="16533" xr:uid="{E42B9611-FCDC-47BE-A733-A7D4B9F9A915}"/>
    <cellStyle name="Normal 2 4 5 2 3 4 2 3" xfId="20763" xr:uid="{606E5E32-2ADD-411D-94FC-A3D1FEE3105A}"/>
    <cellStyle name="Normal 2 4 5 2 3 4 2 4" xfId="12315" xr:uid="{8C029687-A6B8-49D6-86DA-77F1F900FAFF}"/>
    <cellStyle name="Normal 2 4 5 2 3 4 3" xfId="5938" xr:uid="{00000000-0005-0000-0000-00006B100000}"/>
    <cellStyle name="Normal 2 4 5 2 3 4 3 2" xfId="22836" xr:uid="{292F5133-D495-4181-9E92-0488B2CAFC06}"/>
    <cellStyle name="Normal 2 4 5 2 3 4 3 3" xfId="14388" xr:uid="{88462374-FCB2-4A64-8BA6-3EB08B88C53D}"/>
    <cellStyle name="Normal 2 4 5 2 3 4 4" xfId="18618" xr:uid="{B02ECF25-1BDB-4B19-99F6-6D205768E85C}"/>
    <cellStyle name="Normal 2 4 5 2 3 4 5" xfId="10170" xr:uid="{1B2C8BE1-D3F2-4D91-B833-E19256100A39}"/>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25394" xr:uid="{89688D2B-2256-451B-9477-324868766A1A}"/>
    <cellStyle name="Normal 2 4 5 2 3 5 2 2 3" xfId="16946" xr:uid="{C1DB3961-A356-4C22-8769-6F916C72D433}"/>
    <cellStyle name="Normal 2 4 5 2 3 5 2 3" xfId="21176" xr:uid="{691BB6FB-C72B-46BE-BEDD-8A37AB518B66}"/>
    <cellStyle name="Normal 2 4 5 2 3 5 2 4" xfId="12728" xr:uid="{2278F97C-4504-4FCB-B300-312DDF5FB78C}"/>
    <cellStyle name="Normal 2 4 5 2 3 5 3" xfId="6351" xr:uid="{00000000-0005-0000-0000-00006F100000}"/>
    <cellStyle name="Normal 2 4 5 2 3 5 3 2" xfId="23249" xr:uid="{B45BDF3E-E788-4A0E-944F-06375FC01ACD}"/>
    <cellStyle name="Normal 2 4 5 2 3 5 3 3" xfId="14801" xr:uid="{C8C48C00-A8E6-4D53-B294-73CB9E840999}"/>
    <cellStyle name="Normal 2 4 5 2 3 5 4" xfId="19031" xr:uid="{2C62A7FC-6CF2-4AE3-8E0B-B4C44D2612DB}"/>
    <cellStyle name="Normal 2 4 5 2 3 5 5" xfId="10583" xr:uid="{5D2BE73F-3ED9-496A-AFDD-1A0E865ADC58}"/>
    <cellStyle name="Normal 2 4 5 2 3 6" xfId="2481" xr:uid="{00000000-0005-0000-0000-000070100000}"/>
    <cellStyle name="Normal 2 4 5 2 3 6 2" xfId="6764" xr:uid="{00000000-0005-0000-0000-000071100000}"/>
    <cellStyle name="Normal 2 4 5 2 3 6 2 2" xfId="23662" xr:uid="{B6BB767D-78D0-4391-BADE-0EB6F223CDFD}"/>
    <cellStyle name="Normal 2 4 5 2 3 6 2 3" xfId="15214" xr:uid="{E8D98A00-7284-4424-BA57-6C3E4C3D1F8B}"/>
    <cellStyle name="Normal 2 4 5 2 3 6 3" xfId="19444" xr:uid="{678EEB27-2F42-4D66-84B3-6E622F5730C8}"/>
    <cellStyle name="Normal 2 4 5 2 3 6 4" xfId="10996" xr:uid="{71C021FB-7DDC-45C9-B234-7BBE8E18A6C0}"/>
    <cellStyle name="Normal 2 4 5 2 3 7" xfId="4698" xr:uid="{00000000-0005-0000-0000-000072100000}"/>
    <cellStyle name="Normal 2 4 5 2 3 7 2" xfId="21596" xr:uid="{89677EC6-0328-4FEC-B08E-1B57A92A79A8}"/>
    <cellStyle name="Normal 2 4 5 2 3 7 3" xfId="13148" xr:uid="{F067D2D0-95BE-4057-9B59-1746D3E813BC}"/>
    <cellStyle name="Normal 2 4 5 2 3 8" xfId="17378" xr:uid="{E7C24052-9CE4-4B06-AD57-497E4626840B}"/>
    <cellStyle name="Normal 2 4 5 2 3 9" xfId="8930" xr:uid="{EA0CF05B-4B75-46CA-AED1-29C5D2C039AE}"/>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24152" xr:uid="{AE77BFAF-F6F6-42AA-8947-DAEE3AA7F89B}"/>
    <cellStyle name="Normal 2 4 5 2 4 2 2 3" xfId="15704" xr:uid="{C284F505-DA22-4055-AA21-0013288EE119}"/>
    <cellStyle name="Normal 2 4 5 2 4 2 3" xfId="19934" xr:uid="{CCACF3D8-129D-49A5-A032-7A979ED919C1}"/>
    <cellStyle name="Normal 2 4 5 2 4 2 4" xfId="11486" xr:uid="{3FC22386-21B3-4577-A080-674534B52CDF}"/>
    <cellStyle name="Normal 2 4 5 2 4 3" xfId="5109" xr:uid="{00000000-0005-0000-0000-000076100000}"/>
    <cellStyle name="Normal 2 4 5 2 4 3 2" xfId="22007" xr:uid="{40C03899-6E7D-4A93-A55C-0E7292757296}"/>
    <cellStyle name="Normal 2 4 5 2 4 3 3" xfId="13559" xr:uid="{5FBE800B-EFBD-4567-BA52-40B777E22159}"/>
    <cellStyle name="Normal 2 4 5 2 4 4" xfId="17789" xr:uid="{A2C31097-07CE-4ACF-B666-D37B1049279E}"/>
    <cellStyle name="Normal 2 4 5 2 4 5" xfId="9341" xr:uid="{0137AD35-A980-4683-BEFF-351C8C205F14}"/>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24565" xr:uid="{DCC39D1D-4A59-4048-BFC4-F745A2B9135F}"/>
    <cellStyle name="Normal 2 4 5 2 5 2 2 3" xfId="16117" xr:uid="{8A7B04EF-F37C-4853-A186-73A420068D85}"/>
    <cellStyle name="Normal 2 4 5 2 5 2 3" xfId="20347" xr:uid="{93B42CDC-4DF7-408C-8D90-9FA0BA796440}"/>
    <cellStyle name="Normal 2 4 5 2 5 2 4" xfId="11899" xr:uid="{2E000E33-8D5B-4F59-B49A-8C9486E7BEE7}"/>
    <cellStyle name="Normal 2 4 5 2 5 3" xfId="5522" xr:uid="{00000000-0005-0000-0000-00007A100000}"/>
    <cellStyle name="Normal 2 4 5 2 5 3 2" xfId="22420" xr:uid="{D2C1F723-F636-4A21-89EB-CE8C5A198D7B}"/>
    <cellStyle name="Normal 2 4 5 2 5 3 3" xfId="13972" xr:uid="{641DAB66-C2DF-4BFB-A7D7-80CD9AD6BEA9}"/>
    <cellStyle name="Normal 2 4 5 2 5 4" xfId="18202" xr:uid="{83CD797F-1548-4E3F-A9CE-F02152F5DFAF}"/>
    <cellStyle name="Normal 2 4 5 2 5 5" xfId="9754" xr:uid="{42CD46C7-8209-4F79-9545-C68325EA1CD4}"/>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24978" xr:uid="{EB90CDBD-52C6-499E-BDC6-5E09BBB13EBE}"/>
    <cellStyle name="Normal 2 4 5 2 6 2 2 3" xfId="16530" xr:uid="{3FB2850C-2864-4F2D-9D26-94D2F140FB94}"/>
    <cellStyle name="Normal 2 4 5 2 6 2 3" xfId="20760" xr:uid="{C8F718EA-419D-470C-9ECD-92CB964FAB53}"/>
    <cellStyle name="Normal 2 4 5 2 6 2 4" xfId="12312" xr:uid="{6F98D85F-CB49-4C79-9779-8AE498AF1B2E}"/>
    <cellStyle name="Normal 2 4 5 2 6 3" xfId="5935" xr:uid="{00000000-0005-0000-0000-00007E100000}"/>
    <cellStyle name="Normal 2 4 5 2 6 3 2" xfId="22833" xr:uid="{A7C97675-F4FB-40B2-AC04-A32A032CB1E7}"/>
    <cellStyle name="Normal 2 4 5 2 6 3 3" xfId="14385" xr:uid="{AAD29EF1-FF45-4ACA-9283-B345C650C745}"/>
    <cellStyle name="Normal 2 4 5 2 6 4" xfId="18615" xr:uid="{8CCCB22E-23A9-4DC7-BF3D-653F4032058F}"/>
    <cellStyle name="Normal 2 4 5 2 6 5" xfId="10167" xr:uid="{CD56290A-3927-474D-9B9A-3B8FCDF2546B}"/>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25391" xr:uid="{9040854D-7FCE-42B9-9BD0-3B49C58250D4}"/>
    <cellStyle name="Normal 2 4 5 2 7 2 2 3" xfId="16943" xr:uid="{9C0A3FCE-BFE8-4CDD-85CE-A3494B4B7FD2}"/>
    <cellStyle name="Normal 2 4 5 2 7 2 3" xfId="21173" xr:uid="{7CC8B7FF-4EF0-4AD0-9FE8-36E92BF806B9}"/>
    <cellStyle name="Normal 2 4 5 2 7 2 4" xfId="12725" xr:uid="{08799922-2B34-48F7-BFE4-F8078F6B0780}"/>
    <cellStyle name="Normal 2 4 5 2 7 3" xfId="6348" xr:uid="{00000000-0005-0000-0000-000082100000}"/>
    <cellStyle name="Normal 2 4 5 2 7 3 2" xfId="23246" xr:uid="{1EF5E4AC-392C-4D5B-ACEA-F12BA8074DD2}"/>
    <cellStyle name="Normal 2 4 5 2 7 3 3" xfId="14798" xr:uid="{EE57996B-5518-4D28-AC20-A095E48559A3}"/>
    <cellStyle name="Normal 2 4 5 2 7 4" xfId="19028" xr:uid="{7CCF083F-F5B2-46B1-A987-5637ACA0FBEB}"/>
    <cellStyle name="Normal 2 4 5 2 7 5" xfId="10580" xr:uid="{9201234A-6839-4A30-8918-B7E560163634}"/>
    <cellStyle name="Normal 2 4 5 2 8" xfId="2478" xr:uid="{00000000-0005-0000-0000-000083100000}"/>
    <cellStyle name="Normal 2 4 5 2 8 2" xfId="6761" xr:uid="{00000000-0005-0000-0000-000084100000}"/>
    <cellStyle name="Normal 2 4 5 2 8 2 2" xfId="23659" xr:uid="{C079BA0C-F17C-4E63-8662-5AB5D0F5F2C1}"/>
    <cellStyle name="Normal 2 4 5 2 8 2 3" xfId="15211" xr:uid="{7B9CFD0E-8E81-481A-B38B-E98B6BBFBD51}"/>
    <cellStyle name="Normal 2 4 5 2 8 3" xfId="19441" xr:uid="{650FB7B7-1531-4477-B41E-0743D408B529}"/>
    <cellStyle name="Normal 2 4 5 2 8 4" xfId="10993" xr:uid="{E89A1048-5680-4398-8BFC-A0156E2D8867}"/>
    <cellStyle name="Normal 2 4 5 2 9" xfId="4695" xr:uid="{00000000-0005-0000-0000-000085100000}"/>
    <cellStyle name="Normal 2 4 5 2 9 2" xfId="21593" xr:uid="{B0FE222F-7DD3-4968-9388-514884BEB27B}"/>
    <cellStyle name="Normal 2 4 5 2 9 3" xfId="13145" xr:uid="{944A876A-5ED7-4D28-AF05-B0B1BB33ED6C}"/>
    <cellStyle name="Normal 2 4 5 3" xfId="308" xr:uid="{00000000-0005-0000-0000-000086100000}"/>
    <cellStyle name="Normal 2 4 5 3 10" xfId="8931" xr:uid="{866DE710-0774-4B73-B811-F3CDB330F91F}"/>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24157" xr:uid="{0728026A-1FF4-429D-99D2-03F598B0CAA6}"/>
    <cellStyle name="Normal 2 4 5 3 2 2 2 2 3" xfId="15709" xr:uid="{FC28E088-2163-4D7D-86A0-BA2E740121C8}"/>
    <cellStyle name="Normal 2 4 5 3 2 2 2 3" xfId="19939" xr:uid="{802F8D86-5E6A-4F90-A2AC-6AEB09BE7175}"/>
    <cellStyle name="Normal 2 4 5 3 2 2 2 4" xfId="11491" xr:uid="{C8199D0F-5942-4D87-88F5-E4C01092DDB8}"/>
    <cellStyle name="Normal 2 4 5 3 2 2 3" xfId="5114" xr:uid="{00000000-0005-0000-0000-00008B100000}"/>
    <cellStyle name="Normal 2 4 5 3 2 2 3 2" xfId="22012" xr:uid="{3D71BE83-46A4-46CE-859C-AD13B77AD958}"/>
    <cellStyle name="Normal 2 4 5 3 2 2 3 3" xfId="13564" xr:uid="{2C5A35B6-2005-48C0-9A0A-B760234736A5}"/>
    <cellStyle name="Normal 2 4 5 3 2 2 4" xfId="17794" xr:uid="{B6E1AF39-01E0-41EA-A3E3-47A23031D4B5}"/>
    <cellStyle name="Normal 2 4 5 3 2 2 5" xfId="9346" xr:uid="{4EBBC39E-8E60-4F64-A26D-698E5FB33415}"/>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24570" xr:uid="{FED3A511-944B-44D9-BD1C-6B0A9EE2C285}"/>
    <cellStyle name="Normal 2 4 5 3 2 3 2 2 3" xfId="16122" xr:uid="{7D539149-348F-4445-83BD-03DD5E392C8C}"/>
    <cellStyle name="Normal 2 4 5 3 2 3 2 3" xfId="20352" xr:uid="{B146EB82-55D0-4145-9E76-EC5A7A4A3449}"/>
    <cellStyle name="Normal 2 4 5 3 2 3 2 4" xfId="11904" xr:uid="{89B5FDDD-AA06-4BA4-84A0-BEB07E6B152A}"/>
    <cellStyle name="Normal 2 4 5 3 2 3 3" xfId="5527" xr:uid="{00000000-0005-0000-0000-00008F100000}"/>
    <cellStyle name="Normal 2 4 5 3 2 3 3 2" xfId="22425" xr:uid="{CC94CC79-CF94-4AC0-A4FF-BD6D19F6E703}"/>
    <cellStyle name="Normal 2 4 5 3 2 3 3 3" xfId="13977" xr:uid="{58463127-F9FA-4B8A-8421-6E48F1BAE089}"/>
    <cellStyle name="Normal 2 4 5 3 2 3 4" xfId="18207" xr:uid="{15D84865-ECB3-47D3-9CA0-8A66D5FF9849}"/>
    <cellStyle name="Normal 2 4 5 3 2 3 5" xfId="9759" xr:uid="{D5251565-81CB-4655-93EC-C075B431B3D7}"/>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24983" xr:uid="{04922F66-0B46-414D-B107-69FC9797C2E5}"/>
    <cellStyle name="Normal 2 4 5 3 2 4 2 2 3" xfId="16535" xr:uid="{4BE30799-0FC1-462F-B197-226CBBD7BCE1}"/>
    <cellStyle name="Normal 2 4 5 3 2 4 2 3" xfId="20765" xr:uid="{EE663E4A-197E-4D7A-9E21-E77B2F9840C5}"/>
    <cellStyle name="Normal 2 4 5 3 2 4 2 4" xfId="12317" xr:uid="{A8CDF13B-ECF9-4442-A12B-46637EEEDF61}"/>
    <cellStyle name="Normal 2 4 5 3 2 4 3" xfId="5940" xr:uid="{00000000-0005-0000-0000-000093100000}"/>
    <cellStyle name="Normal 2 4 5 3 2 4 3 2" xfId="22838" xr:uid="{5E587985-0CCA-4969-84C1-11BAB338FB7C}"/>
    <cellStyle name="Normal 2 4 5 3 2 4 3 3" xfId="14390" xr:uid="{7841A70B-C8CE-4D95-B01A-D894450A0937}"/>
    <cellStyle name="Normal 2 4 5 3 2 4 4" xfId="18620" xr:uid="{7B149E4E-4CBE-4B5F-9803-B9AD9B7BB6D0}"/>
    <cellStyle name="Normal 2 4 5 3 2 4 5" xfId="10172" xr:uid="{C1C21187-4FEE-49CB-8722-BAC5BB390D16}"/>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25396" xr:uid="{A164E82F-8172-4B8E-9F64-A925D4EF59A1}"/>
    <cellStyle name="Normal 2 4 5 3 2 5 2 2 3" xfId="16948" xr:uid="{766D7D98-48D3-41B7-8FDA-1111427029CB}"/>
    <cellStyle name="Normal 2 4 5 3 2 5 2 3" xfId="21178" xr:uid="{5415A240-B023-43A2-9230-23B1AE5F4173}"/>
    <cellStyle name="Normal 2 4 5 3 2 5 2 4" xfId="12730" xr:uid="{ED157127-7358-465A-9C73-D931370673C7}"/>
    <cellStyle name="Normal 2 4 5 3 2 5 3" xfId="6353" xr:uid="{00000000-0005-0000-0000-000097100000}"/>
    <cellStyle name="Normal 2 4 5 3 2 5 3 2" xfId="23251" xr:uid="{5813F284-38D9-4BD8-A509-2F449F476D0A}"/>
    <cellStyle name="Normal 2 4 5 3 2 5 3 3" xfId="14803" xr:uid="{EF25C26B-AA90-44ED-AC95-A2DD1B0913FE}"/>
    <cellStyle name="Normal 2 4 5 3 2 5 4" xfId="19033" xr:uid="{DBFAA79A-D1FA-4BBB-B2A4-12299F353ED9}"/>
    <cellStyle name="Normal 2 4 5 3 2 5 5" xfId="10585" xr:uid="{B062BD4F-696C-4DF9-B86D-6D5C8A3690E1}"/>
    <cellStyle name="Normal 2 4 5 3 2 6" xfId="2483" xr:uid="{00000000-0005-0000-0000-000098100000}"/>
    <cellStyle name="Normal 2 4 5 3 2 6 2" xfId="6766" xr:uid="{00000000-0005-0000-0000-000099100000}"/>
    <cellStyle name="Normal 2 4 5 3 2 6 2 2" xfId="23664" xr:uid="{16B6B67A-2A65-4639-BD2E-5385AC0E0FFB}"/>
    <cellStyle name="Normal 2 4 5 3 2 6 2 3" xfId="15216" xr:uid="{58F931DE-EE40-48C6-9F87-A08BE0B0B105}"/>
    <cellStyle name="Normal 2 4 5 3 2 6 3" xfId="19446" xr:uid="{216CFB4B-9900-46B2-92A0-68A919A94AD1}"/>
    <cellStyle name="Normal 2 4 5 3 2 6 4" xfId="10998" xr:uid="{1BEE9046-92D8-4065-A333-6B1BB0CE4D71}"/>
    <cellStyle name="Normal 2 4 5 3 2 7" xfId="4700" xr:uid="{00000000-0005-0000-0000-00009A100000}"/>
    <cellStyle name="Normal 2 4 5 3 2 7 2" xfId="21598" xr:uid="{5975631C-CD2B-4A68-A10B-DDDAB60F0437}"/>
    <cellStyle name="Normal 2 4 5 3 2 7 3" xfId="13150" xr:uid="{D5A11762-87EA-4DF4-A509-4C5113A28EE8}"/>
    <cellStyle name="Normal 2 4 5 3 2 8" xfId="17380" xr:uid="{DFB10B7C-3D04-462E-A564-6B7ACB5750DB}"/>
    <cellStyle name="Normal 2 4 5 3 2 9" xfId="8932" xr:uid="{4BE5D611-FA65-4DB6-A9CB-049A87A15801}"/>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24156" xr:uid="{3D187B96-A331-4800-AEE6-72844C9241F8}"/>
    <cellStyle name="Normal 2 4 5 3 3 2 2 3" xfId="15708" xr:uid="{EDC8D538-1F53-4460-98A1-8AD21A7A8361}"/>
    <cellStyle name="Normal 2 4 5 3 3 2 3" xfId="19938" xr:uid="{7AF81FCD-7F84-4D4B-8436-7AF7A24C0685}"/>
    <cellStyle name="Normal 2 4 5 3 3 2 4" xfId="11490" xr:uid="{6D8ECA8D-F422-450B-A218-96EAF8EC4F46}"/>
    <cellStyle name="Normal 2 4 5 3 3 3" xfId="5113" xr:uid="{00000000-0005-0000-0000-00009E100000}"/>
    <cellStyle name="Normal 2 4 5 3 3 3 2" xfId="22011" xr:uid="{7EC993C1-736D-4171-A83D-F8A177D05FA3}"/>
    <cellStyle name="Normal 2 4 5 3 3 3 3" xfId="13563" xr:uid="{2C436DDF-E629-4CBA-9552-EFDF659C2AA5}"/>
    <cellStyle name="Normal 2 4 5 3 3 4" xfId="17793" xr:uid="{CB05A212-30A6-409B-86EE-BD19FE27208B}"/>
    <cellStyle name="Normal 2 4 5 3 3 5" xfId="9345" xr:uid="{6239D854-A511-4DE0-AA7D-563DE981ACE7}"/>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24569" xr:uid="{C37CEF22-9067-4F9D-BD25-EE03565BF738}"/>
    <cellStyle name="Normal 2 4 5 3 4 2 2 3" xfId="16121" xr:uid="{50C8D8E3-D082-47C6-BBC9-FFD9AA484B34}"/>
    <cellStyle name="Normal 2 4 5 3 4 2 3" xfId="20351" xr:uid="{58388B56-0051-498E-B38E-B74EF1D40225}"/>
    <cellStyle name="Normal 2 4 5 3 4 2 4" xfId="11903" xr:uid="{68E17383-B7D7-40FD-B957-F088510F9DF1}"/>
    <cellStyle name="Normal 2 4 5 3 4 3" xfId="5526" xr:uid="{00000000-0005-0000-0000-0000A2100000}"/>
    <cellStyle name="Normal 2 4 5 3 4 3 2" xfId="22424" xr:uid="{700086D9-F196-44CA-837A-0B5A62CCED1D}"/>
    <cellStyle name="Normal 2 4 5 3 4 3 3" xfId="13976" xr:uid="{475ABC81-FCC7-4C49-9DC1-1A30A05D0951}"/>
    <cellStyle name="Normal 2 4 5 3 4 4" xfId="18206" xr:uid="{2F3DE7F2-DB3F-4960-BA01-5AC1091720D7}"/>
    <cellStyle name="Normal 2 4 5 3 4 5" xfId="9758" xr:uid="{74397366-66D7-413F-9854-D95CA61FECDD}"/>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24982" xr:uid="{7C41C43C-36A6-4617-877E-9407D126EB82}"/>
    <cellStyle name="Normal 2 4 5 3 5 2 2 3" xfId="16534" xr:uid="{D86377F7-F469-4BF8-A4E3-71D89C143758}"/>
    <cellStyle name="Normal 2 4 5 3 5 2 3" xfId="20764" xr:uid="{5DE43403-C727-4732-8792-1C9D1000E152}"/>
    <cellStyle name="Normal 2 4 5 3 5 2 4" xfId="12316" xr:uid="{DFD6A3A8-0E1D-4C2B-AC7F-1EE62E138993}"/>
    <cellStyle name="Normal 2 4 5 3 5 3" xfId="5939" xr:uid="{00000000-0005-0000-0000-0000A6100000}"/>
    <cellStyle name="Normal 2 4 5 3 5 3 2" xfId="22837" xr:uid="{C965957E-13AF-4733-8C57-06585DD1F326}"/>
    <cellStyle name="Normal 2 4 5 3 5 3 3" xfId="14389" xr:uid="{2EDFFBB1-5532-4739-8D37-C83B37D9D5E2}"/>
    <cellStyle name="Normal 2 4 5 3 5 4" xfId="18619" xr:uid="{CFB14E84-400D-4CF2-B5DA-D0613F780B2A}"/>
    <cellStyle name="Normal 2 4 5 3 5 5" xfId="10171" xr:uid="{8D73A95B-D55B-4800-87FC-E0BE8A39F34E}"/>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25395" xr:uid="{4F4F9ED1-14AA-4791-B34D-124812949184}"/>
    <cellStyle name="Normal 2 4 5 3 6 2 2 3" xfId="16947" xr:uid="{119E3A63-5034-44A3-B902-C549CBD707CE}"/>
    <cellStyle name="Normal 2 4 5 3 6 2 3" xfId="21177" xr:uid="{82F58D37-8883-4C7F-856E-1D02B2413FA6}"/>
    <cellStyle name="Normal 2 4 5 3 6 2 4" xfId="12729" xr:uid="{D923F6CA-F0C9-4037-8BE5-2A6731931712}"/>
    <cellStyle name="Normal 2 4 5 3 6 3" xfId="6352" xr:uid="{00000000-0005-0000-0000-0000AA100000}"/>
    <cellStyle name="Normal 2 4 5 3 6 3 2" xfId="23250" xr:uid="{702857A0-33CA-4173-AF45-C9B274CC5F11}"/>
    <cellStyle name="Normal 2 4 5 3 6 3 3" xfId="14802" xr:uid="{7AA7193E-8EC5-4BB4-85D5-0AC9035D6A0E}"/>
    <cellStyle name="Normal 2 4 5 3 6 4" xfId="19032" xr:uid="{1ACEE9D0-8667-4872-B9A3-62DE005A45FA}"/>
    <cellStyle name="Normal 2 4 5 3 6 5" xfId="10584" xr:uid="{7210CD44-362C-4BB3-85F5-BF15A6ED511D}"/>
    <cellStyle name="Normal 2 4 5 3 7" xfId="2482" xr:uid="{00000000-0005-0000-0000-0000AB100000}"/>
    <cellStyle name="Normal 2 4 5 3 7 2" xfId="6765" xr:uid="{00000000-0005-0000-0000-0000AC100000}"/>
    <cellStyle name="Normal 2 4 5 3 7 2 2" xfId="23663" xr:uid="{B1013A55-186B-4650-A51A-C729AC6CB657}"/>
    <cellStyle name="Normal 2 4 5 3 7 2 3" xfId="15215" xr:uid="{A3B883EC-9545-4B14-8F40-4B51A3D6EF95}"/>
    <cellStyle name="Normal 2 4 5 3 7 3" xfId="19445" xr:uid="{57C38082-8AF3-4BD1-B03D-A40D81478F62}"/>
    <cellStyle name="Normal 2 4 5 3 7 4" xfId="10997" xr:uid="{349B1484-6F71-4D1F-9321-30B044996FA0}"/>
    <cellStyle name="Normal 2 4 5 3 8" xfId="4699" xr:uid="{00000000-0005-0000-0000-0000AD100000}"/>
    <cellStyle name="Normal 2 4 5 3 8 2" xfId="21597" xr:uid="{2E9D4BB0-EEC1-4042-A6D6-E16743923767}"/>
    <cellStyle name="Normal 2 4 5 3 8 3" xfId="13149" xr:uid="{CEBF89F5-30CC-43B6-90BB-0F0568B049DA}"/>
    <cellStyle name="Normal 2 4 5 3 9" xfId="17379" xr:uid="{D43E0EF2-453B-440A-8A20-93E5C0CDA812}"/>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24158" xr:uid="{4019A5B3-2319-4740-8308-3D4B75F76162}"/>
    <cellStyle name="Normal 2 4 5 4 2 2 2 3" xfId="15710" xr:uid="{49EC224F-DE5F-4B15-9713-E70E533C92F8}"/>
    <cellStyle name="Normal 2 4 5 4 2 2 3" xfId="19940" xr:uid="{1DED2B04-903D-4E3A-8C30-29952AC0C760}"/>
    <cellStyle name="Normal 2 4 5 4 2 2 4" xfId="11492" xr:uid="{AD75EFAC-089E-42A8-9822-6EA13CDD3134}"/>
    <cellStyle name="Normal 2 4 5 4 2 3" xfId="5115" xr:uid="{00000000-0005-0000-0000-0000B2100000}"/>
    <cellStyle name="Normal 2 4 5 4 2 3 2" xfId="22013" xr:uid="{9F6E65BD-F299-4E0B-AF02-C7E10C795872}"/>
    <cellStyle name="Normal 2 4 5 4 2 3 3" xfId="13565" xr:uid="{CF49BC55-ADAB-4F9F-ADA6-F7E48C29A954}"/>
    <cellStyle name="Normal 2 4 5 4 2 4" xfId="17795" xr:uid="{F8512FA8-3129-4B52-BF7F-905FE2617A59}"/>
    <cellStyle name="Normal 2 4 5 4 2 5" xfId="9347" xr:uid="{43FE24B3-C587-46EA-8CE4-6A6CCF6C12A7}"/>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24571" xr:uid="{30ADE920-EA94-4A09-AFD2-765D5ED39171}"/>
    <cellStyle name="Normal 2 4 5 4 3 2 2 3" xfId="16123" xr:uid="{18513D10-EA97-4954-8180-F1FD50808666}"/>
    <cellStyle name="Normal 2 4 5 4 3 2 3" xfId="20353" xr:uid="{133940EE-3BD2-4356-BD3B-DF9256C2FC7E}"/>
    <cellStyle name="Normal 2 4 5 4 3 2 4" xfId="11905" xr:uid="{06711551-2355-4744-B4A9-636926605977}"/>
    <cellStyle name="Normal 2 4 5 4 3 3" xfId="5528" xr:uid="{00000000-0005-0000-0000-0000B6100000}"/>
    <cellStyle name="Normal 2 4 5 4 3 3 2" xfId="22426" xr:uid="{32FBA764-3D68-4E32-8F57-07F33ABED62B}"/>
    <cellStyle name="Normal 2 4 5 4 3 3 3" xfId="13978" xr:uid="{85F7FF78-45FA-40A1-94D4-B6F02B6E9211}"/>
    <cellStyle name="Normal 2 4 5 4 3 4" xfId="18208" xr:uid="{BC14F1C8-5BD9-47B0-92AB-A1571552843A}"/>
    <cellStyle name="Normal 2 4 5 4 3 5" xfId="9760" xr:uid="{9C790767-A106-4452-B1DA-79DAC81FEBF1}"/>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24984" xr:uid="{6B09549E-9665-419A-ADA6-008432E76F39}"/>
    <cellStyle name="Normal 2 4 5 4 4 2 2 3" xfId="16536" xr:uid="{0F5A0D72-06D4-4DAB-9D9B-C0911EA6BC5E}"/>
    <cellStyle name="Normal 2 4 5 4 4 2 3" xfId="20766" xr:uid="{4873CE32-26F3-4A5F-8B8A-0429CD18F614}"/>
    <cellStyle name="Normal 2 4 5 4 4 2 4" xfId="12318" xr:uid="{CA353D97-3EE1-4B8A-8A32-24E1B2C0EA4A}"/>
    <cellStyle name="Normal 2 4 5 4 4 3" xfId="5941" xr:uid="{00000000-0005-0000-0000-0000BA100000}"/>
    <cellStyle name="Normal 2 4 5 4 4 3 2" xfId="22839" xr:uid="{08A7F693-38C4-4E43-82B1-BBF3E15C841F}"/>
    <cellStyle name="Normal 2 4 5 4 4 3 3" xfId="14391" xr:uid="{96F7692F-AAB8-41D2-9E8B-D7D084C85078}"/>
    <cellStyle name="Normal 2 4 5 4 4 4" xfId="18621" xr:uid="{1A6F436A-4394-4AB9-845A-A12E1C8DBAEB}"/>
    <cellStyle name="Normal 2 4 5 4 4 5" xfId="10173" xr:uid="{64B0CEFE-E023-4E1D-A0A3-495A7061EC6A}"/>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25397" xr:uid="{ED2B9DE8-D34D-4ECF-81F5-FD8BF5B224AB}"/>
    <cellStyle name="Normal 2 4 5 4 5 2 2 3" xfId="16949" xr:uid="{88C5EC8E-ADB7-4E9E-B1FB-5AE3ECC8B48B}"/>
    <cellStyle name="Normal 2 4 5 4 5 2 3" xfId="21179" xr:uid="{DC026307-5FD1-4F13-A223-72A0F8C74B8D}"/>
    <cellStyle name="Normal 2 4 5 4 5 2 4" xfId="12731" xr:uid="{AF22280D-AA4B-4422-A679-466E4E6D9202}"/>
    <cellStyle name="Normal 2 4 5 4 5 3" xfId="6354" xr:uid="{00000000-0005-0000-0000-0000BE100000}"/>
    <cellStyle name="Normal 2 4 5 4 5 3 2" xfId="23252" xr:uid="{3417D91E-B1CB-410A-86C8-16B9C7DF510F}"/>
    <cellStyle name="Normal 2 4 5 4 5 3 3" xfId="14804" xr:uid="{8EF9DED5-21BF-42FE-9C6B-414820F0C514}"/>
    <cellStyle name="Normal 2 4 5 4 5 4" xfId="19034" xr:uid="{B4EA5C94-A781-446C-8436-F23998BADC0A}"/>
    <cellStyle name="Normal 2 4 5 4 5 5" xfId="10586" xr:uid="{AA65BF08-2F68-4A0B-B329-69CE163A3C07}"/>
    <cellStyle name="Normal 2 4 5 4 6" xfId="2484" xr:uid="{00000000-0005-0000-0000-0000BF100000}"/>
    <cellStyle name="Normal 2 4 5 4 6 2" xfId="6767" xr:uid="{00000000-0005-0000-0000-0000C0100000}"/>
    <cellStyle name="Normal 2 4 5 4 6 2 2" xfId="23665" xr:uid="{4122339F-387C-4532-9DE8-5C736F42D7E2}"/>
    <cellStyle name="Normal 2 4 5 4 6 2 3" xfId="15217" xr:uid="{FAC41E28-0A89-479B-9411-E42580CC27E1}"/>
    <cellStyle name="Normal 2 4 5 4 6 3" xfId="19447" xr:uid="{BE255092-873B-40B6-B201-1DDE6490F47C}"/>
    <cellStyle name="Normal 2 4 5 4 6 4" xfId="10999" xr:uid="{F1F1022A-2D42-4F6B-9083-B070CCC532E6}"/>
    <cellStyle name="Normal 2 4 5 4 7" xfId="4701" xr:uid="{00000000-0005-0000-0000-0000C1100000}"/>
    <cellStyle name="Normal 2 4 5 4 7 2" xfId="21599" xr:uid="{5A6F0D79-F8C9-4929-A13C-10231F3655D4}"/>
    <cellStyle name="Normal 2 4 5 4 7 3" xfId="13151" xr:uid="{023A87D9-F58D-4E6C-8982-78535A6EBEA9}"/>
    <cellStyle name="Normal 2 4 5 4 8" xfId="17381" xr:uid="{B4D47930-3725-4A12-9FE7-933F7C0D7826}"/>
    <cellStyle name="Normal 2 4 5 4 9" xfId="8933" xr:uid="{27E6F9A1-B19A-43F9-8163-7D9231120CAE}"/>
    <cellStyle name="Normal 2 4 5 5" xfId="792" xr:uid="{00000000-0005-0000-0000-0000C2100000}"/>
    <cellStyle name="Normal 2 4 5 5 2" xfId="3031" xr:uid="{00000000-0005-0000-0000-0000C3100000}"/>
    <cellStyle name="Normal 2 4 5 5 2 2" xfId="7253" xr:uid="{00000000-0005-0000-0000-0000C4100000}"/>
    <cellStyle name="Normal 2 4 5 5 2 2 2" xfId="24151" xr:uid="{0CD59415-DA83-4801-8466-B93F3D743CDE}"/>
    <cellStyle name="Normal 2 4 5 5 2 2 3" xfId="15703" xr:uid="{62826C1A-0256-4A7E-8708-5842C5B2B410}"/>
    <cellStyle name="Normal 2 4 5 5 2 3" xfId="19933" xr:uid="{25286317-CCF1-4D50-BA86-9CA51F702059}"/>
    <cellStyle name="Normal 2 4 5 5 2 4" xfId="11485" xr:uid="{2E26CD61-1A8D-4F0F-A7FF-3C17242B8BDB}"/>
    <cellStyle name="Normal 2 4 5 5 3" xfId="5108" xr:uid="{00000000-0005-0000-0000-0000C5100000}"/>
    <cellStyle name="Normal 2 4 5 5 3 2" xfId="22006" xr:uid="{54D82003-F403-4F8B-99B7-746846821ED2}"/>
    <cellStyle name="Normal 2 4 5 5 3 3" xfId="13558" xr:uid="{C999511B-10B9-4051-AF53-6FEAB2D01BD7}"/>
    <cellStyle name="Normal 2 4 5 5 4" xfId="17788" xr:uid="{8562F31C-24DA-4D50-936E-99C1B3C9A806}"/>
    <cellStyle name="Normal 2 4 5 5 5" xfId="9340" xr:uid="{72E0AA08-3160-48C8-BA22-A232FABE6625}"/>
    <cellStyle name="Normal 2 4 5 6" xfId="1214" xr:uid="{00000000-0005-0000-0000-0000C6100000}"/>
    <cellStyle name="Normal 2 4 5 6 2" xfId="3444" xr:uid="{00000000-0005-0000-0000-0000C7100000}"/>
    <cellStyle name="Normal 2 4 5 6 2 2" xfId="7666" xr:uid="{00000000-0005-0000-0000-0000C8100000}"/>
    <cellStyle name="Normal 2 4 5 6 2 2 2" xfId="24564" xr:uid="{E0251515-2A53-427F-A851-D7F40CBE785E}"/>
    <cellStyle name="Normal 2 4 5 6 2 2 3" xfId="16116" xr:uid="{C5DFD772-E94C-443E-8A44-355C71807E47}"/>
    <cellStyle name="Normal 2 4 5 6 2 3" xfId="20346" xr:uid="{A238AB9D-6CA2-458A-AF87-3FE96F202AD2}"/>
    <cellStyle name="Normal 2 4 5 6 2 4" xfId="11898" xr:uid="{81E28138-EAD5-40DC-BBA9-CEBAECE6A414}"/>
    <cellStyle name="Normal 2 4 5 6 3" xfId="5521" xr:uid="{00000000-0005-0000-0000-0000C9100000}"/>
    <cellStyle name="Normal 2 4 5 6 3 2" xfId="22419" xr:uid="{BA433732-8B4C-49F8-8975-13C56CCE4486}"/>
    <cellStyle name="Normal 2 4 5 6 3 3" xfId="13971" xr:uid="{268A2319-7E96-47EA-A6A0-3F3F9F7F6D6D}"/>
    <cellStyle name="Normal 2 4 5 6 4" xfId="18201" xr:uid="{0BA9872A-C7EE-4230-A28C-CDA0EC0F00E8}"/>
    <cellStyle name="Normal 2 4 5 6 5" xfId="9753" xr:uid="{FE911C5F-FCB7-41DD-A77D-35CF3905991A}"/>
    <cellStyle name="Normal 2 4 5 7" xfId="1627" xr:uid="{00000000-0005-0000-0000-0000CA100000}"/>
    <cellStyle name="Normal 2 4 5 7 2" xfId="3857" xr:uid="{00000000-0005-0000-0000-0000CB100000}"/>
    <cellStyle name="Normal 2 4 5 7 2 2" xfId="8079" xr:uid="{00000000-0005-0000-0000-0000CC100000}"/>
    <cellStyle name="Normal 2 4 5 7 2 2 2" xfId="24977" xr:uid="{5A5EA2E1-BFB9-424A-8B65-B3E386D8B17A}"/>
    <cellStyle name="Normal 2 4 5 7 2 2 3" xfId="16529" xr:uid="{41BB22B3-9DE2-4A32-AFA8-0AD0090FCD8C}"/>
    <cellStyle name="Normal 2 4 5 7 2 3" xfId="20759" xr:uid="{5E38FDAE-520C-43F8-A813-91A08FC53B77}"/>
    <cellStyle name="Normal 2 4 5 7 2 4" xfId="12311" xr:uid="{5662663F-3E25-412C-A8B5-A76517500168}"/>
    <cellStyle name="Normal 2 4 5 7 3" xfId="5934" xr:uid="{00000000-0005-0000-0000-0000CD100000}"/>
    <cellStyle name="Normal 2 4 5 7 3 2" xfId="22832" xr:uid="{57F0EAFE-BDE9-4EE3-9A44-979D8FF552A3}"/>
    <cellStyle name="Normal 2 4 5 7 3 3" xfId="14384" xr:uid="{EDB523DE-D2DB-427B-8FE1-AFDEA221BC75}"/>
    <cellStyle name="Normal 2 4 5 7 4" xfId="18614" xr:uid="{4D319DF7-5954-49D8-9BFA-5E472316E6F6}"/>
    <cellStyle name="Normal 2 4 5 7 5" xfId="10166" xr:uid="{F1B07EF7-B44E-4C9B-994C-2204F3AEE040}"/>
    <cellStyle name="Normal 2 4 5 8" xfId="2041" xr:uid="{00000000-0005-0000-0000-0000CE100000}"/>
    <cellStyle name="Normal 2 4 5 8 2" xfId="4270" xr:uid="{00000000-0005-0000-0000-0000CF100000}"/>
    <cellStyle name="Normal 2 4 5 8 2 2" xfId="8492" xr:uid="{00000000-0005-0000-0000-0000D0100000}"/>
    <cellStyle name="Normal 2 4 5 8 2 2 2" xfId="25390" xr:uid="{4E710919-A02E-43A3-9B2D-FBA429E35CAB}"/>
    <cellStyle name="Normal 2 4 5 8 2 2 3" xfId="16942" xr:uid="{813337D0-17E1-4272-B1D3-67BC97270B28}"/>
    <cellStyle name="Normal 2 4 5 8 2 3" xfId="21172" xr:uid="{22F5891E-EEA0-4BA5-AB2A-EBA4F5DB237E}"/>
    <cellStyle name="Normal 2 4 5 8 2 4" xfId="12724" xr:uid="{E098E28C-D6F6-429F-A8F7-DA61FF1AB9B5}"/>
    <cellStyle name="Normal 2 4 5 8 3" xfId="6347" xr:uid="{00000000-0005-0000-0000-0000D1100000}"/>
    <cellStyle name="Normal 2 4 5 8 3 2" xfId="23245" xr:uid="{1C745990-C061-4084-B41D-6D7BD71A9B11}"/>
    <cellStyle name="Normal 2 4 5 8 3 3" xfId="14797" xr:uid="{1B28C885-9D59-4A5C-9184-5914D078E301}"/>
    <cellStyle name="Normal 2 4 5 8 4" xfId="19027" xr:uid="{3C0E8618-AA1A-4188-8B41-7F787C81AAEE}"/>
    <cellStyle name="Normal 2 4 5 8 5" xfId="10579" xr:uid="{5965DB73-95BE-45C4-8A58-8919C0D08FDC}"/>
    <cellStyle name="Normal 2 4 5 9" xfId="2477" xr:uid="{00000000-0005-0000-0000-0000D2100000}"/>
    <cellStyle name="Normal 2 4 5 9 2" xfId="6760" xr:uid="{00000000-0005-0000-0000-0000D3100000}"/>
    <cellStyle name="Normal 2 4 5 9 2 2" xfId="23658" xr:uid="{1ED8E88F-4234-4A76-9844-36988A1D3D87}"/>
    <cellStyle name="Normal 2 4 5 9 2 3" xfId="15210" xr:uid="{AA3D31DB-C3E4-471C-B400-096C4209E4B9}"/>
    <cellStyle name="Normal 2 4 5 9 3" xfId="19440" xr:uid="{05881273-B54E-4BCF-9D8F-DF5C375AA6A7}"/>
    <cellStyle name="Normal 2 4 5 9 4" xfId="10992" xr:uid="{11063F19-E05F-4F34-8838-1C4EE6BDB9D3}"/>
    <cellStyle name="Normal 2 4 6" xfId="311" xr:uid="{00000000-0005-0000-0000-0000D4100000}"/>
    <cellStyle name="Normal 2 4 7" xfId="312" xr:uid="{00000000-0005-0000-0000-0000D5100000}"/>
    <cellStyle name="Normal 2 4 7 10" xfId="8934" xr:uid="{DF846475-1C6C-45E0-B6CA-86B61B8F413E}"/>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24160" xr:uid="{73EFBEF2-9174-4A8A-B0CB-90F4F65023CF}"/>
    <cellStyle name="Normal 2 4 7 2 2 2 2 3" xfId="15712" xr:uid="{5D9FD0AC-D063-47F9-A018-434FED1EDF30}"/>
    <cellStyle name="Normal 2 4 7 2 2 2 3" xfId="19942" xr:uid="{56143E97-C227-4663-AC09-D24D1DBC582A}"/>
    <cellStyle name="Normal 2 4 7 2 2 2 4" xfId="11494" xr:uid="{5B5C0B27-A4DC-4881-90EF-2E721AD3812E}"/>
    <cellStyle name="Normal 2 4 7 2 2 3" xfId="5117" xr:uid="{00000000-0005-0000-0000-0000DA100000}"/>
    <cellStyle name="Normal 2 4 7 2 2 3 2" xfId="22015" xr:uid="{81D64807-5BFA-4BAD-80D5-FD4D50FCBAF8}"/>
    <cellStyle name="Normal 2 4 7 2 2 3 3" xfId="13567" xr:uid="{F2F80800-E776-48D6-A86C-03B6FB2DC7C4}"/>
    <cellStyle name="Normal 2 4 7 2 2 4" xfId="17797" xr:uid="{6785BBB6-2902-4924-A315-DC134B65D11A}"/>
    <cellStyle name="Normal 2 4 7 2 2 5" xfId="9349" xr:uid="{54E8DDB3-5BD9-42A0-AD45-7E8904B3F636}"/>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24573" xr:uid="{A76FCA6A-D303-45B2-97AE-0411E5846A19}"/>
    <cellStyle name="Normal 2 4 7 2 3 2 2 3" xfId="16125" xr:uid="{7950E0A8-E488-4303-8AD3-9E1EF457A24D}"/>
    <cellStyle name="Normal 2 4 7 2 3 2 3" xfId="20355" xr:uid="{7F15ED4A-D147-44DD-AC93-D607F9C2CDBD}"/>
    <cellStyle name="Normal 2 4 7 2 3 2 4" xfId="11907" xr:uid="{30095DB3-D928-4B66-9286-4E096D8AAD2D}"/>
    <cellStyle name="Normal 2 4 7 2 3 3" xfId="5530" xr:uid="{00000000-0005-0000-0000-0000DE100000}"/>
    <cellStyle name="Normal 2 4 7 2 3 3 2" xfId="22428" xr:uid="{94D44DC5-275F-4D1E-A274-C393FC939AD5}"/>
    <cellStyle name="Normal 2 4 7 2 3 3 3" xfId="13980" xr:uid="{5E2CC418-9A49-46D8-BEED-B89F4DA83D80}"/>
    <cellStyle name="Normal 2 4 7 2 3 4" xfId="18210" xr:uid="{D3069E3F-5562-4F92-AB52-6513C1E10EC1}"/>
    <cellStyle name="Normal 2 4 7 2 3 5" xfId="9762" xr:uid="{55FA3A65-3CD2-4C1E-A444-F93AE23ADC43}"/>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24986" xr:uid="{2FD9CBE3-4E1D-4A9F-9AD7-1370E74637C7}"/>
    <cellStyle name="Normal 2 4 7 2 4 2 2 3" xfId="16538" xr:uid="{02EC4EF7-9330-4CE0-B779-66CA13878E79}"/>
    <cellStyle name="Normal 2 4 7 2 4 2 3" xfId="20768" xr:uid="{757DF821-0E40-40EF-8361-2162B587476C}"/>
    <cellStyle name="Normal 2 4 7 2 4 2 4" xfId="12320" xr:uid="{BEB30C8D-D0C4-4970-8D40-A197D217FB49}"/>
    <cellStyle name="Normal 2 4 7 2 4 3" xfId="5943" xr:uid="{00000000-0005-0000-0000-0000E2100000}"/>
    <cellStyle name="Normal 2 4 7 2 4 3 2" xfId="22841" xr:uid="{12BE3723-F6A8-4C18-B057-7F67913D1D57}"/>
    <cellStyle name="Normal 2 4 7 2 4 3 3" xfId="14393" xr:uid="{383C0B22-4769-48C6-883F-2F5063FC7E99}"/>
    <cellStyle name="Normal 2 4 7 2 4 4" xfId="18623" xr:uid="{A826E699-D6C7-4975-95A0-DEBA72B1EEFF}"/>
    <cellStyle name="Normal 2 4 7 2 4 5" xfId="10175" xr:uid="{BCF6068C-6E15-438B-9B12-2296C76A7943}"/>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25399" xr:uid="{38896672-4B27-4267-921B-2A569AF89A20}"/>
    <cellStyle name="Normal 2 4 7 2 5 2 2 3" xfId="16951" xr:uid="{B56B3D4D-DA4D-4A54-91C4-DFBC22092D05}"/>
    <cellStyle name="Normal 2 4 7 2 5 2 3" xfId="21181" xr:uid="{CFB5B8A4-E0CB-418F-B278-451D1BB66414}"/>
    <cellStyle name="Normal 2 4 7 2 5 2 4" xfId="12733" xr:uid="{A0E632A9-9414-47A6-9751-F1076D06FD95}"/>
    <cellStyle name="Normal 2 4 7 2 5 3" xfId="6356" xr:uid="{00000000-0005-0000-0000-0000E6100000}"/>
    <cellStyle name="Normal 2 4 7 2 5 3 2" xfId="23254" xr:uid="{E21798C2-AEF6-4D6F-AAC2-0156951C3926}"/>
    <cellStyle name="Normal 2 4 7 2 5 3 3" xfId="14806" xr:uid="{0C42B96C-0CFD-485E-AF73-B1FA64795BCA}"/>
    <cellStyle name="Normal 2 4 7 2 5 4" xfId="19036" xr:uid="{37BF0D91-4DFC-4599-B713-E76BF04BD5D4}"/>
    <cellStyle name="Normal 2 4 7 2 5 5" xfId="10588" xr:uid="{FCDFC54D-32C9-4D0F-9F7B-DFF767A3E72D}"/>
    <cellStyle name="Normal 2 4 7 2 6" xfId="2486" xr:uid="{00000000-0005-0000-0000-0000E7100000}"/>
    <cellStyle name="Normal 2 4 7 2 6 2" xfId="6769" xr:uid="{00000000-0005-0000-0000-0000E8100000}"/>
    <cellStyle name="Normal 2 4 7 2 6 2 2" xfId="23667" xr:uid="{34F295E8-035E-47BE-9B79-64B9BD0AE1D8}"/>
    <cellStyle name="Normal 2 4 7 2 6 2 3" xfId="15219" xr:uid="{0C0E610E-BA7A-4525-B045-FFA4E6C8C595}"/>
    <cellStyle name="Normal 2 4 7 2 6 3" xfId="19449" xr:uid="{6882D2E1-7F06-4A07-8343-DC598AF616A7}"/>
    <cellStyle name="Normal 2 4 7 2 6 4" xfId="11001" xr:uid="{16817ACE-D744-4C65-99D4-20B00B3AE785}"/>
    <cellStyle name="Normal 2 4 7 2 7" xfId="4703" xr:uid="{00000000-0005-0000-0000-0000E9100000}"/>
    <cellStyle name="Normal 2 4 7 2 7 2" xfId="21601" xr:uid="{62CC459F-6270-499E-B724-E778CC8E2162}"/>
    <cellStyle name="Normal 2 4 7 2 7 3" xfId="13153" xr:uid="{6F16F4C9-4233-4A25-988E-8942F8A49188}"/>
    <cellStyle name="Normal 2 4 7 2 8" xfId="17383" xr:uid="{2857FE70-D1DA-47B4-88C5-3BF7C1763A0D}"/>
    <cellStyle name="Normal 2 4 7 2 9" xfId="8935" xr:uid="{8E135C8B-AFD3-4313-8CD9-893F08202F5A}"/>
    <cellStyle name="Normal 2 4 7 3" xfId="800" xr:uid="{00000000-0005-0000-0000-0000EA100000}"/>
    <cellStyle name="Normal 2 4 7 3 2" xfId="3039" xr:uid="{00000000-0005-0000-0000-0000EB100000}"/>
    <cellStyle name="Normal 2 4 7 3 2 2" xfId="7261" xr:uid="{00000000-0005-0000-0000-0000EC100000}"/>
    <cellStyle name="Normal 2 4 7 3 2 2 2" xfId="24159" xr:uid="{67FEFBC7-6CC7-4127-B8BF-176A5F29A042}"/>
    <cellStyle name="Normal 2 4 7 3 2 2 3" xfId="15711" xr:uid="{43CB33FB-CAE7-4952-9AFD-9A51010CEA06}"/>
    <cellStyle name="Normal 2 4 7 3 2 3" xfId="19941" xr:uid="{B59D856B-C8B0-4A65-A211-8AD7F23E2C5F}"/>
    <cellStyle name="Normal 2 4 7 3 2 4" xfId="11493" xr:uid="{74B1B618-D148-44F4-97F4-572FF8C70027}"/>
    <cellStyle name="Normal 2 4 7 3 3" xfId="5116" xr:uid="{00000000-0005-0000-0000-0000ED100000}"/>
    <cellStyle name="Normal 2 4 7 3 3 2" xfId="22014" xr:uid="{17A355B7-1F81-4EA7-B7B9-F292997138AD}"/>
    <cellStyle name="Normal 2 4 7 3 3 3" xfId="13566" xr:uid="{52D0C04C-9530-4E13-9F6A-2E9772535553}"/>
    <cellStyle name="Normal 2 4 7 3 4" xfId="17796" xr:uid="{26648DCD-5ED4-4858-81C8-02556F401587}"/>
    <cellStyle name="Normal 2 4 7 3 5" xfId="9348" xr:uid="{5053FA32-3744-4A8E-A304-BB7B011F675D}"/>
    <cellStyle name="Normal 2 4 7 4" xfId="1222" xr:uid="{00000000-0005-0000-0000-0000EE100000}"/>
    <cellStyle name="Normal 2 4 7 4 2" xfId="3452" xr:uid="{00000000-0005-0000-0000-0000EF100000}"/>
    <cellStyle name="Normal 2 4 7 4 2 2" xfId="7674" xr:uid="{00000000-0005-0000-0000-0000F0100000}"/>
    <cellStyle name="Normal 2 4 7 4 2 2 2" xfId="24572" xr:uid="{7058EFCD-265E-4267-9B4C-257BDDEEC591}"/>
    <cellStyle name="Normal 2 4 7 4 2 2 3" xfId="16124" xr:uid="{7414D377-FA21-4477-9BF7-7A48C018C111}"/>
    <cellStyle name="Normal 2 4 7 4 2 3" xfId="20354" xr:uid="{6FA91712-5CB2-40FD-93E5-F60ED74F4E67}"/>
    <cellStyle name="Normal 2 4 7 4 2 4" xfId="11906" xr:uid="{E51F2316-C1C2-4E2A-97D7-4713C79CF841}"/>
    <cellStyle name="Normal 2 4 7 4 3" xfId="5529" xr:uid="{00000000-0005-0000-0000-0000F1100000}"/>
    <cellStyle name="Normal 2 4 7 4 3 2" xfId="22427" xr:uid="{232FDFC3-E461-4E92-B277-A72F812A80EE}"/>
    <cellStyle name="Normal 2 4 7 4 3 3" xfId="13979" xr:uid="{A895D653-9528-4900-B02B-FC03E1B47EC5}"/>
    <cellStyle name="Normal 2 4 7 4 4" xfId="18209" xr:uid="{F1252838-DF10-41DC-BA77-3D2252F3086F}"/>
    <cellStyle name="Normal 2 4 7 4 5" xfId="9761" xr:uid="{CA7E1E3B-E6A5-42EF-BF41-1CA801436A1D}"/>
    <cellStyle name="Normal 2 4 7 5" xfId="1635" xr:uid="{00000000-0005-0000-0000-0000F2100000}"/>
    <cellStyle name="Normal 2 4 7 5 2" xfId="3865" xr:uid="{00000000-0005-0000-0000-0000F3100000}"/>
    <cellStyle name="Normal 2 4 7 5 2 2" xfId="8087" xr:uid="{00000000-0005-0000-0000-0000F4100000}"/>
    <cellStyle name="Normal 2 4 7 5 2 2 2" xfId="24985" xr:uid="{7C6C29AB-51E7-4252-AE4B-89E343AC5371}"/>
    <cellStyle name="Normal 2 4 7 5 2 2 3" xfId="16537" xr:uid="{254BBFC9-A5BD-46FA-B88D-87A9E500643F}"/>
    <cellStyle name="Normal 2 4 7 5 2 3" xfId="20767" xr:uid="{675695B8-9EDC-4FA7-829B-25015A9C0ED9}"/>
    <cellStyle name="Normal 2 4 7 5 2 4" xfId="12319" xr:uid="{4FFA5D1E-7C35-46F9-9BC6-80E37575BC9E}"/>
    <cellStyle name="Normal 2 4 7 5 3" xfId="5942" xr:uid="{00000000-0005-0000-0000-0000F5100000}"/>
    <cellStyle name="Normal 2 4 7 5 3 2" xfId="22840" xr:uid="{3375DD27-7A87-414C-8152-1AAAA51E1D31}"/>
    <cellStyle name="Normal 2 4 7 5 3 3" xfId="14392" xr:uid="{53DF1A67-62F1-4509-A79C-3229C1ABA152}"/>
    <cellStyle name="Normal 2 4 7 5 4" xfId="18622" xr:uid="{4178C3C0-E336-4E2B-B487-7062E65D3E61}"/>
    <cellStyle name="Normal 2 4 7 5 5" xfId="10174" xr:uid="{A4A1102F-EB26-4EAB-8864-4A7A9745E0F6}"/>
    <cellStyle name="Normal 2 4 7 6" xfId="2049" xr:uid="{00000000-0005-0000-0000-0000F6100000}"/>
    <cellStyle name="Normal 2 4 7 6 2" xfId="4278" xr:uid="{00000000-0005-0000-0000-0000F7100000}"/>
    <cellStyle name="Normal 2 4 7 6 2 2" xfId="8500" xr:uid="{00000000-0005-0000-0000-0000F8100000}"/>
    <cellStyle name="Normal 2 4 7 6 2 2 2" xfId="25398" xr:uid="{E4B67553-64C5-4802-8541-487C25DC3634}"/>
    <cellStyle name="Normal 2 4 7 6 2 2 3" xfId="16950" xr:uid="{5A9F3F06-7D39-4984-A477-9B2EC234F6AD}"/>
    <cellStyle name="Normal 2 4 7 6 2 3" xfId="21180" xr:uid="{58FFBE00-0436-4E2A-A250-7A8BE7E7230D}"/>
    <cellStyle name="Normal 2 4 7 6 2 4" xfId="12732" xr:uid="{3A4D1205-6527-43AD-A35E-054FE110BB98}"/>
    <cellStyle name="Normal 2 4 7 6 3" xfId="6355" xr:uid="{00000000-0005-0000-0000-0000F9100000}"/>
    <cellStyle name="Normal 2 4 7 6 3 2" xfId="23253" xr:uid="{06435050-F377-4E96-AAD7-9D8305B8E743}"/>
    <cellStyle name="Normal 2 4 7 6 3 3" xfId="14805" xr:uid="{6BB307F7-E3F7-4936-92F4-4942C2CE6AD9}"/>
    <cellStyle name="Normal 2 4 7 6 4" xfId="19035" xr:uid="{A8B5E13A-5494-42F7-8776-1EAD5B82B003}"/>
    <cellStyle name="Normal 2 4 7 6 5" xfId="10587" xr:uid="{96779F67-7DBF-467D-B1BC-029E3C020DC4}"/>
    <cellStyle name="Normal 2 4 7 7" xfId="2485" xr:uid="{00000000-0005-0000-0000-0000FA100000}"/>
    <cellStyle name="Normal 2 4 7 7 2" xfId="6768" xr:uid="{00000000-0005-0000-0000-0000FB100000}"/>
    <cellStyle name="Normal 2 4 7 7 2 2" xfId="23666" xr:uid="{9CC5FC9D-5879-4BE9-B042-8B03EB0E7011}"/>
    <cellStyle name="Normal 2 4 7 7 2 3" xfId="15218" xr:uid="{DA65384F-D680-45E1-8B20-7EC6F929B351}"/>
    <cellStyle name="Normal 2 4 7 7 3" xfId="19448" xr:uid="{EF8D3FA3-695F-4E29-975E-F0639D0122E3}"/>
    <cellStyle name="Normal 2 4 7 7 4" xfId="11000" xr:uid="{CBC3CD8A-06EC-4E8D-B401-CABB54067C25}"/>
    <cellStyle name="Normal 2 4 7 8" xfId="4702" xr:uid="{00000000-0005-0000-0000-0000FC100000}"/>
    <cellStyle name="Normal 2 4 7 8 2" xfId="21600" xr:uid="{D935FEED-9D9F-4A37-AE22-E1D478682FCC}"/>
    <cellStyle name="Normal 2 4 7 8 3" xfId="13152" xr:uid="{03EB90BC-5E6D-4BFA-8BFF-1E7462C10A1A}"/>
    <cellStyle name="Normal 2 4 7 9" xfId="17382" xr:uid="{C91FDBD2-EC84-4D98-83AC-FA7C590AB752}"/>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2 2 2" xfId="24161" xr:uid="{988E636F-280C-4017-BC5B-D7CBF7B12A37}"/>
    <cellStyle name="Normal 2 4 8 2 2 2 3" xfId="15713" xr:uid="{3C5C0082-5D63-4987-8D10-212B09412FE6}"/>
    <cellStyle name="Normal 2 4 8 2 2 3" xfId="19943" xr:uid="{2DF25041-2597-4384-9B27-C96E58FA7F77}"/>
    <cellStyle name="Normal 2 4 8 2 2 4" xfId="11495" xr:uid="{C5C32D29-382B-4810-B1A9-AE6CE31EF18B}"/>
    <cellStyle name="Normal 2 4 8 2 3" xfId="5118" xr:uid="{00000000-0005-0000-0000-000001110000}"/>
    <cellStyle name="Normal 2 4 8 2 3 2" xfId="22016" xr:uid="{3C5D3BE7-8D67-4AC6-AEB9-0B88086B7119}"/>
    <cellStyle name="Normal 2 4 8 2 3 3" xfId="13568" xr:uid="{54397F92-5D48-4F64-AEED-0C55DADAD1CC}"/>
    <cellStyle name="Normal 2 4 8 2 4" xfId="17798" xr:uid="{0267E80D-2530-4A84-81DB-9E3BA72C0D58}"/>
    <cellStyle name="Normal 2 4 8 2 5" xfId="9350" xr:uid="{349FE012-50EB-4B63-8ECD-5657C1F6E95E}"/>
    <cellStyle name="Normal 2 4 8 3" xfId="1224" xr:uid="{00000000-0005-0000-0000-000002110000}"/>
    <cellStyle name="Normal 2 4 8 3 2" xfId="3454" xr:uid="{00000000-0005-0000-0000-000003110000}"/>
    <cellStyle name="Normal 2 4 8 3 2 2" xfId="7676" xr:uid="{00000000-0005-0000-0000-000004110000}"/>
    <cellStyle name="Normal 2 4 8 3 2 2 2" xfId="24574" xr:uid="{41100243-BE06-45C1-B6E8-044CB3750119}"/>
    <cellStyle name="Normal 2 4 8 3 2 2 3" xfId="16126" xr:uid="{79567A1D-3D05-4F7E-B948-4164828DA597}"/>
    <cellStyle name="Normal 2 4 8 3 2 3" xfId="20356" xr:uid="{F56E6B46-BEC4-4102-AAEB-AE2166675637}"/>
    <cellStyle name="Normal 2 4 8 3 2 4" xfId="11908" xr:uid="{174CAD52-8059-4CD5-9957-FF7BDA60D788}"/>
    <cellStyle name="Normal 2 4 8 3 3" xfId="5531" xr:uid="{00000000-0005-0000-0000-000005110000}"/>
    <cellStyle name="Normal 2 4 8 3 3 2" xfId="22429" xr:uid="{F1939E4D-471D-4627-87DE-8CDDA24B1019}"/>
    <cellStyle name="Normal 2 4 8 3 3 3" xfId="13981" xr:uid="{EA990F28-7C4F-449C-BAA3-C301B07A02AB}"/>
    <cellStyle name="Normal 2 4 8 3 4" xfId="18211" xr:uid="{757A025B-70BF-4443-8B77-5A315240F65D}"/>
    <cellStyle name="Normal 2 4 8 3 5" xfId="9763" xr:uid="{962788C9-B93C-416D-9934-1680478BE3DB}"/>
    <cellStyle name="Normal 2 4 8 4" xfId="1637" xr:uid="{00000000-0005-0000-0000-000006110000}"/>
    <cellStyle name="Normal 2 4 8 4 2" xfId="3867" xr:uid="{00000000-0005-0000-0000-000007110000}"/>
    <cellStyle name="Normal 2 4 8 4 2 2" xfId="8089" xr:uid="{00000000-0005-0000-0000-000008110000}"/>
    <cellStyle name="Normal 2 4 8 4 2 2 2" xfId="24987" xr:uid="{3D7BA0C1-1541-4B1B-8B1B-C2A366B90A51}"/>
    <cellStyle name="Normal 2 4 8 4 2 2 3" xfId="16539" xr:uid="{1DB925D3-794F-4AD7-B401-B2EF278A7895}"/>
    <cellStyle name="Normal 2 4 8 4 2 3" xfId="20769" xr:uid="{C3794F04-822F-4FD3-86A3-EC8F10E6D9C9}"/>
    <cellStyle name="Normal 2 4 8 4 2 4" xfId="12321" xr:uid="{BE3DF13B-4EBB-4B62-810B-35BB0052D23C}"/>
    <cellStyle name="Normal 2 4 8 4 3" xfId="5944" xr:uid="{00000000-0005-0000-0000-000009110000}"/>
    <cellStyle name="Normal 2 4 8 4 3 2" xfId="22842" xr:uid="{F2EBE888-3FB5-4DE2-888A-CFBF81B25383}"/>
    <cellStyle name="Normal 2 4 8 4 3 3" xfId="14394" xr:uid="{84FAE736-C8CC-42BA-A29C-652DDA6D181B}"/>
    <cellStyle name="Normal 2 4 8 4 4" xfId="18624" xr:uid="{CD49F13A-FDF1-48E4-B366-55FE2159EE2A}"/>
    <cellStyle name="Normal 2 4 8 4 5" xfId="10176" xr:uid="{DF117E3C-3264-4E1B-A549-314879FC5DF4}"/>
    <cellStyle name="Normal 2 4 8 5" xfId="2051" xr:uid="{00000000-0005-0000-0000-00000A110000}"/>
    <cellStyle name="Normal 2 4 8 5 2" xfId="4280" xr:uid="{00000000-0005-0000-0000-00000B110000}"/>
    <cellStyle name="Normal 2 4 8 5 2 2" xfId="8502" xr:uid="{00000000-0005-0000-0000-00000C110000}"/>
    <cellStyle name="Normal 2 4 8 5 2 2 2" xfId="25400" xr:uid="{98672497-DAC6-4F9D-8B26-007F2FFA75EF}"/>
    <cellStyle name="Normal 2 4 8 5 2 2 3" xfId="16952" xr:uid="{4180F4DE-6E06-4630-BF0D-9656860C8B2D}"/>
    <cellStyle name="Normal 2 4 8 5 2 3" xfId="21182" xr:uid="{3D9CB05E-CA25-48B7-8443-D0711AA3DEAB}"/>
    <cellStyle name="Normal 2 4 8 5 2 4" xfId="12734" xr:uid="{BAAB10D6-E84E-4B5B-A282-4482F12B8450}"/>
    <cellStyle name="Normal 2 4 8 5 3" xfId="6357" xr:uid="{00000000-0005-0000-0000-00000D110000}"/>
    <cellStyle name="Normal 2 4 8 5 3 2" xfId="23255" xr:uid="{9AE80FCD-101D-4F0E-8AC6-83E25F34C8F6}"/>
    <cellStyle name="Normal 2 4 8 5 3 3" xfId="14807" xr:uid="{130E1A5D-3220-4B4D-BB4C-5C620FC50A7D}"/>
    <cellStyle name="Normal 2 4 8 5 4" xfId="19037" xr:uid="{9848AE96-E481-47C3-A1D5-BAA43A921CAF}"/>
    <cellStyle name="Normal 2 4 8 5 5" xfId="10589" xr:uid="{151F8DFD-0AD6-4650-8282-430085F373C8}"/>
    <cellStyle name="Normal 2 4 8 6" xfId="2487" xr:uid="{00000000-0005-0000-0000-00000E110000}"/>
    <cellStyle name="Normal 2 4 8 6 2" xfId="6770" xr:uid="{00000000-0005-0000-0000-00000F110000}"/>
    <cellStyle name="Normal 2 4 8 6 2 2" xfId="23668" xr:uid="{39B2166F-F85E-479E-BA6A-CAE69CD99286}"/>
    <cellStyle name="Normal 2 4 8 6 2 3" xfId="15220" xr:uid="{5514454E-1B73-4E98-B908-DDEAF3E2B309}"/>
    <cellStyle name="Normal 2 4 8 6 3" xfId="19450" xr:uid="{DAB2F6B4-5C43-4EF8-BFAF-6853E1C6AB3A}"/>
    <cellStyle name="Normal 2 4 8 6 4" xfId="11002" xr:uid="{363593EA-3610-4473-AAA4-270D94C44383}"/>
    <cellStyle name="Normal 2 4 8 7" xfId="4704" xr:uid="{00000000-0005-0000-0000-000010110000}"/>
    <cellStyle name="Normal 2 4 8 7 2" xfId="21602" xr:uid="{2A25EE94-0F20-49AE-A935-A7434E3B59C0}"/>
    <cellStyle name="Normal 2 4 8 7 3" xfId="13154" xr:uid="{48DA1271-7B96-41C3-AF6D-4E3A4C775E72}"/>
    <cellStyle name="Normal 2 4 8 8" xfId="17384" xr:uid="{53A14CE6-0A24-4844-BBA6-23B2C1AA76CF}"/>
    <cellStyle name="Normal 2 4 8 9" xfId="8936" xr:uid="{02AFEE42-17E3-418C-A810-79B9151266DB}"/>
    <cellStyle name="Normal 2 5" xfId="315" xr:uid="{00000000-0005-0000-0000-000011110000}"/>
    <cellStyle name="Normal 2 5 10" xfId="4705" xr:uid="{00000000-0005-0000-0000-000012110000}"/>
    <cellStyle name="Normal 2 5 10 2" xfId="21603" xr:uid="{80539078-048A-4E59-B201-79061EBF8E73}"/>
    <cellStyle name="Normal 2 5 10 3" xfId="13155" xr:uid="{B8DC3004-9B32-449C-9C02-6E955FAD0328}"/>
    <cellStyle name="Normal 2 5 11" xfId="17385" xr:uid="{5EA943BC-A11F-473C-BC3E-2EFF4F87C688}"/>
    <cellStyle name="Normal 2 5 12" xfId="8937" xr:uid="{A5D2AC24-F9E7-4ACB-B647-B2D6246E5499}"/>
    <cellStyle name="Normal 2 5 2" xfId="316" xr:uid="{00000000-0005-0000-0000-000013110000}"/>
    <cellStyle name="Normal 2 5 3" xfId="317" xr:uid="{00000000-0005-0000-0000-000014110000}"/>
    <cellStyle name="Normal 2 5 4" xfId="318" xr:uid="{00000000-0005-0000-0000-000015110000}"/>
    <cellStyle name="Normal 2 5 4 10" xfId="17386" xr:uid="{AEFB2381-64AD-42D5-9BB6-4C8732D5AB36}"/>
    <cellStyle name="Normal 2 5 4 11" xfId="8938" xr:uid="{449AD3E2-BAE9-4676-81D1-FEF02A037C9F}"/>
    <cellStyle name="Normal 2 5 4 2" xfId="319" xr:uid="{00000000-0005-0000-0000-000016110000}"/>
    <cellStyle name="Normal 2 5 4 2 10" xfId="8939" xr:uid="{6540BE07-26CC-4677-A708-243057418A6F}"/>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24165" xr:uid="{B2084E5C-6CCE-4F22-881D-84A3CB32F009}"/>
    <cellStyle name="Normal 2 5 4 2 2 2 2 2 3" xfId="15717" xr:uid="{E2C4F697-8AD0-47E2-8E9A-6CF85EE7CB2E}"/>
    <cellStyle name="Normal 2 5 4 2 2 2 2 3" xfId="19947" xr:uid="{0FC7CC05-E3D9-4011-9F76-22F3B728FF64}"/>
    <cellStyle name="Normal 2 5 4 2 2 2 2 4" xfId="11499" xr:uid="{F8EC5259-5548-474A-BD05-290E603F992F}"/>
    <cellStyle name="Normal 2 5 4 2 2 2 3" xfId="5122" xr:uid="{00000000-0005-0000-0000-00001B110000}"/>
    <cellStyle name="Normal 2 5 4 2 2 2 3 2" xfId="22020" xr:uid="{B8FCDB37-896E-46A8-A0B1-19AA969F738E}"/>
    <cellStyle name="Normal 2 5 4 2 2 2 3 3" xfId="13572" xr:uid="{25EA269B-F193-4810-A24F-40CB973681B3}"/>
    <cellStyle name="Normal 2 5 4 2 2 2 4" xfId="17802" xr:uid="{3B900BED-195C-4118-AF12-5E331C1D5282}"/>
    <cellStyle name="Normal 2 5 4 2 2 2 5" xfId="9354" xr:uid="{2E95D780-6A4F-4F51-9CED-503382FA25A9}"/>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24578" xr:uid="{45CBDB13-32E4-487A-A246-42CAA4FB3972}"/>
    <cellStyle name="Normal 2 5 4 2 2 3 2 2 3" xfId="16130" xr:uid="{0C93E024-9E65-465E-BABE-41331375F7CC}"/>
    <cellStyle name="Normal 2 5 4 2 2 3 2 3" xfId="20360" xr:uid="{F7E7D267-220E-4EA6-87FE-718703EB4A49}"/>
    <cellStyle name="Normal 2 5 4 2 2 3 2 4" xfId="11912" xr:uid="{84A4DAF4-EC4F-4B35-AE66-5E9E3032AF5B}"/>
    <cellStyle name="Normal 2 5 4 2 2 3 3" xfId="5535" xr:uid="{00000000-0005-0000-0000-00001F110000}"/>
    <cellStyle name="Normal 2 5 4 2 2 3 3 2" xfId="22433" xr:uid="{85E7C4A0-AB61-427C-A993-C89E6A5EA238}"/>
    <cellStyle name="Normal 2 5 4 2 2 3 3 3" xfId="13985" xr:uid="{8B7127A0-2E59-4902-BA7E-9A57AC00721A}"/>
    <cellStyle name="Normal 2 5 4 2 2 3 4" xfId="18215" xr:uid="{8BE05B96-CA26-4B59-9A56-7C5DD4ED74C7}"/>
    <cellStyle name="Normal 2 5 4 2 2 3 5" xfId="9767" xr:uid="{BF586B5C-D540-45DF-874A-9569863478A5}"/>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24991" xr:uid="{A577EECB-1D4A-420B-9971-D78FE9E3F605}"/>
    <cellStyle name="Normal 2 5 4 2 2 4 2 2 3" xfId="16543" xr:uid="{8E9EE98C-9F88-4D38-85F8-E22EF1E7BB9C}"/>
    <cellStyle name="Normal 2 5 4 2 2 4 2 3" xfId="20773" xr:uid="{9B610324-4C8C-4E29-A661-A1344712FC87}"/>
    <cellStyle name="Normal 2 5 4 2 2 4 2 4" xfId="12325" xr:uid="{1F778F97-5FDD-4782-A570-001B615CC1EE}"/>
    <cellStyle name="Normal 2 5 4 2 2 4 3" xfId="5948" xr:uid="{00000000-0005-0000-0000-000023110000}"/>
    <cellStyle name="Normal 2 5 4 2 2 4 3 2" xfId="22846" xr:uid="{28B5BCF2-2D30-4696-A201-CD7E32D3F357}"/>
    <cellStyle name="Normal 2 5 4 2 2 4 3 3" xfId="14398" xr:uid="{9DC9F6B5-2AB4-4A72-8F53-28023B593717}"/>
    <cellStyle name="Normal 2 5 4 2 2 4 4" xfId="18628" xr:uid="{0D34D14E-230B-42E9-B0BD-21953CC08C47}"/>
    <cellStyle name="Normal 2 5 4 2 2 4 5" xfId="10180" xr:uid="{CF117F43-5F9A-4A50-BA1B-48D0D84056F8}"/>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25404" xr:uid="{035791DB-FB8E-4EB2-AC3B-F09AE71D9902}"/>
    <cellStyle name="Normal 2 5 4 2 2 5 2 2 3" xfId="16956" xr:uid="{701344EB-AD24-4BE8-88C9-57E181053089}"/>
    <cellStyle name="Normal 2 5 4 2 2 5 2 3" xfId="21186" xr:uid="{9BE626B5-2D10-45CB-B931-471E3B137572}"/>
    <cellStyle name="Normal 2 5 4 2 2 5 2 4" xfId="12738" xr:uid="{9199BD13-0CA7-499D-8F21-CDA038559604}"/>
    <cellStyle name="Normal 2 5 4 2 2 5 3" xfId="6361" xr:uid="{00000000-0005-0000-0000-000027110000}"/>
    <cellStyle name="Normal 2 5 4 2 2 5 3 2" xfId="23259" xr:uid="{5E4BC273-27F3-4E26-A1FA-B60DBE8B307B}"/>
    <cellStyle name="Normal 2 5 4 2 2 5 3 3" xfId="14811" xr:uid="{12BB9076-95F5-42F3-BF07-07BE3F3435A3}"/>
    <cellStyle name="Normal 2 5 4 2 2 5 4" xfId="19041" xr:uid="{DDDC6462-5D4F-4BB3-B31A-7CF9592CF4E2}"/>
    <cellStyle name="Normal 2 5 4 2 2 5 5" xfId="10593" xr:uid="{C28C094B-0873-4CED-AD09-4ADC7F4B212F}"/>
    <cellStyle name="Normal 2 5 4 2 2 6" xfId="2491" xr:uid="{00000000-0005-0000-0000-000028110000}"/>
    <cellStyle name="Normal 2 5 4 2 2 6 2" xfId="6774" xr:uid="{00000000-0005-0000-0000-000029110000}"/>
    <cellStyle name="Normal 2 5 4 2 2 6 2 2" xfId="23672" xr:uid="{9D98AB59-196B-4F46-B45D-004675801597}"/>
    <cellStyle name="Normal 2 5 4 2 2 6 2 3" xfId="15224" xr:uid="{9BC1D43B-7EDF-49BD-A2C4-4E5B2EC8D636}"/>
    <cellStyle name="Normal 2 5 4 2 2 6 3" xfId="19454" xr:uid="{11435644-609F-491D-8F22-21A441A3399E}"/>
    <cellStyle name="Normal 2 5 4 2 2 6 4" xfId="11006" xr:uid="{5B666C50-093D-4439-B0D8-79DCE594B2C9}"/>
    <cellStyle name="Normal 2 5 4 2 2 7" xfId="4708" xr:uid="{00000000-0005-0000-0000-00002A110000}"/>
    <cellStyle name="Normal 2 5 4 2 2 7 2" xfId="21606" xr:uid="{31075CC0-E551-44E1-A096-10CE872438E4}"/>
    <cellStyle name="Normal 2 5 4 2 2 7 3" xfId="13158" xr:uid="{57F0BE1E-E12D-4B05-9F21-E60E88123862}"/>
    <cellStyle name="Normal 2 5 4 2 2 8" xfId="17388" xr:uid="{2789A7E0-532E-4AD5-AB1F-041AE5EF951F}"/>
    <cellStyle name="Normal 2 5 4 2 2 9" xfId="8940" xr:uid="{9B247630-F15A-4903-BCE1-CDDB6D054BE2}"/>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24164" xr:uid="{924E6530-E33A-4875-BBDD-A499E163100D}"/>
    <cellStyle name="Normal 2 5 4 2 3 2 2 3" xfId="15716" xr:uid="{B9C25D68-2184-4CBB-AF2C-4E92B8960A15}"/>
    <cellStyle name="Normal 2 5 4 2 3 2 3" xfId="19946" xr:uid="{4DA2683B-F259-4DAF-B2A3-EE0C25E52DC3}"/>
    <cellStyle name="Normal 2 5 4 2 3 2 4" xfId="11498" xr:uid="{D482AA66-29B2-499E-9488-5B271A8F38ED}"/>
    <cellStyle name="Normal 2 5 4 2 3 3" xfId="5121" xr:uid="{00000000-0005-0000-0000-00002E110000}"/>
    <cellStyle name="Normal 2 5 4 2 3 3 2" xfId="22019" xr:uid="{E2D536E7-2F05-40B4-8B70-A9EADAA346F0}"/>
    <cellStyle name="Normal 2 5 4 2 3 3 3" xfId="13571" xr:uid="{FF714CB7-B9A8-4E23-A8D4-F1692C182776}"/>
    <cellStyle name="Normal 2 5 4 2 3 4" xfId="17801" xr:uid="{DCBE7AD9-A9FB-4783-88B2-E62B3241331B}"/>
    <cellStyle name="Normal 2 5 4 2 3 5" xfId="9353" xr:uid="{16789493-ED23-4A8D-8D0F-4F0B3026EF18}"/>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24577" xr:uid="{3E9EAC79-D44B-4D4C-97DA-8775587DE381}"/>
    <cellStyle name="Normal 2 5 4 2 4 2 2 3" xfId="16129" xr:uid="{ED4948FF-CABA-442F-9C0F-BC5BC8AA8335}"/>
    <cellStyle name="Normal 2 5 4 2 4 2 3" xfId="20359" xr:uid="{94E22D46-2925-4CB1-8515-33C2315B05A3}"/>
    <cellStyle name="Normal 2 5 4 2 4 2 4" xfId="11911" xr:uid="{D31451C0-106B-450A-8D81-59DC94D2B90C}"/>
    <cellStyle name="Normal 2 5 4 2 4 3" xfId="5534" xr:uid="{00000000-0005-0000-0000-000032110000}"/>
    <cellStyle name="Normal 2 5 4 2 4 3 2" xfId="22432" xr:uid="{4D045228-C5DE-4F86-85B6-C1C07EFCB30B}"/>
    <cellStyle name="Normal 2 5 4 2 4 3 3" xfId="13984" xr:uid="{876A9F5B-5944-43F4-9BAC-CD72353ED55F}"/>
    <cellStyle name="Normal 2 5 4 2 4 4" xfId="18214" xr:uid="{AF8300AD-CAB8-42B4-8AB4-A78BFE41C85F}"/>
    <cellStyle name="Normal 2 5 4 2 4 5" xfId="9766" xr:uid="{96674420-F7F5-4069-8438-DB6289E5D282}"/>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24990" xr:uid="{4B07BC26-64D4-4E9B-855D-7B25A8093F54}"/>
    <cellStyle name="Normal 2 5 4 2 5 2 2 3" xfId="16542" xr:uid="{348D9D8E-248B-41FE-887E-76908DE8B9D9}"/>
    <cellStyle name="Normal 2 5 4 2 5 2 3" xfId="20772" xr:uid="{F60B3336-B05D-4246-BE68-1D5FB81CFD7D}"/>
    <cellStyle name="Normal 2 5 4 2 5 2 4" xfId="12324" xr:uid="{94D3A9F7-E409-4A96-BF68-A6CB3DE5DFEB}"/>
    <cellStyle name="Normal 2 5 4 2 5 3" xfId="5947" xr:uid="{00000000-0005-0000-0000-000036110000}"/>
    <cellStyle name="Normal 2 5 4 2 5 3 2" xfId="22845" xr:uid="{33A5CA7A-48F5-4EE8-B812-0F9D05357DDA}"/>
    <cellStyle name="Normal 2 5 4 2 5 3 3" xfId="14397" xr:uid="{32D23077-FBF1-47E4-8AD4-881DB74A7AE7}"/>
    <cellStyle name="Normal 2 5 4 2 5 4" xfId="18627" xr:uid="{E68E3D8F-5035-474B-926D-0F2A46D76C74}"/>
    <cellStyle name="Normal 2 5 4 2 5 5" xfId="10179" xr:uid="{CD055143-4F18-46A3-B411-9F1D7E1FFEC8}"/>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25403" xr:uid="{A4E16E35-9EA6-4FE7-A2BF-975F1B17AA47}"/>
    <cellStyle name="Normal 2 5 4 2 6 2 2 3" xfId="16955" xr:uid="{B493EE86-5AE0-49C5-9A35-BC081C2E6629}"/>
    <cellStyle name="Normal 2 5 4 2 6 2 3" xfId="21185" xr:uid="{2B9D3EDA-3C2C-4FB2-B81A-B6CF74E9D118}"/>
    <cellStyle name="Normal 2 5 4 2 6 2 4" xfId="12737" xr:uid="{B7F2B166-29CD-4F09-B0E8-D851EFA53FD5}"/>
    <cellStyle name="Normal 2 5 4 2 6 3" xfId="6360" xr:uid="{00000000-0005-0000-0000-00003A110000}"/>
    <cellStyle name="Normal 2 5 4 2 6 3 2" xfId="23258" xr:uid="{509FABC0-DDD9-4469-B116-EA3BAC7A8C9F}"/>
    <cellStyle name="Normal 2 5 4 2 6 3 3" xfId="14810" xr:uid="{A1EFF3E2-40BF-45C5-9DDE-EACFDE28B3DC}"/>
    <cellStyle name="Normal 2 5 4 2 6 4" xfId="19040" xr:uid="{FEB3EDE4-3545-493D-8B73-B604AA37793A}"/>
    <cellStyle name="Normal 2 5 4 2 6 5" xfId="10592" xr:uid="{91EC3BFA-39C7-4F24-A9AB-32B9C1B0C1B0}"/>
    <cellStyle name="Normal 2 5 4 2 7" xfId="2490" xr:uid="{00000000-0005-0000-0000-00003B110000}"/>
    <cellStyle name="Normal 2 5 4 2 7 2" xfId="6773" xr:uid="{00000000-0005-0000-0000-00003C110000}"/>
    <cellStyle name="Normal 2 5 4 2 7 2 2" xfId="23671" xr:uid="{EE577C7E-E7B4-4693-89B7-25DC5D056042}"/>
    <cellStyle name="Normal 2 5 4 2 7 2 3" xfId="15223" xr:uid="{C87BA3B4-1D76-4C3F-A76D-B5C9A987DC48}"/>
    <cellStyle name="Normal 2 5 4 2 7 3" xfId="19453" xr:uid="{F6F76254-6CF7-4C29-84DB-201DF4965714}"/>
    <cellStyle name="Normal 2 5 4 2 7 4" xfId="11005" xr:uid="{782B4825-6C44-45A2-A916-A9D9F178C7D2}"/>
    <cellStyle name="Normal 2 5 4 2 8" xfId="4707" xr:uid="{00000000-0005-0000-0000-00003D110000}"/>
    <cellStyle name="Normal 2 5 4 2 8 2" xfId="21605" xr:uid="{C0540C52-B4DA-49FB-8290-3640EAA005D3}"/>
    <cellStyle name="Normal 2 5 4 2 8 3" xfId="13157" xr:uid="{780178EF-9BF2-43D3-9146-8BAB76635F24}"/>
    <cellStyle name="Normal 2 5 4 2 9" xfId="17387" xr:uid="{A225F81A-150B-4E52-96B3-C51D3B039907}"/>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24166" xr:uid="{68808A44-15AC-44CB-9C96-8B1987DCA145}"/>
    <cellStyle name="Normal 2 5 4 3 2 2 2 3" xfId="15718" xr:uid="{BD37F778-57EF-48AC-AFB3-402AE0397C7F}"/>
    <cellStyle name="Normal 2 5 4 3 2 2 3" xfId="19948" xr:uid="{353A3ACD-199C-4ABB-BEE8-2469C9A4FD8B}"/>
    <cellStyle name="Normal 2 5 4 3 2 2 4" xfId="11500" xr:uid="{63DFEF52-137C-4244-BDA7-7CD3DB261FC9}"/>
    <cellStyle name="Normal 2 5 4 3 2 3" xfId="5123" xr:uid="{00000000-0005-0000-0000-000042110000}"/>
    <cellStyle name="Normal 2 5 4 3 2 3 2" xfId="22021" xr:uid="{3FD8D5C8-FD0C-468A-A98D-79BAD870476F}"/>
    <cellStyle name="Normal 2 5 4 3 2 3 3" xfId="13573" xr:uid="{BEC98999-4144-4AE0-AF64-ECFE0B3A1B99}"/>
    <cellStyle name="Normal 2 5 4 3 2 4" xfId="17803" xr:uid="{94F2E892-CB2F-4D93-8910-9C91025DC370}"/>
    <cellStyle name="Normal 2 5 4 3 2 5" xfId="9355" xr:uid="{ACDB5A2F-C5A0-4528-A554-919B6765DA45}"/>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24579" xr:uid="{31440719-1A3B-4FA4-ACEE-CD8BA0C2303D}"/>
    <cellStyle name="Normal 2 5 4 3 3 2 2 3" xfId="16131" xr:uid="{71F626C1-A724-4C65-A2C1-19D8B4680EA0}"/>
    <cellStyle name="Normal 2 5 4 3 3 2 3" xfId="20361" xr:uid="{0C5AF922-9763-4935-9D29-7B8439EB6E9B}"/>
    <cellStyle name="Normal 2 5 4 3 3 2 4" xfId="11913" xr:uid="{16F8C511-8AE9-432B-8F96-C3A4D1077E3F}"/>
    <cellStyle name="Normal 2 5 4 3 3 3" xfId="5536" xr:uid="{00000000-0005-0000-0000-000046110000}"/>
    <cellStyle name="Normal 2 5 4 3 3 3 2" xfId="22434" xr:uid="{DE3095FD-B4F2-42B0-8A8E-0618C477CBE9}"/>
    <cellStyle name="Normal 2 5 4 3 3 3 3" xfId="13986" xr:uid="{EFCDEE9D-9AE9-433D-9A86-88DC4D880671}"/>
    <cellStyle name="Normal 2 5 4 3 3 4" xfId="18216" xr:uid="{884B26E6-4482-43C3-88C7-B5FA236E0CCA}"/>
    <cellStyle name="Normal 2 5 4 3 3 5" xfId="9768" xr:uid="{5A1663A6-8F2B-478E-AD40-D5DC94ABD47C}"/>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24992" xr:uid="{95E3E4DA-A4FA-4011-84BE-5DFF4F721075}"/>
    <cellStyle name="Normal 2 5 4 3 4 2 2 3" xfId="16544" xr:uid="{5C97BDBA-87F5-4787-A237-E1D86F6C7BF1}"/>
    <cellStyle name="Normal 2 5 4 3 4 2 3" xfId="20774" xr:uid="{B08CC83E-7EC1-45BF-851D-6AF56E9F784C}"/>
    <cellStyle name="Normal 2 5 4 3 4 2 4" xfId="12326" xr:uid="{7334A1C6-81BE-48A5-8AE4-9B75B342B126}"/>
    <cellStyle name="Normal 2 5 4 3 4 3" xfId="5949" xr:uid="{00000000-0005-0000-0000-00004A110000}"/>
    <cellStyle name="Normal 2 5 4 3 4 3 2" xfId="22847" xr:uid="{DC6A01AF-783E-4325-B3B1-EC6F157FA7F4}"/>
    <cellStyle name="Normal 2 5 4 3 4 3 3" xfId="14399" xr:uid="{D74CA709-794C-4E6A-A83E-559F4E57CE1E}"/>
    <cellStyle name="Normal 2 5 4 3 4 4" xfId="18629" xr:uid="{52F7BBD1-838B-4462-9B44-D4586369F0CA}"/>
    <cellStyle name="Normal 2 5 4 3 4 5" xfId="10181" xr:uid="{7EF723C9-B4D5-491E-8CDA-25592E5335F2}"/>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25405" xr:uid="{9C18D1EB-8A5E-45B0-8535-F1EA2A78BCCD}"/>
    <cellStyle name="Normal 2 5 4 3 5 2 2 3" xfId="16957" xr:uid="{2292090E-48AD-4C57-9EE2-AB325A0A7E30}"/>
    <cellStyle name="Normal 2 5 4 3 5 2 3" xfId="21187" xr:uid="{301D1B60-F76C-42C6-9337-DBB0C1B6832A}"/>
    <cellStyle name="Normal 2 5 4 3 5 2 4" xfId="12739" xr:uid="{1559FED0-290E-41CE-BC09-432453A5EF4E}"/>
    <cellStyle name="Normal 2 5 4 3 5 3" xfId="6362" xr:uid="{00000000-0005-0000-0000-00004E110000}"/>
    <cellStyle name="Normal 2 5 4 3 5 3 2" xfId="23260" xr:uid="{0F5CA637-19E9-4D3B-B2FD-71DE0FEDED36}"/>
    <cellStyle name="Normal 2 5 4 3 5 3 3" xfId="14812" xr:uid="{53B1C622-EDD4-476D-9B12-A53575696126}"/>
    <cellStyle name="Normal 2 5 4 3 5 4" xfId="19042" xr:uid="{EE278F07-C441-4080-AC37-932DF1270747}"/>
    <cellStyle name="Normal 2 5 4 3 5 5" xfId="10594" xr:uid="{6FDDDECC-EFF7-4898-90AF-ECF363074F7B}"/>
    <cellStyle name="Normal 2 5 4 3 6" xfId="2492" xr:uid="{00000000-0005-0000-0000-00004F110000}"/>
    <cellStyle name="Normal 2 5 4 3 6 2" xfId="6775" xr:uid="{00000000-0005-0000-0000-000050110000}"/>
    <cellStyle name="Normal 2 5 4 3 6 2 2" xfId="23673" xr:uid="{178AF5A1-4A90-41D5-ABA5-3107DBCBE8EF}"/>
    <cellStyle name="Normal 2 5 4 3 6 2 3" xfId="15225" xr:uid="{A98204A5-C4B8-4467-9AA2-30AFBEC9A823}"/>
    <cellStyle name="Normal 2 5 4 3 6 3" xfId="19455" xr:uid="{246AF2C1-80B3-4ED3-990E-FFF6B0C6DB75}"/>
    <cellStyle name="Normal 2 5 4 3 6 4" xfId="11007" xr:uid="{F5CDBF24-A661-47E0-86F9-9BFC4312AA5E}"/>
    <cellStyle name="Normal 2 5 4 3 7" xfId="4709" xr:uid="{00000000-0005-0000-0000-000051110000}"/>
    <cellStyle name="Normal 2 5 4 3 7 2" xfId="21607" xr:uid="{8B3C01BA-5124-4C1E-8501-1E5DD42AE6CB}"/>
    <cellStyle name="Normal 2 5 4 3 7 3" xfId="13159" xr:uid="{1FDCA071-C725-4E62-A004-836F0AF0522C}"/>
    <cellStyle name="Normal 2 5 4 3 8" xfId="17389" xr:uid="{1DD8AFAB-8B48-41A2-B584-D5C1FE4F3A87}"/>
    <cellStyle name="Normal 2 5 4 3 9" xfId="8941" xr:uid="{4EC8498B-C739-4B9F-AC90-FB1F64702A80}"/>
    <cellStyle name="Normal 2 5 4 4" xfId="804" xr:uid="{00000000-0005-0000-0000-000052110000}"/>
    <cellStyle name="Normal 2 5 4 4 2" xfId="3043" xr:uid="{00000000-0005-0000-0000-000053110000}"/>
    <cellStyle name="Normal 2 5 4 4 2 2" xfId="7265" xr:uid="{00000000-0005-0000-0000-000054110000}"/>
    <cellStyle name="Normal 2 5 4 4 2 2 2" xfId="24163" xr:uid="{70241276-ED69-40E0-B14A-1D4F1CD23A30}"/>
    <cellStyle name="Normal 2 5 4 4 2 2 3" xfId="15715" xr:uid="{5FFF9FF8-9B8F-4118-9F23-BC0058700B3B}"/>
    <cellStyle name="Normal 2 5 4 4 2 3" xfId="19945" xr:uid="{74747740-970E-4BD5-A559-E8F32C2EF05D}"/>
    <cellStyle name="Normal 2 5 4 4 2 4" xfId="11497" xr:uid="{4F904387-1045-490F-89D8-6CF19277B2E4}"/>
    <cellStyle name="Normal 2 5 4 4 3" xfId="5120" xr:uid="{00000000-0005-0000-0000-000055110000}"/>
    <cellStyle name="Normal 2 5 4 4 3 2" xfId="22018" xr:uid="{6A2D080F-254F-4180-B95B-A90699B036C2}"/>
    <cellStyle name="Normal 2 5 4 4 3 3" xfId="13570" xr:uid="{07B8325A-F8B9-4490-ABDD-B41C17043DC2}"/>
    <cellStyle name="Normal 2 5 4 4 4" xfId="17800" xr:uid="{2C9BE49E-9548-4199-963F-2090D07D0A06}"/>
    <cellStyle name="Normal 2 5 4 4 5" xfId="9352" xr:uid="{A666435E-A5AA-44F3-A0F4-9A07690D1972}"/>
    <cellStyle name="Normal 2 5 4 5" xfId="1226" xr:uid="{00000000-0005-0000-0000-000056110000}"/>
    <cellStyle name="Normal 2 5 4 5 2" xfId="3456" xr:uid="{00000000-0005-0000-0000-000057110000}"/>
    <cellStyle name="Normal 2 5 4 5 2 2" xfId="7678" xr:uid="{00000000-0005-0000-0000-000058110000}"/>
    <cellStyle name="Normal 2 5 4 5 2 2 2" xfId="24576" xr:uid="{49DDEAE8-E451-4ED3-A25C-A981055A26EF}"/>
    <cellStyle name="Normal 2 5 4 5 2 2 3" xfId="16128" xr:uid="{5546E35E-1046-49B0-8108-ADA0D2D7D129}"/>
    <cellStyle name="Normal 2 5 4 5 2 3" xfId="20358" xr:uid="{F0FD4A80-0A63-4635-B71C-99950C750F19}"/>
    <cellStyle name="Normal 2 5 4 5 2 4" xfId="11910" xr:uid="{6A2ED069-3686-4476-A4C8-7D156348958E}"/>
    <cellStyle name="Normal 2 5 4 5 3" xfId="5533" xr:uid="{00000000-0005-0000-0000-000059110000}"/>
    <cellStyle name="Normal 2 5 4 5 3 2" xfId="22431" xr:uid="{D52B6E1F-B2ED-439D-B38A-2715FA856AFC}"/>
    <cellStyle name="Normal 2 5 4 5 3 3" xfId="13983" xr:uid="{ABA7B036-005F-41D6-AA56-86E0711A8322}"/>
    <cellStyle name="Normal 2 5 4 5 4" xfId="18213" xr:uid="{B79808F2-7FA9-44D8-AD6D-0969B719F896}"/>
    <cellStyle name="Normal 2 5 4 5 5" xfId="9765" xr:uid="{40591FE2-56F6-4B90-A33A-19D89CD85A7D}"/>
    <cellStyle name="Normal 2 5 4 6" xfId="1639" xr:uid="{00000000-0005-0000-0000-00005A110000}"/>
    <cellStyle name="Normal 2 5 4 6 2" xfId="3869" xr:uid="{00000000-0005-0000-0000-00005B110000}"/>
    <cellStyle name="Normal 2 5 4 6 2 2" xfId="8091" xr:uid="{00000000-0005-0000-0000-00005C110000}"/>
    <cellStyle name="Normal 2 5 4 6 2 2 2" xfId="24989" xr:uid="{B9B4059D-208B-4F61-BDD6-B26B060BC2FF}"/>
    <cellStyle name="Normal 2 5 4 6 2 2 3" xfId="16541" xr:uid="{E6D985B7-3F90-416C-ACEE-3EE6A853EA97}"/>
    <cellStyle name="Normal 2 5 4 6 2 3" xfId="20771" xr:uid="{C5B06E23-9473-41DD-A8F3-40915B6DB651}"/>
    <cellStyle name="Normal 2 5 4 6 2 4" xfId="12323" xr:uid="{F41F51F8-60C2-429E-BF63-D3465288CAD3}"/>
    <cellStyle name="Normal 2 5 4 6 3" xfId="5946" xr:uid="{00000000-0005-0000-0000-00005D110000}"/>
    <cellStyle name="Normal 2 5 4 6 3 2" xfId="22844" xr:uid="{EFD36F28-A955-4BF2-A587-329EA11800EB}"/>
    <cellStyle name="Normal 2 5 4 6 3 3" xfId="14396" xr:uid="{6F8A7686-F344-4B88-902A-679702B18AF5}"/>
    <cellStyle name="Normal 2 5 4 6 4" xfId="18626" xr:uid="{5AAE58EF-4405-49B5-A1E7-9B310EEB99CE}"/>
    <cellStyle name="Normal 2 5 4 6 5" xfId="10178" xr:uid="{56176A49-9FA9-4B61-9E8D-9EA21ACD790C}"/>
    <cellStyle name="Normal 2 5 4 7" xfId="2053" xr:uid="{00000000-0005-0000-0000-00005E110000}"/>
    <cellStyle name="Normal 2 5 4 7 2" xfId="4282" xr:uid="{00000000-0005-0000-0000-00005F110000}"/>
    <cellStyle name="Normal 2 5 4 7 2 2" xfId="8504" xr:uid="{00000000-0005-0000-0000-000060110000}"/>
    <cellStyle name="Normal 2 5 4 7 2 2 2" xfId="25402" xr:uid="{1D6FBE42-2204-436E-9911-96F1904205C3}"/>
    <cellStyle name="Normal 2 5 4 7 2 2 3" xfId="16954" xr:uid="{47803F27-D3AF-44FB-B0D6-C2CDA51360FC}"/>
    <cellStyle name="Normal 2 5 4 7 2 3" xfId="21184" xr:uid="{E5CAC776-A1A5-4B14-AB38-BA50FAE9D546}"/>
    <cellStyle name="Normal 2 5 4 7 2 4" xfId="12736" xr:uid="{F4CC42AB-EE82-4AAF-A1B0-20205567C9E7}"/>
    <cellStyle name="Normal 2 5 4 7 3" xfId="6359" xr:uid="{00000000-0005-0000-0000-000061110000}"/>
    <cellStyle name="Normal 2 5 4 7 3 2" xfId="23257" xr:uid="{000A022F-81A4-43EC-9A4A-2E01CCDFB08E}"/>
    <cellStyle name="Normal 2 5 4 7 3 3" xfId="14809" xr:uid="{3127B66F-808E-4B5B-9A7D-61EC1EF5334F}"/>
    <cellStyle name="Normal 2 5 4 7 4" xfId="19039" xr:uid="{5C3F502D-6F16-4F33-A9AF-D4BB618AC67F}"/>
    <cellStyle name="Normal 2 5 4 7 5" xfId="10591" xr:uid="{4E655438-C813-4E9E-87D0-669EE8BA692E}"/>
    <cellStyle name="Normal 2 5 4 8" xfId="2489" xr:uid="{00000000-0005-0000-0000-000062110000}"/>
    <cellStyle name="Normal 2 5 4 8 2" xfId="6772" xr:uid="{00000000-0005-0000-0000-000063110000}"/>
    <cellStyle name="Normal 2 5 4 8 2 2" xfId="23670" xr:uid="{596FF599-B5C8-4D50-BB91-D668FE6ED37E}"/>
    <cellStyle name="Normal 2 5 4 8 2 3" xfId="15222" xr:uid="{A3BE2B65-741A-4213-A534-E8ABCCAC7A57}"/>
    <cellStyle name="Normal 2 5 4 8 3" xfId="19452" xr:uid="{F0072131-8A58-473C-8226-0ABA5B8D7BE7}"/>
    <cellStyle name="Normal 2 5 4 8 4" xfId="11004" xr:uid="{0FA4EF65-B4C5-47E3-B026-38AB12A62DC9}"/>
    <cellStyle name="Normal 2 5 4 9" xfId="4706" xr:uid="{00000000-0005-0000-0000-000064110000}"/>
    <cellStyle name="Normal 2 5 4 9 2" xfId="21604" xr:uid="{CD9EB536-B138-4133-B07B-256089D46D84}"/>
    <cellStyle name="Normal 2 5 4 9 3" xfId="13156" xr:uid="{AF7A48AA-C66E-40F1-8B0A-D383062AF04E}"/>
    <cellStyle name="Normal 2 5 5" xfId="803" xr:uid="{00000000-0005-0000-0000-000065110000}"/>
    <cellStyle name="Normal 2 5 5 2" xfId="3042" xr:uid="{00000000-0005-0000-0000-000066110000}"/>
    <cellStyle name="Normal 2 5 5 2 2" xfId="7264" xr:uid="{00000000-0005-0000-0000-000067110000}"/>
    <cellStyle name="Normal 2 5 5 2 2 2" xfId="24162" xr:uid="{6160D0E6-EE8C-4903-87D1-ACCBB65D17B1}"/>
    <cellStyle name="Normal 2 5 5 2 2 3" xfId="15714" xr:uid="{E80BB5E5-150C-4803-A0A2-BBEB5F443BEE}"/>
    <cellStyle name="Normal 2 5 5 2 3" xfId="19944" xr:uid="{B59D2A6A-A37B-49EE-BC14-F7283433FD71}"/>
    <cellStyle name="Normal 2 5 5 2 4" xfId="11496" xr:uid="{10F9E173-C61F-429B-B572-35BBF160F097}"/>
    <cellStyle name="Normal 2 5 5 3" xfId="5119" xr:uid="{00000000-0005-0000-0000-000068110000}"/>
    <cellStyle name="Normal 2 5 5 3 2" xfId="22017" xr:uid="{A527F37B-301A-48E4-8BD5-3756C2219166}"/>
    <cellStyle name="Normal 2 5 5 3 3" xfId="13569" xr:uid="{6229C33C-23A5-41F0-9954-2E43B4F5AB4A}"/>
    <cellStyle name="Normal 2 5 5 4" xfId="17799" xr:uid="{9A9C6E6D-6F3B-41BA-8598-93F29BACF5B1}"/>
    <cellStyle name="Normal 2 5 5 5" xfId="9351" xr:uid="{F4811209-22C6-4B9A-BC88-7F8CBE4EE987}"/>
    <cellStyle name="Normal 2 5 6" xfId="1225" xr:uid="{00000000-0005-0000-0000-000069110000}"/>
    <cellStyle name="Normal 2 5 6 2" xfId="3455" xr:uid="{00000000-0005-0000-0000-00006A110000}"/>
    <cellStyle name="Normal 2 5 6 2 2" xfId="7677" xr:uid="{00000000-0005-0000-0000-00006B110000}"/>
    <cellStyle name="Normal 2 5 6 2 2 2" xfId="24575" xr:uid="{274FD2B1-7011-4C3F-AA1F-7E15DF12E21C}"/>
    <cellStyle name="Normal 2 5 6 2 2 3" xfId="16127" xr:uid="{9D19059F-70DD-42F3-9B3D-F986CFB3F813}"/>
    <cellStyle name="Normal 2 5 6 2 3" xfId="20357" xr:uid="{3438AC7E-D7DE-4285-8047-B5E6D7B73BDC}"/>
    <cellStyle name="Normal 2 5 6 2 4" xfId="11909" xr:uid="{BCD0C459-2257-4AC0-9098-A3DA5F9883F0}"/>
    <cellStyle name="Normal 2 5 6 3" xfId="5532" xr:uid="{00000000-0005-0000-0000-00006C110000}"/>
    <cellStyle name="Normal 2 5 6 3 2" xfId="22430" xr:uid="{DBC6CD21-4BC6-45B0-B88B-57071C9BA40C}"/>
    <cellStyle name="Normal 2 5 6 3 3" xfId="13982" xr:uid="{B1C57F14-0BCD-4282-BB45-20425733864C}"/>
    <cellStyle name="Normal 2 5 6 4" xfId="18212" xr:uid="{F149CA46-508E-4726-A722-840DC241FC62}"/>
    <cellStyle name="Normal 2 5 6 5" xfId="9764" xr:uid="{D3EDC59E-FB25-4333-942F-5D9A7A79694F}"/>
    <cellStyle name="Normal 2 5 7" xfId="1638" xr:uid="{00000000-0005-0000-0000-00006D110000}"/>
    <cellStyle name="Normal 2 5 7 2" xfId="3868" xr:uid="{00000000-0005-0000-0000-00006E110000}"/>
    <cellStyle name="Normal 2 5 7 2 2" xfId="8090" xr:uid="{00000000-0005-0000-0000-00006F110000}"/>
    <cellStyle name="Normal 2 5 7 2 2 2" xfId="24988" xr:uid="{A4340B70-81D3-48BF-9E3D-577A04D6A947}"/>
    <cellStyle name="Normal 2 5 7 2 2 3" xfId="16540" xr:uid="{96169350-7144-44CB-9423-2C3DD9FBC63C}"/>
    <cellStyle name="Normal 2 5 7 2 3" xfId="20770" xr:uid="{55A452BA-CECE-4A01-A150-E357695D8157}"/>
    <cellStyle name="Normal 2 5 7 2 4" xfId="12322" xr:uid="{65470D55-35D5-456B-8D69-464A0144E34D}"/>
    <cellStyle name="Normal 2 5 7 3" xfId="5945" xr:uid="{00000000-0005-0000-0000-000070110000}"/>
    <cellStyle name="Normal 2 5 7 3 2" xfId="22843" xr:uid="{2F986091-9858-47D4-ACAB-941F8CAC49FA}"/>
    <cellStyle name="Normal 2 5 7 3 3" xfId="14395" xr:uid="{4E96CD0E-4AB5-4C60-82F0-1124FA411299}"/>
    <cellStyle name="Normal 2 5 7 4" xfId="18625" xr:uid="{4A6B7BC2-31D3-4873-A77B-05A5F85C0A40}"/>
    <cellStyle name="Normal 2 5 7 5" xfId="10177" xr:uid="{3265A5DC-1FED-4537-9B9F-B04BD62747C2}"/>
    <cellStyle name="Normal 2 5 8" xfId="2052" xr:uid="{00000000-0005-0000-0000-000071110000}"/>
    <cellStyle name="Normal 2 5 8 2" xfId="4281" xr:uid="{00000000-0005-0000-0000-000072110000}"/>
    <cellStyle name="Normal 2 5 8 2 2" xfId="8503" xr:uid="{00000000-0005-0000-0000-000073110000}"/>
    <cellStyle name="Normal 2 5 8 2 2 2" xfId="25401" xr:uid="{36C88074-5EBC-4450-9B65-4561C80DBB32}"/>
    <cellStyle name="Normal 2 5 8 2 2 3" xfId="16953" xr:uid="{882E9CD1-3CAE-4DFE-9A00-B46B2F15A79E}"/>
    <cellStyle name="Normal 2 5 8 2 3" xfId="21183" xr:uid="{41C4745E-D50B-4465-B305-9688AC5C1073}"/>
    <cellStyle name="Normal 2 5 8 2 4" xfId="12735" xr:uid="{1DB66C6A-9541-4E70-B89B-13B575513BE6}"/>
    <cellStyle name="Normal 2 5 8 3" xfId="6358" xr:uid="{00000000-0005-0000-0000-000074110000}"/>
    <cellStyle name="Normal 2 5 8 3 2" xfId="23256" xr:uid="{20AECECC-1E4A-4265-94C8-2F6ED2E497C0}"/>
    <cellStyle name="Normal 2 5 8 3 3" xfId="14808" xr:uid="{7D6BE4D2-0A28-4A24-89C5-869DA55AF0B9}"/>
    <cellStyle name="Normal 2 5 8 4" xfId="19038" xr:uid="{13F80D2A-8E1D-43EE-8BA7-081FC6AE8087}"/>
    <cellStyle name="Normal 2 5 8 5" xfId="10590" xr:uid="{99F33F5E-8DF6-4C02-8AD4-3BFCB4E33B89}"/>
    <cellStyle name="Normal 2 5 9" xfId="2488" xr:uid="{00000000-0005-0000-0000-000075110000}"/>
    <cellStyle name="Normal 2 5 9 2" xfId="6771" xr:uid="{00000000-0005-0000-0000-000076110000}"/>
    <cellStyle name="Normal 2 5 9 2 2" xfId="23669" xr:uid="{00E3C3C8-2247-4B25-BE0C-345E75E0D788}"/>
    <cellStyle name="Normal 2 5 9 2 3" xfId="15221" xr:uid="{30FCE5C6-8612-42B3-A75B-1A96FEB6F817}"/>
    <cellStyle name="Normal 2 5 9 3" xfId="19451" xr:uid="{8704CABD-DD5A-45F9-A0EF-649F9D855E3B}"/>
    <cellStyle name="Normal 2 5 9 4" xfId="11003" xr:uid="{5E150B8A-2B69-4567-B51B-5FD9FAA2B921}"/>
    <cellStyle name="Normal 2 6" xfId="322" xr:uid="{00000000-0005-0000-0000-000077110000}"/>
    <cellStyle name="Normal 2 7" xfId="769" xr:uid="{00000000-0005-0000-0000-000078110000}"/>
    <cellStyle name="Normal 2 8" xfId="4495" xr:uid="{00000000-0005-0000-0000-000079110000}"/>
    <cellStyle name="Normal 2 8 2" xfId="21395" xr:uid="{91EE051A-6619-44BE-B968-7AD9A882E4FA}"/>
    <cellStyle name="Normal 2 8 3" xfId="12947" xr:uid="{1F07FCD7-D53B-4493-91D4-0E46D8A05AB8}"/>
    <cellStyle name="Normal 3" xfId="323" xr:uid="{00000000-0005-0000-0000-00007A110000}"/>
    <cellStyle name="Normal 3 2" xfId="324" xr:uid="{00000000-0005-0000-0000-00007B110000}"/>
    <cellStyle name="Normal 3 2 10" xfId="17390" xr:uid="{745686B0-C7AD-4001-B079-218C7313A213}"/>
    <cellStyle name="Normal 3 2 11" xfId="8942" xr:uid="{B67CB1B1-4D8B-4100-B2A2-B4A553792A1D}"/>
    <cellStyle name="Normal 3 2 2" xfId="325" xr:uid="{00000000-0005-0000-0000-00007C110000}"/>
    <cellStyle name="Normal 3 2 2 2" xfId="810" xr:uid="{00000000-0005-0000-0000-00007D110000}"/>
    <cellStyle name="Normal 3 2 3" xfId="326" xr:uid="{00000000-0005-0000-0000-00007E110000}"/>
    <cellStyle name="Normal 3 2 3 10" xfId="17391" xr:uid="{29BD88C1-9DE4-475A-93C2-13E7A9CF862F}"/>
    <cellStyle name="Normal 3 2 3 11" xfId="8943" xr:uid="{282CAEEC-EFDC-491F-8C54-D72D52754E3C}"/>
    <cellStyle name="Normal 3 2 3 2" xfId="327" xr:uid="{00000000-0005-0000-0000-00007F110000}"/>
    <cellStyle name="Normal 3 2 3 2 10" xfId="8944" xr:uid="{6BBC1F8F-00E4-4DBE-B8BD-97B5956BA8A4}"/>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24170" xr:uid="{DFF6C250-E1C7-46F4-BC3A-683644C36A25}"/>
    <cellStyle name="Normal 3 2 3 2 2 2 2 2 3" xfId="15722" xr:uid="{4AD03E25-BF71-4080-BD47-FB5DC69B0C89}"/>
    <cellStyle name="Normal 3 2 3 2 2 2 2 3" xfId="19952" xr:uid="{F086FB2F-A485-4424-9560-1F316A937C4E}"/>
    <cellStyle name="Normal 3 2 3 2 2 2 2 4" xfId="11504" xr:uid="{378D72C1-ECCE-4B18-A374-576BCB9A82E0}"/>
    <cellStyle name="Normal 3 2 3 2 2 2 3" xfId="5127" xr:uid="{00000000-0005-0000-0000-000084110000}"/>
    <cellStyle name="Normal 3 2 3 2 2 2 3 2" xfId="22025" xr:uid="{150BDFB2-0BB7-41D9-8617-BAF260BACF85}"/>
    <cellStyle name="Normal 3 2 3 2 2 2 3 3" xfId="13577" xr:uid="{82C25AEF-6F28-4181-B539-94172A744B36}"/>
    <cellStyle name="Normal 3 2 3 2 2 2 4" xfId="17807" xr:uid="{6021BE0B-1776-4691-8AF5-5ED6EA93C30E}"/>
    <cellStyle name="Normal 3 2 3 2 2 2 5" xfId="9359" xr:uid="{5C9DF345-C8B5-48FF-87DF-2A837467E639}"/>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24583" xr:uid="{0A558A17-EC00-4A36-A803-F7C1AB5774F1}"/>
    <cellStyle name="Normal 3 2 3 2 2 3 2 2 3" xfId="16135" xr:uid="{620DD55A-7A30-4E1E-B82F-4775B265BCF6}"/>
    <cellStyle name="Normal 3 2 3 2 2 3 2 3" xfId="20365" xr:uid="{AF9966F8-8DBD-4090-8690-803FB5506621}"/>
    <cellStyle name="Normal 3 2 3 2 2 3 2 4" xfId="11917" xr:uid="{715E8C67-FFDC-4046-B3CC-E58114BDAA0D}"/>
    <cellStyle name="Normal 3 2 3 2 2 3 3" xfId="5540" xr:uid="{00000000-0005-0000-0000-000088110000}"/>
    <cellStyle name="Normal 3 2 3 2 2 3 3 2" xfId="22438" xr:uid="{03453EC7-70FE-4730-8D8F-22F4B5C3E89B}"/>
    <cellStyle name="Normal 3 2 3 2 2 3 3 3" xfId="13990" xr:uid="{A52DA1A6-1146-41AF-88A4-5DBCE194DE66}"/>
    <cellStyle name="Normal 3 2 3 2 2 3 4" xfId="18220" xr:uid="{0761EAD0-ED3D-44A4-87FA-FF521D277964}"/>
    <cellStyle name="Normal 3 2 3 2 2 3 5" xfId="9772" xr:uid="{C8BCBCF2-550E-46B5-A11D-E76E29156CB7}"/>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24996" xr:uid="{48EBA8BA-71EE-494C-9BC2-C1335F53BFC1}"/>
    <cellStyle name="Normal 3 2 3 2 2 4 2 2 3" xfId="16548" xr:uid="{BF055532-4E38-43E6-9577-68D8F7E19EF8}"/>
    <cellStyle name="Normal 3 2 3 2 2 4 2 3" xfId="20778" xr:uid="{05B00778-0694-4FFB-9B58-63B72E31448A}"/>
    <cellStyle name="Normal 3 2 3 2 2 4 2 4" xfId="12330" xr:uid="{E6F278A6-87C2-477C-8535-A6161CC542C3}"/>
    <cellStyle name="Normal 3 2 3 2 2 4 3" xfId="5953" xr:uid="{00000000-0005-0000-0000-00008C110000}"/>
    <cellStyle name="Normal 3 2 3 2 2 4 3 2" xfId="22851" xr:uid="{6BB7F8CB-5B99-43F6-B69A-AFB0844AAEF9}"/>
    <cellStyle name="Normal 3 2 3 2 2 4 3 3" xfId="14403" xr:uid="{3C3CCE3F-20E4-4FE6-82C7-FD9EC783C7B9}"/>
    <cellStyle name="Normal 3 2 3 2 2 4 4" xfId="18633" xr:uid="{200F15C4-87FC-4BB0-958E-7CF40B32A564}"/>
    <cellStyle name="Normal 3 2 3 2 2 4 5" xfId="10185" xr:uid="{4A9FA1A3-DEA2-4E8C-8C4F-E99B57C8F595}"/>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25409" xr:uid="{24F97EEF-F733-449B-8D7D-F43165398E3D}"/>
    <cellStyle name="Normal 3 2 3 2 2 5 2 2 3" xfId="16961" xr:uid="{055D554D-2958-4DB0-9DC1-F6A3F17B4CD8}"/>
    <cellStyle name="Normal 3 2 3 2 2 5 2 3" xfId="21191" xr:uid="{41E29E9B-C277-41DB-B88D-46C2239665F6}"/>
    <cellStyle name="Normal 3 2 3 2 2 5 2 4" xfId="12743" xr:uid="{1DC699DB-F6A9-40C1-9DBA-2ACE965E6007}"/>
    <cellStyle name="Normal 3 2 3 2 2 5 3" xfId="6366" xr:uid="{00000000-0005-0000-0000-000090110000}"/>
    <cellStyle name="Normal 3 2 3 2 2 5 3 2" xfId="23264" xr:uid="{250A0B99-48D8-462A-ADBA-B98BB9A1891E}"/>
    <cellStyle name="Normal 3 2 3 2 2 5 3 3" xfId="14816" xr:uid="{22CE9013-EC4D-41C5-83AB-86033BD84AAF}"/>
    <cellStyle name="Normal 3 2 3 2 2 5 4" xfId="19046" xr:uid="{129AB7B9-3BD8-40AB-A071-F593DCAFBDD4}"/>
    <cellStyle name="Normal 3 2 3 2 2 5 5" xfId="10598" xr:uid="{CA62E0BC-ACC6-4575-B748-98D4FBA75672}"/>
    <cellStyle name="Normal 3 2 3 2 2 6" xfId="2496" xr:uid="{00000000-0005-0000-0000-000091110000}"/>
    <cellStyle name="Normal 3 2 3 2 2 6 2" xfId="6779" xr:uid="{00000000-0005-0000-0000-000092110000}"/>
    <cellStyle name="Normal 3 2 3 2 2 6 2 2" xfId="23677" xr:uid="{3A0676C7-57CD-4DAF-A8A0-2DF82C1068BA}"/>
    <cellStyle name="Normal 3 2 3 2 2 6 2 3" xfId="15229" xr:uid="{74971287-D9A0-4C7F-BA50-552EA02DB1BC}"/>
    <cellStyle name="Normal 3 2 3 2 2 6 3" xfId="19459" xr:uid="{27D25822-4B03-4234-991B-E5D18C49C197}"/>
    <cellStyle name="Normal 3 2 3 2 2 6 4" xfId="11011" xr:uid="{92BC55EC-1F68-4323-9CF3-7A04E8D79C2B}"/>
    <cellStyle name="Normal 3 2 3 2 2 7" xfId="4713" xr:uid="{00000000-0005-0000-0000-000093110000}"/>
    <cellStyle name="Normal 3 2 3 2 2 7 2" xfId="21611" xr:uid="{FF1E75D8-CCDB-454D-B7F3-CFCD3F22DA85}"/>
    <cellStyle name="Normal 3 2 3 2 2 7 3" xfId="13163" xr:uid="{39E5B9A7-846E-4248-9113-6C56308397A3}"/>
    <cellStyle name="Normal 3 2 3 2 2 8" xfId="17393" xr:uid="{7DB32C1F-A593-4146-9076-3AEF3D505235}"/>
    <cellStyle name="Normal 3 2 3 2 2 9" xfId="8945" xr:uid="{8D916895-AF69-43AA-92FD-D62346C77EA7}"/>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24169" xr:uid="{0AF018AD-B492-4DEF-8A6D-3BD4CA13E693}"/>
    <cellStyle name="Normal 3 2 3 2 3 2 2 3" xfId="15721" xr:uid="{DE8B3982-E651-4C53-9658-D34730A52E2A}"/>
    <cellStyle name="Normal 3 2 3 2 3 2 3" xfId="19951" xr:uid="{C7BEDC48-55A6-4C2C-91C6-A0B7C038221D}"/>
    <cellStyle name="Normal 3 2 3 2 3 2 4" xfId="11503" xr:uid="{283F1304-30C1-4037-920D-6D00B3B30BCE}"/>
    <cellStyle name="Normal 3 2 3 2 3 3" xfId="5126" xr:uid="{00000000-0005-0000-0000-000097110000}"/>
    <cellStyle name="Normal 3 2 3 2 3 3 2" xfId="22024" xr:uid="{6735E6AD-B8FB-425B-A34B-7270CDC6D12A}"/>
    <cellStyle name="Normal 3 2 3 2 3 3 3" xfId="13576" xr:uid="{5A8659BF-84CB-4A74-A1ED-0C721FC025FA}"/>
    <cellStyle name="Normal 3 2 3 2 3 4" xfId="17806" xr:uid="{75FAABA8-71FA-4113-9C91-14749BC231CA}"/>
    <cellStyle name="Normal 3 2 3 2 3 5" xfId="9358" xr:uid="{1A1E6B12-27B3-4949-AE7A-6A2EC8299EC3}"/>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24582" xr:uid="{E3DD02C8-D241-4949-9681-75C126287F20}"/>
    <cellStyle name="Normal 3 2 3 2 4 2 2 3" xfId="16134" xr:uid="{EBCC1A72-DE5F-4883-BE44-2E11DF922BEE}"/>
    <cellStyle name="Normal 3 2 3 2 4 2 3" xfId="20364" xr:uid="{46D2F342-FB39-4FD4-AFAF-874303EA728B}"/>
    <cellStyle name="Normal 3 2 3 2 4 2 4" xfId="11916" xr:uid="{DF80CDCB-DD48-4441-9FED-B6EE4414A9AE}"/>
    <cellStyle name="Normal 3 2 3 2 4 3" xfId="5539" xr:uid="{00000000-0005-0000-0000-00009B110000}"/>
    <cellStyle name="Normal 3 2 3 2 4 3 2" xfId="22437" xr:uid="{08D0C62F-2993-41FB-A9EC-1A7EE7617986}"/>
    <cellStyle name="Normal 3 2 3 2 4 3 3" xfId="13989" xr:uid="{1D401851-624D-46EA-9569-96A45AC11F0D}"/>
    <cellStyle name="Normal 3 2 3 2 4 4" xfId="18219" xr:uid="{4858EBB3-F029-4119-947C-62A1CDC3DA6B}"/>
    <cellStyle name="Normal 3 2 3 2 4 5" xfId="9771" xr:uid="{03083C79-7D4C-4093-AC20-40CFA9628EDE}"/>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24995" xr:uid="{27862D8E-84A3-4BC7-B6AA-0248F7C29B2B}"/>
    <cellStyle name="Normal 3 2 3 2 5 2 2 3" xfId="16547" xr:uid="{05E765E6-E471-463F-BB7C-033F69A39503}"/>
    <cellStyle name="Normal 3 2 3 2 5 2 3" xfId="20777" xr:uid="{BFDA5F9C-C63A-43FA-A0DF-C216450A6FDB}"/>
    <cellStyle name="Normal 3 2 3 2 5 2 4" xfId="12329" xr:uid="{714E01A5-2986-4173-B54E-48B2BB03FC5E}"/>
    <cellStyle name="Normal 3 2 3 2 5 3" xfId="5952" xr:uid="{00000000-0005-0000-0000-00009F110000}"/>
    <cellStyle name="Normal 3 2 3 2 5 3 2" xfId="22850" xr:uid="{1E180E0B-24C0-45FF-8967-2FD32A325827}"/>
    <cellStyle name="Normal 3 2 3 2 5 3 3" xfId="14402" xr:uid="{C74810C1-9EC9-4009-8292-3309697E713B}"/>
    <cellStyle name="Normal 3 2 3 2 5 4" xfId="18632" xr:uid="{2CC92295-F412-4243-AD47-8FF20E6C7B52}"/>
    <cellStyle name="Normal 3 2 3 2 5 5" xfId="10184" xr:uid="{3E294261-1C6C-465F-B206-BA916C65DC79}"/>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25408" xr:uid="{F3CC360C-B34E-4F17-9E38-A3F424FB30D0}"/>
    <cellStyle name="Normal 3 2 3 2 6 2 2 3" xfId="16960" xr:uid="{C471DC71-7501-43EA-85E8-F0D6DF9CB1BE}"/>
    <cellStyle name="Normal 3 2 3 2 6 2 3" xfId="21190" xr:uid="{CBC30B78-3844-46AD-A89F-7C47133DF2C7}"/>
    <cellStyle name="Normal 3 2 3 2 6 2 4" xfId="12742" xr:uid="{D5BAA6E0-59E2-49A4-B4DE-9AD5F1221884}"/>
    <cellStyle name="Normal 3 2 3 2 6 3" xfId="6365" xr:uid="{00000000-0005-0000-0000-0000A3110000}"/>
    <cellStyle name="Normal 3 2 3 2 6 3 2" xfId="23263" xr:uid="{504A72A6-256C-48EC-8B81-DAA5FA46E500}"/>
    <cellStyle name="Normal 3 2 3 2 6 3 3" xfId="14815" xr:uid="{AE3AC55A-112A-48E3-BC3C-80E250154E9B}"/>
    <cellStyle name="Normal 3 2 3 2 6 4" xfId="19045" xr:uid="{72B6D336-559D-4F7E-972B-0FB60882E2B1}"/>
    <cellStyle name="Normal 3 2 3 2 6 5" xfId="10597" xr:uid="{57AC0EFD-0CC2-4352-8D67-5B465A1307CE}"/>
    <cellStyle name="Normal 3 2 3 2 7" xfId="2495" xr:uid="{00000000-0005-0000-0000-0000A4110000}"/>
    <cellStyle name="Normal 3 2 3 2 7 2" xfId="6778" xr:uid="{00000000-0005-0000-0000-0000A5110000}"/>
    <cellStyle name="Normal 3 2 3 2 7 2 2" xfId="23676" xr:uid="{886B73C1-A444-45FC-94A7-F375B27AF38E}"/>
    <cellStyle name="Normal 3 2 3 2 7 2 3" xfId="15228" xr:uid="{C0258DF6-0438-4DB0-8B2A-2ED60A2A9F54}"/>
    <cellStyle name="Normal 3 2 3 2 7 3" xfId="19458" xr:uid="{48FDABEF-CD0D-40B0-8AAA-E3CB6A97D1C1}"/>
    <cellStyle name="Normal 3 2 3 2 7 4" xfId="11010" xr:uid="{4FDA4FA4-440B-49FE-B938-115D72F5175C}"/>
    <cellStyle name="Normal 3 2 3 2 8" xfId="4712" xr:uid="{00000000-0005-0000-0000-0000A6110000}"/>
    <cellStyle name="Normal 3 2 3 2 8 2" xfId="21610" xr:uid="{6B607593-999E-465C-B194-A354576CBA74}"/>
    <cellStyle name="Normal 3 2 3 2 8 3" xfId="13162" xr:uid="{2DED86B4-ED47-41E6-AC61-7A738577C862}"/>
    <cellStyle name="Normal 3 2 3 2 9" xfId="17392" xr:uid="{573B5414-4D02-4B25-80BB-68BAD69C76C5}"/>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24171" xr:uid="{8B0BFDE4-9C9D-441B-9E46-DC8D1321BC8D}"/>
    <cellStyle name="Normal 3 2 3 3 2 2 2 3" xfId="15723" xr:uid="{B018AE31-6090-4408-9366-D4DB1EF9E57B}"/>
    <cellStyle name="Normal 3 2 3 3 2 2 3" xfId="19953" xr:uid="{1C362233-154D-4CB0-9A83-D6C4A108EEDA}"/>
    <cellStyle name="Normal 3 2 3 3 2 2 4" xfId="11505" xr:uid="{E5F5D5D8-A49B-4A76-8A98-C027F34D3728}"/>
    <cellStyle name="Normal 3 2 3 3 2 3" xfId="5128" xr:uid="{00000000-0005-0000-0000-0000AB110000}"/>
    <cellStyle name="Normal 3 2 3 3 2 3 2" xfId="22026" xr:uid="{0D178FFA-1FF2-4A82-BF54-A5D3E69617AA}"/>
    <cellStyle name="Normal 3 2 3 3 2 3 3" xfId="13578" xr:uid="{682E7594-FA0A-4EE6-A8C2-C6EA7CE18A60}"/>
    <cellStyle name="Normal 3 2 3 3 2 4" xfId="17808" xr:uid="{BB9CC57F-15F1-4E09-ACF5-B196671DC9A6}"/>
    <cellStyle name="Normal 3 2 3 3 2 5" xfId="9360" xr:uid="{5540660E-356E-431C-8113-2CC29E13A13D}"/>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24584" xr:uid="{1CE45244-2F82-41C9-A6E9-6368435F1192}"/>
    <cellStyle name="Normal 3 2 3 3 3 2 2 3" xfId="16136" xr:uid="{12FE76E5-3C6E-4005-BE1C-F8F9F479D108}"/>
    <cellStyle name="Normal 3 2 3 3 3 2 3" xfId="20366" xr:uid="{539899D9-8BA6-4B55-9CD8-AD181629F522}"/>
    <cellStyle name="Normal 3 2 3 3 3 2 4" xfId="11918" xr:uid="{FEA98A93-C37D-45E9-ABF2-E2C263CE4DDD}"/>
    <cellStyle name="Normal 3 2 3 3 3 3" xfId="5541" xr:uid="{00000000-0005-0000-0000-0000AF110000}"/>
    <cellStyle name="Normal 3 2 3 3 3 3 2" xfId="22439" xr:uid="{63C6CE02-8267-440C-87B1-1C099C5EC229}"/>
    <cellStyle name="Normal 3 2 3 3 3 3 3" xfId="13991" xr:uid="{1E721200-35AB-43EC-AFE4-3DBB62E782D2}"/>
    <cellStyle name="Normal 3 2 3 3 3 4" xfId="18221" xr:uid="{99C3F1CC-405C-460B-B9CC-00B9671BDF60}"/>
    <cellStyle name="Normal 3 2 3 3 3 5" xfId="9773" xr:uid="{88046259-0906-4794-8CE2-EE01E8005E9C}"/>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24997" xr:uid="{92349C23-2828-4D67-9432-FCA3F7575C82}"/>
    <cellStyle name="Normal 3 2 3 3 4 2 2 3" xfId="16549" xr:uid="{182177F4-D180-4090-8298-1C30894ECD83}"/>
    <cellStyle name="Normal 3 2 3 3 4 2 3" xfId="20779" xr:uid="{628D8CF6-593B-4F00-ACEE-B1BF34ED4F50}"/>
    <cellStyle name="Normal 3 2 3 3 4 2 4" xfId="12331" xr:uid="{BDC347A3-5E4B-421D-BEE1-25763442CF9F}"/>
    <cellStyle name="Normal 3 2 3 3 4 3" xfId="5954" xr:uid="{00000000-0005-0000-0000-0000B3110000}"/>
    <cellStyle name="Normal 3 2 3 3 4 3 2" xfId="22852" xr:uid="{A0A8144E-C583-4029-A953-4DFC37E911C0}"/>
    <cellStyle name="Normal 3 2 3 3 4 3 3" xfId="14404" xr:uid="{11A24DA1-8FFA-4649-9E94-A59BB3FA913C}"/>
    <cellStyle name="Normal 3 2 3 3 4 4" xfId="18634" xr:uid="{33995027-C841-4C34-9FE5-01BA6F6B4D8D}"/>
    <cellStyle name="Normal 3 2 3 3 4 5" xfId="10186" xr:uid="{2D06DDCF-7CA2-45BD-9327-D1F2BF2597C7}"/>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25410" xr:uid="{31E0FC9A-91E6-4F84-B3E7-D9C1B85903F9}"/>
    <cellStyle name="Normal 3 2 3 3 5 2 2 3" xfId="16962" xr:uid="{0B90C199-4B3B-4CE1-B023-5E8E75411F6E}"/>
    <cellStyle name="Normal 3 2 3 3 5 2 3" xfId="21192" xr:uid="{B56C55A1-D650-4F13-9462-D1BF8F75E0C2}"/>
    <cellStyle name="Normal 3 2 3 3 5 2 4" xfId="12744" xr:uid="{DD9BB3DF-77E0-4813-8C0A-AFE9920B7ADE}"/>
    <cellStyle name="Normal 3 2 3 3 5 3" xfId="6367" xr:uid="{00000000-0005-0000-0000-0000B7110000}"/>
    <cellStyle name="Normal 3 2 3 3 5 3 2" xfId="23265" xr:uid="{531E14CB-253B-4638-9E68-FB8C7387F81E}"/>
    <cellStyle name="Normal 3 2 3 3 5 3 3" xfId="14817" xr:uid="{33D7FBC4-C89D-423B-82EA-99CB88C6D432}"/>
    <cellStyle name="Normal 3 2 3 3 5 4" xfId="19047" xr:uid="{C0237474-4947-4AB3-AF0C-40DA19EC5FD4}"/>
    <cellStyle name="Normal 3 2 3 3 5 5" xfId="10599" xr:uid="{9AFE023F-6D41-46D2-AB99-DED16FF787D8}"/>
    <cellStyle name="Normal 3 2 3 3 6" xfId="2497" xr:uid="{00000000-0005-0000-0000-0000B8110000}"/>
    <cellStyle name="Normal 3 2 3 3 6 2" xfId="6780" xr:uid="{00000000-0005-0000-0000-0000B9110000}"/>
    <cellStyle name="Normal 3 2 3 3 6 2 2" xfId="23678" xr:uid="{82B54138-4517-4912-960C-39FBB362391C}"/>
    <cellStyle name="Normal 3 2 3 3 6 2 3" xfId="15230" xr:uid="{D64CF206-922C-4107-BE0D-9514448D1DD8}"/>
    <cellStyle name="Normal 3 2 3 3 6 3" xfId="19460" xr:uid="{9BAA7395-298E-41CC-907B-62CA1A95DC31}"/>
    <cellStyle name="Normal 3 2 3 3 6 4" xfId="11012" xr:uid="{48F3F3BC-D90C-4AB8-BAAE-2725D7339EA3}"/>
    <cellStyle name="Normal 3 2 3 3 7" xfId="4714" xr:uid="{00000000-0005-0000-0000-0000BA110000}"/>
    <cellStyle name="Normal 3 2 3 3 7 2" xfId="21612" xr:uid="{7EA7ABCD-3297-4DEE-8962-DF9C8E3F0DFD}"/>
    <cellStyle name="Normal 3 2 3 3 7 3" xfId="13164" xr:uid="{C710CBEB-96E2-497F-9324-EC94FB624C24}"/>
    <cellStyle name="Normal 3 2 3 3 8" xfId="17394" xr:uid="{7D71C90D-0ADB-4012-9E7B-1A240FDF7D23}"/>
    <cellStyle name="Normal 3 2 3 3 9" xfId="8946" xr:uid="{110DFC7E-957D-417A-90E8-8B21EE154E69}"/>
    <cellStyle name="Normal 3 2 3 4" xfId="811" xr:uid="{00000000-0005-0000-0000-0000BB110000}"/>
    <cellStyle name="Normal 3 2 3 4 2" xfId="3048" xr:uid="{00000000-0005-0000-0000-0000BC110000}"/>
    <cellStyle name="Normal 3 2 3 4 2 2" xfId="7270" xr:uid="{00000000-0005-0000-0000-0000BD110000}"/>
    <cellStyle name="Normal 3 2 3 4 2 2 2" xfId="24168" xr:uid="{246877CC-F8DF-498D-A3C8-CAB20F6EE385}"/>
    <cellStyle name="Normal 3 2 3 4 2 2 3" xfId="15720" xr:uid="{5F3FFD0E-47BB-4B59-877B-E534D556770B}"/>
    <cellStyle name="Normal 3 2 3 4 2 3" xfId="19950" xr:uid="{E25CF893-4F65-43B5-BFA9-0F6957690130}"/>
    <cellStyle name="Normal 3 2 3 4 2 4" xfId="11502" xr:uid="{DFD04F7C-549A-4B25-8B35-C5F0F744076C}"/>
    <cellStyle name="Normal 3 2 3 4 3" xfId="5125" xr:uid="{00000000-0005-0000-0000-0000BE110000}"/>
    <cellStyle name="Normal 3 2 3 4 3 2" xfId="22023" xr:uid="{D03D16FF-B197-4B8C-8A5A-39ED37D50261}"/>
    <cellStyle name="Normal 3 2 3 4 3 3" xfId="13575" xr:uid="{729F16E3-F820-405C-AF4C-1C94DA9B1C45}"/>
    <cellStyle name="Normal 3 2 3 4 4" xfId="17805" xr:uid="{62245243-5984-45E0-B1FE-3F2FD3663EE9}"/>
    <cellStyle name="Normal 3 2 3 4 5" xfId="9357" xr:uid="{10B6BF15-E86D-493D-B3B8-261C25044120}"/>
    <cellStyle name="Normal 3 2 3 5" xfId="1231" xr:uid="{00000000-0005-0000-0000-0000BF110000}"/>
    <cellStyle name="Normal 3 2 3 5 2" xfId="3461" xr:uid="{00000000-0005-0000-0000-0000C0110000}"/>
    <cellStyle name="Normal 3 2 3 5 2 2" xfId="7683" xr:uid="{00000000-0005-0000-0000-0000C1110000}"/>
    <cellStyle name="Normal 3 2 3 5 2 2 2" xfId="24581" xr:uid="{7C4F86AE-3553-4EEF-8223-74DF5A72DD79}"/>
    <cellStyle name="Normal 3 2 3 5 2 2 3" xfId="16133" xr:uid="{02411338-EA9A-40E5-B537-A65F0D2A8F01}"/>
    <cellStyle name="Normal 3 2 3 5 2 3" xfId="20363" xr:uid="{C9AF9C92-CD3A-470A-B31C-6E87E8C053F6}"/>
    <cellStyle name="Normal 3 2 3 5 2 4" xfId="11915" xr:uid="{235F2456-CA59-4EB1-A10A-730DBBA98120}"/>
    <cellStyle name="Normal 3 2 3 5 3" xfId="5538" xr:uid="{00000000-0005-0000-0000-0000C2110000}"/>
    <cellStyle name="Normal 3 2 3 5 3 2" xfId="22436" xr:uid="{E601E8FC-E583-4B98-936E-E710D0773B10}"/>
    <cellStyle name="Normal 3 2 3 5 3 3" xfId="13988" xr:uid="{D8B7FF48-FCC4-4BE9-8DB5-F000F83011EA}"/>
    <cellStyle name="Normal 3 2 3 5 4" xfId="18218" xr:uid="{CC081E9E-4ED2-45D9-B83E-B3F89474E290}"/>
    <cellStyle name="Normal 3 2 3 5 5" xfId="9770" xr:uid="{6797E2DD-DF6D-494C-B305-DE409A23C386}"/>
    <cellStyle name="Normal 3 2 3 6" xfId="1644" xr:uid="{00000000-0005-0000-0000-0000C3110000}"/>
    <cellStyle name="Normal 3 2 3 6 2" xfId="3874" xr:uid="{00000000-0005-0000-0000-0000C4110000}"/>
    <cellStyle name="Normal 3 2 3 6 2 2" xfId="8096" xr:uid="{00000000-0005-0000-0000-0000C5110000}"/>
    <cellStyle name="Normal 3 2 3 6 2 2 2" xfId="24994" xr:uid="{CABECD45-0125-453E-B5D5-0476DC24129C}"/>
    <cellStyle name="Normal 3 2 3 6 2 2 3" xfId="16546" xr:uid="{C75D71B5-8835-42C1-B8D9-5C6D0B6250E5}"/>
    <cellStyle name="Normal 3 2 3 6 2 3" xfId="20776" xr:uid="{C5405BBE-FD75-4392-9808-4DBBA9590C45}"/>
    <cellStyle name="Normal 3 2 3 6 2 4" xfId="12328" xr:uid="{61162E77-E240-4369-B669-89CF37D83666}"/>
    <cellStyle name="Normal 3 2 3 6 3" xfId="5951" xr:uid="{00000000-0005-0000-0000-0000C6110000}"/>
    <cellStyle name="Normal 3 2 3 6 3 2" xfId="22849" xr:uid="{BF8DAE40-AA2A-4171-A809-F5A0866B693F}"/>
    <cellStyle name="Normal 3 2 3 6 3 3" xfId="14401" xr:uid="{1E4FDD02-6DD9-4C6C-B363-9A80176F139A}"/>
    <cellStyle name="Normal 3 2 3 6 4" xfId="18631" xr:uid="{406ACE1B-8360-4B18-B65F-7885BDBF4FF2}"/>
    <cellStyle name="Normal 3 2 3 6 5" xfId="10183" xr:uid="{8F768004-7596-47BB-A9C1-16925BB7F589}"/>
    <cellStyle name="Normal 3 2 3 7" xfId="2058" xr:uid="{00000000-0005-0000-0000-0000C7110000}"/>
    <cellStyle name="Normal 3 2 3 7 2" xfId="4287" xr:uid="{00000000-0005-0000-0000-0000C8110000}"/>
    <cellStyle name="Normal 3 2 3 7 2 2" xfId="8509" xr:uid="{00000000-0005-0000-0000-0000C9110000}"/>
    <cellStyle name="Normal 3 2 3 7 2 2 2" xfId="25407" xr:uid="{3EB029D1-8438-4BBF-9D3A-5222AEAC05D0}"/>
    <cellStyle name="Normal 3 2 3 7 2 2 3" xfId="16959" xr:uid="{A6C84EE3-8B79-4BC8-8486-33DF363D872B}"/>
    <cellStyle name="Normal 3 2 3 7 2 3" xfId="21189" xr:uid="{EA1DD763-A0A9-49E8-B676-DA5F3109D5F7}"/>
    <cellStyle name="Normal 3 2 3 7 2 4" xfId="12741" xr:uid="{FC6C29D2-6328-411A-BB0C-51646009173F}"/>
    <cellStyle name="Normal 3 2 3 7 3" xfId="6364" xr:uid="{00000000-0005-0000-0000-0000CA110000}"/>
    <cellStyle name="Normal 3 2 3 7 3 2" xfId="23262" xr:uid="{2EEF7E6E-7C36-4D48-B7E1-C52C49EBD3F4}"/>
    <cellStyle name="Normal 3 2 3 7 3 3" xfId="14814" xr:uid="{8BC04AF7-2EA6-4F6B-9CBC-A137E8AB9008}"/>
    <cellStyle name="Normal 3 2 3 7 4" xfId="19044" xr:uid="{73988EEE-1A7B-4563-A347-8CB783279EA5}"/>
    <cellStyle name="Normal 3 2 3 7 5" xfId="10596" xr:uid="{FDC7EEB9-397E-4312-A824-BC39AEABA66F}"/>
    <cellStyle name="Normal 3 2 3 8" xfId="2494" xr:uid="{00000000-0005-0000-0000-0000CB110000}"/>
    <cellStyle name="Normal 3 2 3 8 2" xfId="6777" xr:uid="{00000000-0005-0000-0000-0000CC110000}"/>
    <cellStyle name="Normal 3 2 3 8 2 2" xfId="23675" xr:uid="{5DDE2900-73B3-43B0-9BD5-1BE0AECD5853}"/>
    <cellStyle name="Normal 3 2 3 8 2 3" xfId="15227" xr:uid="{1FB60218-3C42-4421-AF5B-43502227ADA9}"/>
    <cellStyle name="Normal 3 2 3 8 3" xfId="19457" xr:uid="{9BC5A861-F009-4DFE-B07D-07AFBF361703}"/>
    <cellStyle name="Normal 3 2 3 8 4" xfId="11009" xr:uid="{826E9E33-AA69-4277-8564-03D1ECF24D02}"/>
    <cellStyle name="Normal 3 2 3 9" xfId="4711" xr:uid="{00000000-0005-0000-0000-0000CD110000}"/>
    <cellStyle name="Normal 3 2 3 9 2" xfId="21609" xr:uid="{D06AA61A-28D3-45DF-9C14-631B0BD85F07}"/>
    <cellStyle name="Normal 3 2 3 9 3" xfId="13161" xr:uid="{7531F93B-4560-4F93-B095-4B2AE2D57EF0}"/>
    <cellStyle name="Normal 3 2 4" xfId="809" xr:uid="{00000000-0005-0000-0000-0000CE110000}"/>
    <cellStyle name="Normal 3 2 4 2" xfId="3047" xr:uid="{00000000-0005-0000-0000-0000CF110000}"/>
    <cellStyle name="Normal 3 2 4 2 2" xfId="7269" xr:uid="{00000000-0005-0000-0000-0000D0110000}"/>
    <cellStyle name="Normal 3 2 4 2 2 2" xfId="24167" xr:uid="{E965CAAF-2AD9-432F-B856-59481904DB19}"/>
    <cellStyle name="Normal 3 2 4 2 2 3" xfId="15719" xr:uid="{BDBDF4F0-B9B8-43A0-A27B-90A1F2AFAA5C}"/>
    <cellStyle name="Normal 3 2 4 2 3" xfId="19949" xr:uid="{712EAA7D-874F-4B5A-9655-6C08A533192E}"/>
    <cellStyle name="Normal 3 2 4 2 4" xfId="11501" xr:uid="{D28321A7-D673-49E8-85B6-860BB3974E41}"/>
    <cellStyle name="Normal 3 2 4 3" xfId="5124" xr:uid="{00000000-0005-0000-0000-0000D1110000}"/>
    <cellStyle name="Normal 3 2 4 3 2" xfId="22022" xr:uid="{E7C8EA43-BDD3-492D-AAAB-A9E39275A57B}"/>
    <cellStyle name="Normal 3 2 4 3 3" xfId="13574" xr:uid="{7ACF79BB-848A-4BF4-BC3B-384B3CB1377E}"/>
    <cellStyle name="Normal 3 2 4 4" xfId="17804" xr:uid="{E2CA735A-A051-46B1-946B-0D04E4FA450D}"/>
    <cellStyle name="Normal 3 2 4 5" xfId="9356" xr:uid="{1E58FCE4-63ED-43F8-BBDC-76FD39FA9B08}"/>
    <cellStyle name="Normal 3 2 5" xfId="1230" xr:uid="{00000000-0005-0000-0000-0000D2110000}"/>
    <cellStyle name="Normal 3 2 5 2" xfId="3460" xr:uid="{00000000-0005-0000-0000-0000D3110000}"/>
    <cellStyle name="Normal 3 2 5 2 2" xfId="7682" xr:uid="{00000000-0005-0000-0000-0000D4110000}"/>
    <cellStyle name="Normal 3 2 5 2 2 2" xfId="24580" xr:uid="{9B812627-5F85-4DEE-9409-4A11C3D5462A}"/>
    <cellStyle name="Normal 3 2 5 2 2 3" xfId="16132" xr:uid="{1D98CD6A-2515-4696-A3D4-04374F1852C6}"/>
    <cellStyle name="Normal 3 2 5 2 3" xfId="20362" xr:uid="{64465649-5E83-4A9C-AA9B-C8D8834F77FC}"/>
    <cellStyle name="Normal 3 2 5 2 4" xfId="11914" xr:uid="{14B7DF2B-C7F3-4EEE-AB38-0D57CF5B1629}"/>
    <cellStyle name="Normal 3 2 5 3" xfId="5537" xr:uid="{00000000-0005-0000-0000-0000D5110000}"/>
    <cellStyle name="Normal 3 2 5 3 2" xfId="22435" xr:uid="{67863DD3-BFA7-4273-A731-527218B8FD57}"/>
    <cellStyle name="Normal 3 2 5 3 3" xfId="13987" xr:uid="{D7491676-6CA5-4CC6-9A06-54AB06811E9E}"/>
    <cellStyle name="Normal 3 2 5 4" xfId="18217" xr:uid="{7ADE1A5C-6FEA-4A63-AFB4-0AEC95C83F25}"/>
    <cellStyle name="Normal 3 2 5 5" xfId="9769" xr:uid="{F369D5D9-1752-49D4-BDAC-7964513A10C3}"/>
    <cellStyle name="Normal 3 2 6" xfId="1643" xr:uid="{00000000-0005-0000-0000-0000D6110000}"/>
    <cellStyle name="Normal 3 2 6 2" xfId="3873" xr:uid="{00000000-0005-0000-0000-0000D7110000}"/>
    <cellStyle name="Normal 3 2 6 2 2" xfId="8095" xr:uid="{00000000-0005-0000-0000-0000D8110000}"/>
    <cellStyle name="Normal 3 2 6 2 2 2" xfId="24993" xr:uid="{08CDA59C-D22F-4719-96AE-F01C343A0AFD}"/>
    <cellStyle name="Normal 3 2 6 2 2 3" xfId="16545" xr:uid="{ACA4D49E-36B2-47BC-ACB8-774184BA3536}"/>
    <cellStyle name="Normal 3 2 6 2 3" xfId="20775" xr:uid="{CAAF5DDC-B804-443A-B310-33098B90792F}"/>
    <cellStyle name="Normal 3 2 6 2 4" xfId="12327" xr:uid="{B605D67A-9B60-4596-A1E2-1A8C3EF243BF}"/>
    <cellStyle name="Normal 3 2 6 3" xfId="5950" xr:uid="{00000000-0005-0000-0000-0000D9110000}"/>
    <cellStyle name="Normal 3 2 6 3 2" xfId="22848" xr:uid="{16A580D6-C96B-4E69-B333-567C9CD78750}"/>
    <cellStyle name="Normal 3 2 6 3 3" xfId="14400" xr:uid="{FA38D4D6-641A-4C33-BBAF-B5270F6EBA17}"/>
    <cellStyle name="Normal 3 2 6 4" xfId="18630" xr:uid="{F2C89031-AEBD-464D-B728-32486A4550DA}"/>
    <cellStyle name="Normal 3 2 6 5" xfId="10182" xr:uid="{C496ABDF-F9E4-41A6-839D-84A2D88637E4}"/>
    <cellStyle name="Normal 3 2 7" xfId="2057" xr:uid="{00000000-0005-0000-0000-0000DA110000}"/>
    <cellStyle name="Normal 3 2 7 2" xfId="4286" xr:uid="{00000000-0005-0000-0000-0000DB110000}"/>
    <cellStyle name="Normal 3 2 7 2 2" xfId="8508" xr:uid="{00000000-0005-0000-0000-0000DC110000}"/>
    <cellStyle name="Normal 3 2 7 2 2 2" xfId="25406" xr:uid="{FAE63151-5762-4F6E-9AB6-AA4411926C62}"/>
    <cellStyle name="Normal 3 2 7 2 2 3" xfId="16958" xr:uid="{84EB7A77-E588-499B-86FC-52B2DB709BA4}"/>
    <cellStyle name="Normal 3 2 7 2 3" xfId="21188" xr:uid="{F29F2894-1999-4A67-93BF-9594F5A8A9D6}"/>
    <cellStyle name="Normal 3 2 7 2 4" xfId="12740" xr:uid="{753B6FC0-AA8D-44A9-B057-F31285751052}"/>
    <cellStyle name="Normal 3 2 7 3" xfId="6363" xr:uid="{00000000-0005-0000-0000-0000DD110000}"/>
    <cellStyle name="Normal 3 2 7 3 2" xfId="23261" xr:uid="{615DAA80-E453-4498-9746-AD4774A52C7C}"/>
    <cellStyle name="Normal 3 2 7 3 3" xfId="14813" xr:uid="{298760B4-86C7-4A22-95E8-7A2A6DE17B66}"/>
    <cellStyle name="Normal 3 2 7 4" xfId="19043" xr:uid="{980D8B45-177C-4857-BC88-FB292E3BA6EC}"/>
    <cellStyle name="Normal 3 2 7 5" xfId="10595" xr:uid="{2D2512B9-DB75-4435-9A79-96652B71FE6B}"/>
    <cellStyle name="Normal 3 2 8" xfId="2493" xr:uid="{00000000-0005-0000-0000-0000DE110000}"/>
    <cellStyle name="Normal 3 2 8 2" xfId="6776" xr:uid="{00000000-0005-0000-0000-0000DF110000}"/>
    <cellStyle name="Normal 3 2 8 2 2" xfId="23674" xr:uid="{74246676-65B9-49C7-92C8-7B7297F2BBF5}"/>
    <cellStyle name="Normal 3 2 8 2 3" xfId="15226" xr:uid="{C152FFE2-4EB4-45B0-B399-36D1C5FED0B1}"/>
    <cellStyle name="Normal 3 2 8 3" xfId="19456" xr:uid="{F28D9D3E-8718-4A15-AF9E-D674BBA11503}"/>
    <cellStyle name="Normal 3 2 8 4" xfId="11008" xr:uid="{3854667F-6B3D-4676-9E3E-287C424E252D}"/>
    <cellStyle name="Normal 3 2 9" xfId="4710" xr:uid="{00000000-0005-0000-0000-0000E0110000}"/>
    <cellStyle name="Normal 3 2 9 2" xfId="21608" xr:uid="{D94EB36D-31CD-4072-AC0D-80631FF788D8}"/>
    <cellStyle name="Normal 3 2 9 3" xfId="13160" xr:uid="{4D91F8A8-6356-4B60-B0FF-D424C545A2F2}"/>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17395" xr:uid="{D6511D04-7D9D-489C-8F72-D728D70C9ACC}"/>
    <cellStyle name="Normal 4 11" xfId="8947" xr:uid="{87A213F9-A7CC-4E0A-8EA1-05A22CADC355}"/>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25411" xr:uid="{1BB005C9-4FC8-4B6C-9B34-00F31BC444E3}"/>
    <cellStyle name="Normal 4 2 2 10 2 2 3" xfId="16963" xr:uid="{ECD5D0D5-54D4-4CAB-85A2-9DAF6BADD156}"/>
    <cellStyle name="Normal 4 2 2 10 2 3" xfId="21193" xr:uid="{FF527E6B-76CE-4E5D-949B-9BA2E282A1BF}"/>
    <cellStyle name="Normal 4 2 2 10 2 4" xfId="12745" xr:uid="{61EB78E5-B910-4314-AB83-462E8877BDDB}"/>
    <cellStyle name="Normal 4 2 2 10 3" xfId="6368" xr:uid="{00000000-0005-0000-0000-0000ED110000}"/>
    <cellStyle name="Normal 4 2 2 10 3 2" xfId="23266" xr:uid="{1DD525B3-4D6F-4FE4-9538-27AE312CE0E9}"/>
    <cellStyle name="Normal 4 2 2 10 3 3" xfId="14818" xr:uid="{071E34D4-4615-4B21-922C-2B62B0A1D078}"/>
    <cellStyle name="Normal 4 2 2 10 4" xfId="19048" xr:uid="{C7B07434-D0F2-4048-BE5A-398AEE549F10}"/>
    <cellStyle name="Normal 4 2 2 10 5" xfId="10600" xr:uid="{AED3CA11-1E3E-42FB-9F2C-3BC74C285662}"/>
    <cellStyle name="Normal 4 2 2 11" xfId="2498" xr:uid="{00000000-0005-0000-0000-0000EE110000}"/>
    <cellStyle name="Normal 4 2 2 11 2" xfId="6781" xr:uid="{00000000-0005-0000-0000-0000EF110000}"/>
    <cellStyle name="Normal 4 2 2 11 2 2" xfId="23679" xr:uid="{37A11C49-B4C3-493A-9812-1D7AC4E9E691}"/>
    <cellStyle name="Normal 4 2 2 11 2 3" xfId="15231" xr:uid="{3559E3F8-8006-413B-8216-7937565D1EAA}"/>
    <cellStyle name="Normal 4 2 2 11 3" xfId="19461" xr:uid="{15F9FD66-644A-4C0F-91F6-F08FE62D854B}"/>
    <cellStyle name="Normal 4 2 2 11 4" xfId="11013" xr:uid="{56051A31-717E-4BA3-8436-400B6A8D161B}"/>
    <cellStyle name="Normal 4 2 2 12" xfId="4716" xr:uid="{00000000-0005-0000-0000-0000F0110000}"/>
    <cellStyle name="Normal 4 2 2 12 2" xfId="21614" xr:uid="{462224CC-2E59-42C3-9D7B-28C00CBFBBF3}"/>
    <cellStyle name="Normal 4 2 2 12 3" xfId="13166" xr:uid="{7864F78E-E97B-405F-B22D-64C093A7BE26}"/>
    <cellStyle name="Normal 4 2 2 13" xfId="17396" xr:uid="{408A00A8-8C9B-4D5B-89AD-98D962290356}"/>
    <cellStyle name="Normal 4 2 2 14" xfId="8948" xr:uid="{D0A416D8-F2E5-4527-AA7A-7177AC9667EC}"/>
    <cellStyle name="Normal 4 2 2 2" xfId="338" xr:uid="{00000000-0005-0000-0000-0000F1110000}"/>
    <cellStyle name="Normal 4 2 2 3" xfId="339" xr:uid="{00000000-0005-0000-0000-0000F2110000}"/>
    <cellStyle name="Normal 4 2 2 3 10" xfId="4717" xr:uid="{00000000-0005-0000-0000-0000F3110000}"/>
    <cellStyle name="Normal 4 2 2 3 10 2" xfId="21615" xr:uid="{D5630527-ED3F-4FE0-8696-B73A9A676925}"/>
    <cellStyle name="Normal 4 2 2 3 10 3" xfId="13167" xr:uid="{C339DCD4-47ED-4C69-A825-3E10AA641ACD}"/>
    <cellStyle name="Normal 4 2 2 3 11" xfId="17397" xr:uid="{6E1DBCDB-7923-47D7-93CD-57E19F0D672C}"/>
    <cellStyle name="Normal 4 2 2 3 12" xfId="8949" xr:uid="{AE98B91B-A90B-4B8B-9EF8-60BF5AE11CED}"/>
    <cellStyle name="Normal 4 2 2 3 2" xfId="340" xr:uid="{00000000-0005-0000-0000-0000F4110000}"/>
    <cellStyle name="Normal 4 2 2 3 2 10" xfId="17398" xr:uid="{7852DF74-CDAA-4C8D-9EE5-B020F4C6719D}"/>
    <cellStyle name="Normal 4 2 2 3 2 11" xfId="8950" xr:uid="{0333A698-BD2A-45F7-B378-B702E1DD3B78}"/>
    <cellStyle name="Normal 4 2 2 3 2 2" xfId="341" xr:uid="{00000000-0005-0000-0000-0000F5110000}"/>
    <cellStyle name="Normal 4 2 2 3 2 2 10" xfId="8951" xr:uid="{4CCE7630-016F-41CF-89AA-DD8D40B517FB}"/>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24176" xr:uid="{43581AF2-4DE1-452F-94D8-B3A4A63190B4}"/>
    <cellStyle name="Normal 4 2 2 3 2 2 2 2 2 2 3" xfId="15728" xr:uid="{4D19219C-AE7E-4D04-9B75-F8C075F59655}"/>
    <cellStyle name="Normal 4 2 2 3 2 2 2 2 2 3" xfId="19958" xr:uid="{7C91AA6E-FF97-43FB-8363-C71D89EEF5EA}"/>
    <cellStyle name="Normal 4 2 2 3 2 2 2 2 2 4" xfId="11510" xr:uid="{671A01F4-54E4-4EB6-87CC-4ED9E933DFC2}"/>
    <cellStyle name="Normal 4 2 2 3 2 2 2 2 3" xfId="5133" xr:uid="{00000000-0005-0000-0000-0000FA110000}"/>
    <cellStyle name="Normal 4 2 2 3 2 2 2 2 3 2" xfId="22031" xr:uid="{F01A674D-BEC3-403B-B004-E9EE0A1C05DD}"/>
    <cellStyle name="Normal 4 2 2 3 2 2 2 2 3 3" xfId="13583" xr:uid="{51EE45F0-01C0-4F06-8326-888A105ACA78}"/>
    <cellStyle name="Normal 4 2 2 3 2 2 2 2 4" xfId="17813" xr:uid="{4B76430C-75E1-47B9-BB2C-C4870EF16DEC}"/>
    <cellStyle name="Normal 4 2 2 3 2 2 2 2 5" xfId="9365" xr:uid="{DAC8505D-B570-472F-9203-65F40419575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24589" xr:uid="{3D60E77B-492A-43DE-93D2-ADFD8E4EF664}"/>
    <cellStyle name="Normal 4 2 2 3 2 2 2 3 2 2 3" xfId="16141" xr:uid="{DA3C13C7-86AD-4D83-9787-AFE7076A5909}"/>
    <cellStyle name="Normal 4 2 2 3 2 2 2 3 2 3" xfId="20371" xr:uid="{4308104A-3775-4CAD-94E5-813415BF929C}"/>
    <cellStyle name="Normal 4 2 2 3 2 2 2 3 2 4" xfId="11923" xr:uid="{572911E7-AE0C-4001-8B56-82A23081C456}"/>
    <cellStyle name="Normal 4 2 2 3 2 2 2 3 3" xfId="5546" xr:uid="{00000000-0005-0000-0000-0000FE110000}"/>
    <cellStyle name="Normal 4 2 2 3 2 2 2 3 3 2" xfId="22444" xr:uid="{C8789AF5-C2E2-4170-8696-36358A56F838}"/>
    <cellStyle name="Normal 4 2 2 3 2 2 2 3 3 3" xfId="13996" xr:uid="{5F90314A-AD60-4E9E-8DF6-D53B4D19DBDD}"/>
    <cellStyle name="Normal 4 2 2 3 2 2 2 3 4" xfId="18226" xr:uid="{8E61C4D1-75D3-42D2-8EE3-23B6343CE85E}"/>
    <cellStyle name="Normal 4 2 2 3 2 2 2 3 5" xfId="9778" xr:uid="{01293D60-6052-4630-9AD7-AD940E400D0E}"/>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25002" xr:uid="{153C95A7-95B9-4875-B331-8611B5606F11}"/>
    <cellStyle name="Normal 4 2 2 3 2 2 2 4 2 2 3" xfId="16554" xr:uid="{535CC20B-79E8-49CB-9939-CF421988F690}"/>
    <cellStyle name="Normal 4 2 2 3 2 2 2 4 2 3" xfId="20784" xr:uid="{941259AD-7ACF-4BAB-9BFE-4FB02F84AE49}"/>
    <cellStyle name="Normal 4 2 2 3 2 2 2 4 2 4" xfId="12336" xr:uid="{1586AD9E-EEC0-492D-8B49-0EA8D7769518}"/>
    <cellStyle name="Normal 4 2 2 3 2 2 2 4 3" xfId="5959" xr:uid="{00000000-0005-0000-0000-000002120000}"/>
    <cellStyle name="Normal 4 2 2 3 2 2 2 4 3 2" xfId="22857" xr:uid="{D6123D8B-02B1-49CB-92D8-202B7AD24933}"/>
    <cellStyle name="Normal 4 2 2 3 2 2 2 4 3 3" xfId="14409" xr:uid="{8C2BB723-D0C1-44F0-8E89-5B2131DE7B5F}"/>
    <cellStyle name="Normal 4 2 2 3 2 2 2 4 4" xfId="18639" xr:uid="{0A1E80BC-D61A-49DD-9860-B3F06E407BE8}"/>
    <cellStyle name="Normal 4 2 2 3 2 2 2 4 5" xfId="10191" xr:uid="{E8F0183B-9A30-4623-9505-AC9E4E84487E}"/>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25415" xr:uid="{402CF7BB-4163-435C-89FE-8B9BB4B849DF}"/>
    <cellStyle name="Normal 4 2 2 3 2 2 2 5 2 2 3" xfId="16967" xr:uid="{5289630D-11D2-4E7D-8C12-912FB8320F77}"/>
    <cellStyle name="Normal 4 2 2 3 2 2 2 5 2 3" xfId="21197" xr:uid="{D3689DC4-81A1-4486-8E75-305A8E106E04}"/>
    <cellStyle name="Normal 4 2 2 3 2 2 2 5 2 4" xfId="12749" xr:uid="{22CD7EBA-4439-43DB-B206-202E886F9349}"/>
    <cellStyle name="Normal 4 2 2 3 2 2 2 5 3" xfId="6372" xr:uid="{00000000-0005-0000-0000-000006120000}"/>
    <cellStyle name="Normal 4 2 2 3 2 2 2 5 3 2" xfId="23270" xr:uid="{7BA03C1D-89B3-4A08-9CE5-8B0B4302AFA9}"/>
    <cellStyle name="Normal 4 2 2 3 2 2 2 5 3 3" xfId="14822" xr:uid="{A85382D7-F908-4956-93A4-F3F6B485DAB9}"/>
    <cellStyle name="Normal 4 2 2 3 2 2 2 5 4" xfId="19052" xr:uid="{430C9382-18A5-4480-8DC1-DB56F26A99C0}"/>
    <cellStyle name="Normal 4 2 2 3 2 2 2 5 5" xfId="10604" xr:uid="{9113B35C-1FBF-4665-89D6-82B9D00B0AFC}"/>
    <cellStyle name="Normal 4 2 2 3 2 2 2 6" xfId="2502" xr:uid="{00000000-0005-0000-0000-000007120000}"/>
    <cellStyle name="Normal 4 2 2 3 2 2 2 6 2" xfId="6785" xr:uid="{00000000-0005-0000-0000-000008120000}"/>
    <cellStyle name="Normal 4 2 2 3 2 2 2 6 2 2" xfId="23683" xr:uid="{F8131C3F-6F9E-48DC-B5CB-600CF9CB1724}"/>
    <cellStyle name="Normal 4 2 2 3 2 2 2 6 2 3" xfId="15235" xr:uid="{3E15E16B-E167-4E1E-B5BE-85AB7DBD1587}"/>
    <cellStyle name="Normal 4 2 2 3 2 2 2 6 3" xfId="19465" xr:uid="{D38ABAC9-D675-48C0-9256-465038325D9F}"/>
    <cellStyle name="Normal 4 2 2 3 2 2 2 6 4" xfId="11017" xr:uid="{E49C70E4-0B04-40C5-9C2E-4913F9722B1F}"/>
    <cellStyle name="Normal 4 2 2 3 2 2 2 7" xfId="4720" xr:uid="{00000000-0005-0000-0000-000009120000}"/>
    <cellStyle name="Normal 4 2 2 3 2 2 2 7 2" xfId="21618" xr:uid="{483798AB-DCCC-4069-A306-A4EF7E5CC78D}"/>
    <cellStyle name="Normal 4 2 2 3 2 2 2 7 3" xfId="13170" xr:uid="{4367201E-FE9F-461D-A409-3285E0809886}"/>
    <cellStyle name="Normal 4 2 2 3 2 2 2 8" xfId="17400" xr:uid="{7EB75848-BE74-4BDF-8A5B-EA25E0C06A87}"/>
    <cellStyle name="Normal 4 2 2 3 2 2 2 9" xfId="8952" xr:uid="{EFD84A57-D09B-49FD-96C6-CE544FB45C68}"/>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24175" xr:uid="{B828042A-34AF-4B1C-B771-24A43CD536FC}"/>
    <cellStyle name="Normal 4 2 2 3 2 2 3 2 2 3" xfId="15727" xr:uid="{5E600AE5-0CC1-4910-A21B-A5781F0130B9}"/>
    <cellStyle name="Normal 4 2 2 3 2 2 3 2 3" xfId="19957" xr:uid="{8D732078-3713-478E-9A0B-3F0E92540B36}"/>
    <cellStyle name="Normal 4 2 2 3 2 2 3 2 4" xfId="11509" xr:uid="{5ABE1912-57E4-40B2-8926-9C5C21D1BF38}"/>
    <cellStyle name="Normal 4 2 2 3 2 2 3 3" xfId="5132" xr:uid="{00000000-0005-0000-0000-00000D120000}"/>
    <cellStyle name="Normal 4 2 2 3 2 2 3 3 2" xfId="22030" xr:uid="{B0A5F3AC-2ACA-4A1D-B55A-8A2757DE8FFE}"/>
    <cellStyle name="Normal 4 2 2 3 2 2 3 3 3" xfId="13582" xr:uid="{5C5EC0E9-4404-433F-B735-07242DDA1E9B}"/>
    <cellStyle name="Normal 4 2 2 3 2 2 3 4" xfId="17812" xr:uid="{9EDB0527-6F05-4B96-9D56-51842A8BD99F}"/>
    <cellStyle name="Normal 4 2 2 3 2 2 3 5" xfId="9364" xr:uid="{F3CA222E-2E4D-4F06-879F-4F542E848355}"/>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24588" xr:uid="{EF4F616F-96B1-4EED-BB59-EB06A833B212}"/>
    <cellStyle name="Normal 4 2 2 3 2 2 4 2 2 3" xfId="16140" xr:uid="{0E3CB75F-83F0-44D0-8BBE-1DBB9347893B}"/>
    <cellStyle name="Normal 4 2 2 3 2 2 4 2 3" xfId="20370" xr:uid="{9A2DA47A-9AA0-4C3B-BE21-F6E3781CF45D}"/>
    <cellStyle name="Normal 4 2 2 3 2 2 4 2 4" xfId="11922" xr:uid="{5F5BE5F9-7BDB-422D-A6F3-595301DC002B}"/>
    <cellStyle name="Normal 4 2 2 3 2 2 4 3" xfId="5545" xr:uid="{00000000-0005-0000-0000-000011120000}"/>
    <cellStyle name="Normal 4 2 2 3 2 2 4 3 2" xfId="22443" xr:uid="{1D088C90-B003-40EE-BFD8-C9A8323B5A69}"/>
    <cellStyle name="Normal 4 2 2 3 2 2 4 3 3" xfId="13995" xr:uid="{0AABD07B-7F91-400E-954D-7D0CA1382BBC}"/>
    <cellStyle name="Normal 4 2 2 3 2 2 4 4" xfId="18225" xr:uid="{3BED5209-66AB-4F9B-A622-27EEB539C267}"/>
    <cellStyle name="Normal 4 2 2 3 2 2 4 5" xfId="9777" xr:uid="{3201811C-C7EC-48B0-9376-7341A3B6DE54}"/>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25001" xr:uid="{3DDD7693-63E6-41FE-9265-01965992B107}"/>
    <cellStyle name="Normal 4 2 2 3 2 2 5 2 2 3" xfId="16553" xr:uid="{AA542A12-E624-4F30-8CEA-8AEDBB0526F5}"/>
    <cellStyle name="Normal 4 2 2 3 2 2 5 2 3" xfId="20783" xr:uid="{1428FD5C-4E93-4917-ABEB-40EC71342DCC}"/>
    <cellStyle name="Normal 4 2 2 3 2 2 5 2 4" xfId="12335" xr:uid="{6D9845F4-E971-4DD0-9613-656E17D4B530}"/>
    <cellStyle name="Normal 4 2 2 3 2 2 5 3" xfId="5958" xr:uid="{00000000-0005-0000-0000-000015120000}"/>
    <cellStyle name="Normal 4 2 2 3 2 2 5 3 2" xfId="22856" xr:uid="{0318B175-C283-4E49-8E87-F414A387939D}"/>
    <cellStyle name="Normal 4 2 2 3 2 2 5 3 3" xfId="14408" xr:uid="{876326F8-46A0-40EB-912D-736B7263AF79}"/>
    <cellStyle name="Normal 4 2 2 3 2 2 5 4" xfId="18638" xr:uid="{62ED9D53-FE2F-4CC1-B799-C773C79CA726}"/>
    <cellStyle name="Normal 4 2 2 3 2 2 5 5" xfId="10190" xr:uid="{D8297FF6-061B-4AFC-8827-FDD62FF383F8}"/>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25414" xr:uid="{7BFEBC9A-D4DC-48C5-AD3C-84D55AA15644}"/>
    <cellStyle name="Normal 4 2 2 3 2 2 6 2 2 3" xfId="16966" xr:uid="{0359EF62-F237-4F76-9472-191D74CD9E2E}"/>
    <cellStyle name="Normal 4 2 2 3 2 2 6 2 3" xfId="21196" xr:uid="{68A47345-A785-4FE7-9A1F-A319799362F2}"/>
    <cellStyle name="Normal 4 2 2 3 2 2 6 2 4" xfId="12748" xr:uid="{9DEB2E20-4B60-44DA-9FB9-C4AFF70F6416}"/>
    <cellStyle name="Normal 4 2 2 3 2 2 6 3" xfId="6371" xr:uid="{00000000-0005-0000-0000-000019120000}"/>
    <cellStyle name="Normal 4 2 2 3 2 2 6 3 2" xfId="23269" xr:uid="{887F4B9C-0BD7-40E2-9852-636A1AB1E005}"/>
    <cellStyle name="Normal 4 2 2 3 2 2 6 3 3" xfId="14821" xr:uid="{9C158742-F02E-4FDB-AF8E-5BFD065F379B}"/>
    <cellStyle name="Normal 4 2 2 3 2 2 6 4" xfId="19051" xr:uid="{71B9C296-A3B6-4B1B-AAFD-C5BC573FE609}"/>
    <cellStyle name="Normal 4 2 2 3 2 2 6 5" xfId="10603" xr:uid="{D2A94347-4337-409F-A8B9-C0BE09C29529}"/>
    <cellStyle name="Normal 4 2 2 3 2 2 7" xfId="2501" xr:uid="{00000000-0005-0000-0000-00001A120000}"/>
    <cellStyle name="Normal 4 2 2 3 2 2 7 2" xfId="6784" xr:uid="{00000000-0005-0000-0000-00001B120000}"/>
    <cellStyle name="Normal 4 2 2 3 2 2 7 2 2" xfId="23682" xr:uid="{80A5BED1-6895-47B4-8E18-A94F0BD13CD0}"/>
    <cellStyle name="Normal 4 2 2 3 2 2 7 2 3" xfId="15234" xr:uid="{7616AE11-30B3-4045-B018-3A4287A86EE1}"/>
    <cellStyle name="Normal 4 2 2 3 2 2 7 3" xfId="19464" xr:uid="{82484372-7AFF-491B-B102-7EF615AB0B1B}"/>
    <cellStyle name="Normal 4 2 2 3 2 2 7 4" xfId="11016" xr:uid="{C43084A0-827B-4E6D-8D1F-1CD4F080F0C4}"/>
    <cellStyle name="Normal 4 2 2 3 2 2 8" xfId="4719" xr:uid="{00000000-0005-0000-0000-00001C120000}"/>
    <cellStyle name="Normal 4 2 2 3 2 2 8 2" xfId="21617" xr:uid="{651D6E52-769C-41B1-97C1-39B3D9073D19}"/>
    <cellStyle name="Normal 4 2 2 3 2 2 8 3" xfId="13169" xr:uid="{4EF2AFA3-5780-47A8-9C37-451BF8D80ABA}"/>
    <cellStyle name="Normal 4 2 2 3 2 2 9" xfId="17399" xr:uid="{C3EE278D-0484-4272-923C-08216F4F5888}"/>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24177" xr:uid="{AA08D5A7-933F-42B2-BFFF-9DA3AE0F1997}"/>
    <cellStyle name="Normal 4 2 2 3 2 3 2 2 2 3" xfId="15729" xr:uid="{191F1B42-C886-4071-9410-6DBF40768FC5}"/>
    <cellStyle name="Normal 4 2 2 3 2 3 2 2 3" xfId="19959" xr:uid="{330A54D1-5543-4449-9980-2586B20737D0}"/>
    <cellStyle name="Normal 4 2 2 3 2 3 2 2 4" xfId="11511" xr:uid="{96F96CAD-19AD-4115-9D3B-1C7CF40F1303}"/>
    <cellStyle name="Normal 4 2 2 3 2 3 2 3" xfId="5134" xr:uid="{00000000-0005-0000-0000-000021120000}"/>
    <cellStyle name="Normal 4 2 2 3 2 3 2 3 2" xfId="22032" xr:uid="{39A967F2-FFFD-4A4C-8FD1-42C33DAF5476}"/>
    <cellStyle name="Normal 4 2 2 3 2 3 2 3 3" xfId="13584" xr:uid="{47ED289D-127E-40E0-A24E-4E687A9C0109}"/>
    <cellStyle name="Normal 4 2 2 3 2 3 2 4" xfId="17814" xr:uid="{4DD1886F-F927-4CB0-B38D-894720D03A23}"/>
    <cellStyle name="Normal 4 2 2 3 2 3 2 5" xfId="9366" xr:uid="{0DCCD059-0E23-44D9-ABBE-4A967D4558BA}"/>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24590" xr:uid="{325E0A6A-E758-4C27-AF1C-36A070BE4193}"/>
    <cellStyle name="Normal 4 2 2 3 2 3 3 2 2 3" xfId="16142" xr:uid="{3EEDFDDC-06E7-4F8E-B14A-8E50474B6C85}"/>
    <cellStyle name="Normal 4 2 2 3 2 3 3 2 3" xfId="20372" xr:uid="{C21611A7-B416-4CF0-9250-F289388A4911}"/>
    <cellStyle name="Normal 4 2 2 3 2 3 3 2 4" xfId="11924" xr:uid="{CD2DEC9F-07CE-4999-83A0-08F26C1ED4E3}"/>
    <cellStyle name="Normal 4 2 2 3 2 3 3 3" xfId="5547" xr:uid="{00000000-0005-0000-0000-000025120000}"/>
    <cellStyle name="Normal 4 2 2 3 2 3 3 3 2" xfId="22445" xr:uid="{A8E39804-5198-4DE0-A187-97D6D3EF27A3}"/>
    <cellStyle name="Normal 4 2 2 3 2 3 3 3 3" xfId="13997" xr:uid="{3BF13722-E849-486A-8D6A-5FB948ECF7AD}"/>
    <cellStyle name="Normal 4 2 2 3 2 3 3 4" xfId="18227" xr:uid="{2F1C5CD7-66CA-49D8-BD71-39ACA0DBCB64}"/>
    <cellStyle name="Normal 4 2 2 3 2 3 3 5" xfId="9779" xr:uid="{9B356ADA-7DCD-4BD9-B4C8-5B415F4BA1D5}"/>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25003" xr:uid="{F829D63E-CC1B-46E2-8940-EB363DBE5426}"/>
    <cellStyle name="Normal 4 2 2 3 2 3 4 2 2 3" xfId="16555" xr:uid="{07D14432-B3FE-4A97-BC1C-2CB4D1196731}"/>
    <cellStyle name="Normal 4 2 2 3 2 3 4 2 3" xfId="20785" xr:uid="{A960A025-66AA-408E-B7BF-3CBF76230685}"/>
    <cellStyle name="Normal 4 2 2 3 2 3 4 2 4" xfId="12337" xr:uid="{8CEB3BE3-81B1-41FC-A098-F4D8B720326C}"/>
    <cellStyle name="Normal 4 2 2 3 2 3 4 3" xfId="5960" xr:uid="{00000000-0005-0000-0000-000029120000}"/>
    <cellStyle name="Normal 4 2 2 3 2 3 4 3 2" xfId="22858" xr:uid="{D51BBFAE-CF7D-48B4-AED8-8A09E63E69AD}"/>
    <cellStyle name="Normal 4 2 2 3 2 3 4 3 3" xfId="14410" xr:uid="{8203E006-D956-40E1-AEC7-23704D553869}"/>
    <cellStyle name="Normal 4 2 2 3 2 3 4 4" xfId="18640" xr:uid="{D69A2F1A-FF7D-4CC7-804E-EB2BF6E919B3}"/>
    <cellStyle name="Normal 4 2 2 3 2 3 4 5" xfId="10192" xr:uid="{61883589-D9D6-40DA-86B4-6FABA7EE027C}"/>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25416" xr:uid="{9301BED7-533A-4F94-86D2-82C0DED3F9C3}"/>
    <cellStyle name="Normal 4 2 2 3 2 3 5 2 2 3" xfId="16968" xr:uid="{F39D7BDD-A20D-4864-91EB-DB9B35861221}"/>
    <cellStyle name="Normal 4 2 2 3 2 3 5 2 3" xfId="21198" xr:uid="{03C6E346-6CD9-441F-8A0E-D8AB032FE559}"/>
    <cellStyle name="Normal 4 2 2 3 2 3 5 2 4" xfId="12750" xr:uid="{DB0B160B-FF5A-4415-886C-4C8B71F9A9FD}"/>
    <cellStyle name="Normal 4 2 2 3 2 3 5 3" xfId="6373" xr:uid="{00000000-0005-0000-0000-00002D120000}"/>
    <cellStyle name="Normal 4 2 2 3 2 3 5 3 2" xfId="23271" xr:uid="{8246B4B1-8DB3-47E7-AE9D-A843E9377A63}"/>
    <cellStyle name="Normal 4 2 2 3 2 3 5 3 3" xfId="14823" xr:uid="{04407BFE-67D2-456B-A719-49A84E1C72E5}"/>
    <cellStyle name="Normal 4 2 2 3 2 3 5 4" xfId="19053" xr:uid="{F23AC34A-6C64-441D-AE21-9FE62A8A645E}"/>
    <cellStyle name="Normal 4 2 2 3 2 3 5 5" xfId="10605" xr:uid="{8F16A155-4650-472F-B00D-989D94699BDE}"/>
    <cellStyle name="Normal 4 2 2 3 2 3 6" xfId="2503" xr:uid="{00000000-0005-0000-0000-00002E120000}"/>
    <cellStyle name="Normal 4 2 2 3 2 3 6 2" xfId="6786" xr:uid="{00000000-0005-0000-0000-00002F120000}"/>
    <cellStyle name="Normal 4 2 2 3 2 3 6 2 2" xfId="23684" xr:uid="{A70BE7AD-49BE-4883-AD02-BCEBCE69E862}"/>
    <cellStyle name="Normal 4 2 2 3 2 3 6 2 3" xfId="15236" xr:uid="{33447DE0-B468-41FE-B18F-D3519828863A}"/>
    <cellStyle name="Normal 4 2 2 3 2 3 6 3" xfId="19466" xr:uid="{1D375A80-F1DA-4F25-B940-DCA0FFA451B6}"/>
    <cellStyle name="Normal 4 2 2 3 2 3 6 4" xfId="11018" xr:uid="{0A0B6AA5-4F87-4500-B6EA-4C3B368A16D3}"/>
    <cellStyle name="Normal 4 2 2 3 2 3 7" xfId="4721" xr:uid="{00000000-0005-0000-0000-000030120000}"/>
    <cellStyle name="Normal 4 2 2 3 2 3 7 2" xfId="21619" xr:uid="{CC6B5172-042C-4A92-AAA8-4F624F9E033A}"/>
    <cellStyle name="Normal 4 2 2 3 2 3 7 3" xfId="13171" xr:uid="{45443AB9-1ADF-4E33-AF4E-6E654736AB2B}"/>
    <cellStyle name="Normal 4 2 2 3 2 3 8" xfId="17401" xr:uid="{5A3C11DB-52FC-40B6-8BE4-73AE445AD571}"/>
    <cellStyle name="Normal 4 2 2 3 2 3 9" xfId="8953" xr:uid="{15B8BEE1-6B90-4D84-B23E-C1CFDE14173D}"/>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24174" xr:uid="{9B89826C-A912-4203-9B3B-B98FC74BE367}"/>
    <cellStyle name="Normal 4 2 2 3 2 4 2 2 3" xfId="15726" xr:uid="{A255063F-90F6-4407-B333-BDEB325B55FF}"/>
    <cellStyle name="Normal 4 2 2 3 2 4 2 3" xfId="19956" xr:uid="{CA384194-5F3E-4E44-A423-691467BAEFA6}"/>
    <cellStyle name="Normal 4 2 2 3 2 4 2 4" xfId="11508" xr:uid="{B83FC298-360A-4CB5-85A0-49F4C265E5BB}"/>
    <cellStyle name="Normal 4 2 2 3 2 4 3" xfId="5131" xr:uid="{00000000-0005-0000-0000-000034120000}"/>
    <cellStyle name="Normal 4 2 2 3 2 4 3 2" xfId="22029" xr:uid="{69BEDDF4-3407-4384-A40C-41C444BB9A68}"/>
    <cellStyle name="Normal 4 2 2 3 2 4 3 3" xfId="13581" xr:uid="{220BDD50-323D-43FB-8EA4-6DEB7E5DFDDD}"/>
    <cellStyle name="Normal 4 2 2 3 2 4 4" xfId="17811" xr:uid="{B89F6B08-BBDB-4ECF-9E04-0E3D870BBC38}"/>
    <cellStyle name="Normal 4 2 2 3 2 4 5" xfId="9363" xr:uid="{4968D897-5BEF-4B55-BBEF-911FC65A07C8}"/>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24587" xr:uid="{4E973F9C-A2F9-40E2-B96F-741240C772A0}"/>
    <cellStyle name="Normal 4 2 2 3 2 5 2 2 3" xfId="16139" xr:uid="{8FB91C21-C8DC-4D88-8BDA-F00132B8264F}"/>
    <cellStyle name="Normal 4 2 2 3 2 5 2 3" xfId="20369" xr:uid="{A1ADCD81-A89E-454E-A850-C592F65F3A66}"/>
    <cellStyle name="Normal 4 2 2 3 2 5 2 4" xfId="11921" xr:uid="{611F7C82-B470-4E35-9DBD-3F22B150ABA3}"/>
    <cellStyle name="Normal 4 2 2 3 2 5 3" xfId="5544" xr:uid="{00000000-0005-0000-0000-000038120000}"/>
    <cellStyle name="Normal 4 2 2 3 2 5 3 2" xfId="22442" xr:uid="{7CAF42D5-300E-452C-A6A1-AE27B81626FA}"/>
    <cellStyle name="Normal 4 2 2 3 2 5 3 3" xfId="13994" xr:uid="{127F8A3D-0D0F-4C86-B869-564F0DD4C739}"/>
    <cellStyle name="Normal 4 2 2 3 2 5 4" xfId="18224" xr:uid="{D1AFFA6E-AFDE-4045-A863-4EB0DDEC4D65}"/>
    <cellStyle name="Normal 4 2 2 3 2 5 5" xfId="9776" xr:uid="{2B9E5615-83A0-429D-ABB9-CCD026DD541A}"/>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25000" xr:uid="{402E47A7-C996-4141-B94D-EF48AB0D0E2D}"/>
    <cellStyle name="Normal 4 2 2 3 2 6 2 2 3" xfId="16552" xr:uid="{084065BF-F9AA-46A2-8C44-8D50BF2AB54F}"/>
    <cellStyle name="Normal 4 2 2 3 2 6 2 3" xfId="20782" xr:uid="{B17C31B6-DA58-4344-89B6-EEBEEAB7382E}"/>
    <cellStyle name="Normal 4 2 2 3 2 6 2 4" xfId="12334" xr:uid="{D343D016-80ED-4AEF-916C-C71010889393}"/>
    <cellStyle name="Normal 4 2 2 3 2 6 3" xfId="5957" xr:uid="{00000000-0005-0000-0000-00003C120000}"/>
    <cellStyle name="Normal 4 2 2 3 2 6 3 2" xfId="22855" xr:uid="{B3C1CF28-0454-4A7E-9442-B8CF0EA1054A}"/>
    <cellStyle name="Normal 4 2 2 3 2 6 3 3" xfId="14407" xr:uid="{C327F433-9113-4B46-98E4-B795468B046F}"/>
    <cellStyle name="Normal 4 2 2 3 2 6 4" xfId="18637" xr:uid="{B2CEB686-0A09-471C-BA65-D396B8CB98CE}"/>
    <cellStyle name="Normal 4 2 2 3 2 6 5" xfId="10189" xr:uid="{FA7997B4-6A4B-46B9-A11E-E75B304A32D3}"/>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25413" xr:uid="{10E24157-1DDC-4990-A64A-1673CCB076E0}"/>
    <cellStyle name="Normal 4 2 2 3 2 7 2 2 3" xfId="16965" xr:uid="{540673BD-348E-49FD-AB24-7E43C9E3B4B3}"/>
    <cellStyle name="Normal 4 2 2 3 2 7 2 3" xfId="21195" xr:uid="{B041725D-81FF-4FE5-8FF6-E6D41F559FBC}"/>
    <cellStyle name="Normal 4 2 2 3 2 7 2 4" xfId="12747" xr:uid="{89E5488D-137D-4036-A56F-760B59B0F8B7}"/>
    <cellStyle name="Normal 4 2 2 3 2 7 3" xfId="6370" xr:uid="{00000000-0005-0000-0000-000040120000}"/>
    <cellStyle name="Normal 4 2 2 3 2 7 3 2" xfId="23268" xr:uid="{A47185F4-D29D-469F-A0B3-B3DC444B5FF7}"/>
    <cellStyle name="Normal 4 2 2 3 2 7 3 3" xfId="14820" xr:uid="{80E11160-EA2D-4D45-9B27-A70F0CFB56A9}"/>
    <cellStyle name="Normal 4 2 2 3 2 7 4" xfId="19050" xr:uid="{70B6D577-6524-4061-A9F8-4F43E9EAE576}"/>
    <cellStyle name="Normal 4 2 2 3 2 7 5" xfId="10602" xr:uid="{256B1E6A-3648-4FED-AE55-83D8E2ABDB3A}"/>
    <cellStyle name="Normal 4 2 2 3 2 8" xfId="2500" xr:uid="{00000000-0005-0000-0000-000041120000}"/>
    <cellStyle name="Normal 4 2 2 3 2 8 2" xfId="6783" xr:uid="{00000000-0005-0000-0000-000042120000}"/>
    <cellStyle name="Normal 4 2 2 3 2 8 2 2" xfId="23681" xr:uid="{CAC3847C-1551-457F-8EE3-AB689C59A51A}"/>
    <cellStyle name="Normal 4 2 2 3 2 8 2 3" xfId="15233" xr:uid="{A39D318E-158A-4DC8-86F7-E5ABA05BC54F}"/>
    <cellStyle name="Normal 4 2 2 3 2 8 3" xfId="19463" xr:uid="{7DFC505C-39BD-4D01-8902-CDB6863FAA7F}"/>
    <cellStyle name="Normal 4 2 2 3 2 8 4" xfId="11015" xr:uid="{49573072-70D9-496B-ADCE-45EDB647E2F0}"/>
    <cellStyle name="Normal 4 2 2 3 2 9" xfId="4718" xr:uid="{00000000-0005-0000-0000-000043120000}"/>
    <cellStyle name="Normal 4 2 2 3 2 9 2" xfId="21616" xr:uid="{8940F9C6-D113-48A5-9F67-576973058B14}"/>
    <cellStyle name="Normal 4 2 2 3 2 9 3" xfId="13168" xr:uid="{2FE17ED5-6499-4303-A681-0E9E26059F5A}"/>
    <cellStyle name="Normal 4 2 2 3 3" xfId="344" xr:uid="{00000000-0005-0000-0000-000044120000}"/>
    <cellStyle name="Normal 4 2 2 3 3 10" xfId="8954" xr:uid="{9E55BB15-EA16-4960-8FA2-025DF96B7FE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24179" xr:uid="{80C2F0BD-AE13-41CC-87B0-78C7F888008C}"/>
    <cellStyle name="Normal 4 2 2 3 3 2 2 2 2 3" xfId="15731" xr:uid="{A251A7D2-93B0-49F8-93AD-2403964372D2}"/>
    <cellStyle name="Normal 4 2 2 3 3 2 2 2 3" xfId="19961" xr:uid="{DF195748-281E-4088-8C1D-B0ED4829C385}"/>
    <cellStyle name="Normal 4 2 2 3 3 2 2 2 4" xfId="11513" xr:uid="{042B5F11-F6CE-4B74-8D27-458AD38ADE94}"/>
    <cellStyle name="Normal 4 2 2 3 3 2 2 3" xfId="5136" xr:uid="{00000000-0005-0000-0000-000049120000}"/>
    <cellStyle name="Normal 4 2 2 3 3 2 2 3 2" xfId="22034" xr:uid="{6E324ADE-5DCF-4EEF-93E0-F299BBBD14CE}"/>
    <cellStyle name="Normal 4 2 2 3 3 2 2 3 3" xfId="13586" xr:uid="{4637133B-989F-4A19-9CD9-8E93599642EF}"/>
    <cellStyle name="Normal 4 2 2 3 3 2 2 4" xfId="17816" xr:uid="{FA2D5A93-FC00-42D3-8B7D-B6D915D18598}"/>
    <cellStyle name="Normal 4 2 2 3 3 2 2 5" xfId="9368" xr:uid="{FFB53426-760E-4A63-BDAA-437F1708495D}"/>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24592" xr:uid="{2DB7D58A-DDD1-4C11-868C-7D9D1C1412EA}"/>
    <cellStyle name="Normal 4 2 2 3 3 2 3 2 2 3" xfId="16144" xr:uid="{48602027-A8EB-47D3-A57E-3A971D23523D}"/>
    <cellStyle name="Normal 4 2 2 3 3 2 3 2 3" xfId="20374" xr:uid="{4AF60549-3107-4F41-847C-F49088177B29}"/>
    <cellStyle name="Normal 4 2 2 3 3 2 3 2 4" xfId="11926" xr:uid="{75299D56-7F4D-4F12-BC22-B4E0CE0417D3}"/>
    <cellStyle name="Normal 4 2 2 3 3 2 3 3" xfId="5549" xr:uid="{00000000-0005-0000-0000-00004D120000}"/>
    <cellStyle name="Normal 4 2 2 3 3 2 3 3 2" xfId="22447" xr:uid="{63FF6968-FD33-44D8-8734-AA0534B4826E}"/>
    <cellStyle name="Normal 4 2 2 3 3 2 3 3 3" xfId="13999" xr:uid="{8675C192-0D62-46A1-BB83-CE7CEFDC8A10}"/>
    <cellStyle name="Normal 4 2 2 3 3 2 3 4" xfId="18229" xr:uid="{CFE36605-FA16-4DE5-BF8F-1C293F822001}"/>
    <cellStyle name="Normal 4 2 2 3 3 2 3 5" xfId="9781" xr:uid="{BE5E9FB1-0AF3-41C9-9EF3-7B59CD00E099}"/>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25005" xr:uid="{DC481B42-72B1-42C0-B258-A274790949EF}"/>
    <cellStyle name="Normal 4 2 2 3 3 2 4 2 2 3" xfId="16557" xr:uid="{3CE556AD-192E-40A6-B972-4DC7CF7BD99A}"/>
    <cellStyle name="Normal 4 2 2 3 3 2 4 2 3" xfId="20787" xr:uid="{00DC30D2-33F6-48A0-9F0E-C02FCA61CCB3}"/>
    <cellStyle name="Normal 4 2 2 3 3 2 4 2 4" xfId="12339" xr:uid="{F8818AF7-D442-4BCA-9363-940725CCE956}"/>
    <cellStyle name="Normal 4 2 2 3 3 2 4 3" xfId="5962" xr:uid="{00000000-0005-0000-0000-000051120000}"/>
    <cellStyle name="Normal 4 2 2 3 3 2 4 3 2" xfId="22860" xr:uid="{C121BB0F-3D59-4756-9195-6FAA55B94E8C}"/>
    <cellStyle name="Normal 4 2 2 3 3 2 4 3 3" xfId="14412" xr:uid="{9391E5BC-2DCA-481B-B3D6-6644B5EDACCE}"/>
    <cellStyle name="Normal 4 2 2 3 3 2 4 4" xfId="18642" xr:uid="{0B08F643-752B-497E-A7A7-95C56ACD711C}"/>
    <cellStyle name="Normal 4 2 2 3 3 2 4 5" xfId="10194" xr:uid="{9C0711CA-97D2-4AF5-9A89-0C23C4233E07}"/>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25418" xr:uid="{505AE5C8-0E94-44AB-8B05-60520FF04ADF}"/>
    <cellStyle name="Normal 4 2 2 3 3 2 5 2 2 3" xfId="16970" xr:uid="{7F0A1E1E-242F-43B3-A81D-46042F86E0E2}"/>
    <cellStyle name="Normal 4 2 2 3 3 2 5 2 3" xfId="21200" xr:uid="{3F0FB787-A5D6-4521-9EF9-AB2D52EBD83E}"/>
    <cellStyle name="Normal 4 2 2 3 3 2 5 2 4" xfId="12752" xr:uid="{4315A64A-2CAE-4BD8-813F-24E4956B6C61}"/>
    <cellStyle name="Normal 4 2 2 3 3 2 5 3" xfId="6375" xr:uid="{00000000-0005-0000-0000-000055120000}"/>
    <cellStyle name="Normal 4 2 2 3 3 2 5 3 2" xfId="23273" xr:uid="{2003FF46-0C91-48C3-9D1B-EE58DFC44F90}"/>
    <cellStyle name="Normal 4 2 2 3 3 2 5 3 3" xfId="14825" xr:uid="{FD50F3E5-9A02-4730-A3B0-BAC33975F7E8}"/>
    <cellStyle name="Normal 4 2 2 3 3 2 5 4" xfId="19055" xr:uid="{B22B7F0D-8DEB-4A07-ADDF-DD7D25457FA1}"/>
    <cellStyle name="Normal 4 2 2 3 3 2 5 5" xfId="10607" xr:uid="{26440BCA-2703-4284-B455-BCFB0B27DC38}"/>
    <cellStyle name="Normal 4 2 2 3 3 2 6" xfId="2505" xr:uid="{00000000-0005-0000-0000-000056120000}"/>
    <cellStyle name="Normal 4 2 2 3 3 2 6 2" xfId="6788" xr:uid="{00000000-0005-0000-0000-000057120000}"/>
    <cellStyle name="Normal 4 2 2 3 3 2 6 2 2" xfId="23686" xr:uid="{D9597DD9-D952-4CA0-85DB-C2CCD87B19B4}"/>
    <cellStyle name="Normal 4 2 2 3 3 2 6 2 3" xfId="15238" xr:uid="{D1B819A9-C644-4811-A488-FC459C548A47}"/>
    <cellStyle name="Normal 4 2 2 3 3 2 6 3" xfId="19468" xr:uid="{F6B0A86B-BD8E-4F7B-A89A-B1F7F281097D}"/>
    <cellStyle name="Normal 4 2 2 3 3 2 6 4" xfId="11020" xr:uid="{7CE41D3E-0545-45D5-97CF-74FCA1E2B11E}"/>
    <cellStyle name="Normal 4 2 2 3 3 2 7" xfId="4723" xr:uid="{00000000-0005-0000-0000-000058120000}"/>
    <cellStyle name="Normal 4 2 2 3 3 2 7 2" xfId="21621" xr:uid="{35A60082-777E-47C8-B5EA-8EE072602FE6}"/>
    <cellStyle name="Normal 4 2 2 3 3 2 7 3" xfId="13173" xr:uid="{6CC5D62A-1ECF-489E-B101-63CB46864A56}"/>
    <cellStyle name="Normal 4 2 2 3 3 2 8" xfId="17403" xr:uid="{7874B894-AAE3-4ECD-A9AB-23C5D8554401}"/>
    <cellStyle name="Normal 4 2 2 3 3 2 9" xfId="8955" xr:uid="{29DCFA96-C2E8-4148-83B4-B7C5433A0CD4}"/>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24178" xr:uid="{B7225270-16BF-48ED-91DE-7ECEBBEB213D}"/>
    <cellStyle name="Normal 4 2 2 3 3 3 2 2 3" xfId="15730" xr:uid="{A2A3176D-0365-4411-BC1A-1B559BD8A193}"/>
    <cellStyle name="Normal 4 2 2 3 3 3 2 3" xfId="19960" xr:uid="{2775CBCD-D070-463F-B01C-3F6ECB50EFB2}"/>
    <cellStyle name="Normal 4 2 2 3 3 3 2 4" xfId="11512" xr:uid="{4E01A8E8-5864-49B1-8852-3298B68F660B}"/>
    <cellStyle name="Normal 4 2 2 3 3 3 3" xfId="5135" xr:uid="{00000000-0005-0000-0000-00005C120000}"/>
    <cellStyle name="Normal 4 2 2 3 3 3 3 2" xfId="22033" xr:uid="{809EE5E0-DE20-4C07-BA49-68C97E140091}"/>
    <cellStyle name="Normal 4 2 2 3 3 3 3 3" xfId="13585" xr:uid="{B39080BD-C7EB-493E-AE2C-03DB680C7099}"/>
    <cellStyle name="Normal 4 2 2 3 3 3 4" xfId="17815" xr:uid="{09AA8210-F2A1-40C8-AE94-75CF245443E2}"/>
    <cellStyle name="Normal 4 2 2 3 3 3 5" xfId="9367" xr:uid="{4CD2A749-E74D-4702-92C5-021CF927E405}"/>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24591" xr:uid="{F48CBF60-3463-491B-A533-EEE44D4CED68}"/>
    <cellStyle name="Normal 4 2 2 3 3 4 2 2 3" xfId="16143" xr:uid="{3402EAB9-969B-4A50-ACD1-2FA318EC7760}"/>
    <cellStyle name="Normal 4 2 2 3 3 4 2 3" xfId="20373" xr:uid="{37AB6379-4003-4A16-868E-65ACCAED9E3F}"/>
    <cellStyle name="Normal 4 2 2 3 3 4 2 4" xfId="11925" xr:uid="{AB7DB03F-C35D-4F0F-A5F2-E09CDE7A4428}"/>
    <cellStyle name="Normal 4 2 2 3 3 4 3" xfId="5548" xr:uid="{00000000-0005-0000-0000-000060120000}"/>
    <cellStyle name="Normal 4 2 2 3 3 4 3 2" xfId="22446" xr:uid="{10017138-1350-4BAA-80CA-B726C22A722A}"/>
    <cellStyle name="Normal 4 2 2 3 3 4 3 3" xfId="13998" xr:uid="{D3C200A0-8AFA-4421-8D4B-1F84B9580A7A}"/>
    <cellStyle name="Normal 4 2 2 3 3 4 4" xfId="18228" xr:uid="{D0BCD8F9-DBB5-437C-9113-1CAEDC24259C}"/>
    <cellStyle name="Normal 4 2 2 3 3 4 5" xfId="9780" xr:uid="{8170B3DE-54B1-428A-8607-AD1F04FFC7F8}"/>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25004" xr:uid="{5E7DDA20-3F38-4A50-ADCF-2D8820716295}"/>
    <cellStyle name="Normal 4 2 2 3 3 5 2 2 3" xfId="16556" xr:uid="{94B3100F-54AA-435F-8074-657614836EC1}"/>
    <cellStyle name="Normal 4 2 2 3 3 5 2 3" xfId="20786" xr:uid="{B2FC596F-2D12-46E0-B4F2-E9718751FC42}"/>
    <cellStyle name="Normal 4 2 2 3 3 5 2 4" xfId="12338" xr:uid="{234626F7-CD26-4CFE-AC67-4CE6E3317E6F}"/>
    <cellStyle name="Normal 4 2 2 3 3 5 3" xfId="5961" xr:uid="{00000000-0005-0000-0000-000064120000}"/>
    <cellStyle name="Normal 4 2 2 3 3 5 3 2" xfId="22859" xr:uid="{7CDB2590-CA71-4204-97DF-C553946F7D0A}"/>
    <cellStyle name="Normal 4 2 2 3 3 5 3 3" xfId="14411" xr:uid="{1DC69D93-6F3A-4E7A-8B2A-3E6A00272FE8}"/>
    <cellStyle name="Normal 4 2 2 3 3 5 4" xfId="18641" xr:uid="{B9F93B83-75BA-4DC2-BD36-99356C17B1F2}"/>
    <cellStyle name="Normal 4 2 2 3 3 5 5" xfId="10193" xr:uid="{CAEE05D6-041A-4E67-938A-9D3CE5B2FE9F}"/>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25417" xr:uid="{CDEA0FAD-BECA-49B8-9093-EC4D92F0A7C3}"/>
    <cellStyle name="Normal 4 2 2 3 3 6 2 2 3" xfId="16969" xr:uid="{E4B2493E-D94C-43F4-8916-87C1FB412D4A}"/>
    <cellStyle name="Normal 4 2 2 3 3 6 2 3" xfId="21199" xr:uid="{310F2A45-8ADA-448B-81BF-EB05F448C561}"/>
    <cellStyle name="Normal 4 2 2 3 3 6 2 4" xfId="12751" xr:uid="{F62CEFDF-6503-4C82-933D-37BAF7F15A72}"/>
    <cellStyle name="Normal 4 2 2 3 3 6 3" xfId="6374" xr:uid="{00000000-0005-0000-0000-000068120000}"/>
    <cellStyle name="Normal 4 2 2 3 3 6 3 2" xfId="23272" xr:uid="{E14D6C41-C47D-46AA-8DDC-81F8547B6BB4}"/>
    <cellStyle name="Normal 4 2 2 3 3 6 3 3" xfId="14824" xr:uid="{EA7A2B63-682D-4B4C-9752-9C2AC40CC3D9}"/>
    <cellStyle name="Normal 4 2 2 3 3 6 4" xfId="19054" xr:uid="{F2D161BC-6CB9-4936-BB0B-BE05D8C9A2A2}"/>
    <cellStyle name="Normal 4 2 2 3 3 6 5" xfId="10606" xr:uid="{84EF6D90-14A9-4F45-B1D8-8586EC54A410}"/>
    <cellStyle name="Normal 4 2 2 3 3 7" xfId="2504" xr:uid="{00000000-0005-0000-0000-000069120000}"/>
    <cellStyle name="Normal 4 2 2 3 3 7 2" xfId="6787" xr:uid="{00000000-0005-0000-0000-00006A120000}"/>
    <cellStyle name="Normal 4 2 2 3 3 7 2 2" xfId="23685" xr:uid="{6B466F14-2A0C-42D2-B3A4-AC6F4EDE7E16}"/>
    <cellStyle name="Normal 4 2 2 3 3 7 2 3" xfId="15237" xr:uid="{5FB9A71D-01E1-4C83-8B43-B9094652C144}"/>
    <cellStyle name="Normal 4 2 2 3 3 7 3" xfId="19467" xr:uid="{9A60FB9C-5E9B-485B-BEF1-0B6547BE6CBD}"/>
    <cellStyle name="Normal 4 2 2 3 3 7 4" xfId="11019" xr:uid="{ECF34F89-0E5E-456B-9D28-0B9C27190240}"/>
    <cellStyle name="Normal 4 2 2 3 3 8" xfId="4722" xr:uid="{00000000-0005-0000-0000-00006B120000}"/>
    <cellStyle name="Normal 4 2 2 3 3 8 2" xfId="21620" xr:uid="{CB2EFB74-5056-462F-BE25-C01E0E39D78D}"/>
    <cellStyle name="Normal 4 2 2 3 3 8 3" xfId="13172" xr:uid="{5300F649-933F-42C4-9F53-705A97EC6A21}"/>
    <cellStyle name="Normal 4 2 2 3 3 9" xfId="17402" xr:uid="{140BAF58-C04C-49C8-8DB8-73CF88374F85}"/>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24180" xr:uid="{7382ED62-503E-4437-B3E0-B7C18A87BC6B}"/>
    <cellStyle name="Normal 4 2 2 3 4 2 2 2 3" xfId="15732" xr:uid="{A2EEBC0C-C851-46EF-8628-331FFE78F938}"/>
    <cellStyle name="Normal 4 2 2 3 4 2 2 3" xfId="19962" xr:uid="{BCCDBE14-0246-456C-AC40-EF46932CAD03}"/>
    <cellStyle name="Normal 4 2 2 3 4 2 2 4" xfId="11514" xr:uid="{FC8BF6DB-E1C0-4D53-A447-B9DE2EBB4BDE}"/>
    <cellStyle name="Normal 4 2 2 3 4 2 3" xfId="5137" xr:uid="{00000000-0005-0000-0000-000070120000}"/>
    <cellStyle name="Normal 4 2 2 3 4 2 3 2" xfId="22035" xr:uid="{BE403512-122E-4957-A3A5-55F089FD374F}"/>
    <cellStyle name="Normal 4 2 2 3 4 2 3 3" xfId="13587" xr:uid="{9E0DB266-C0ED-4745-BBF9-467DB8CA977B}"/>
    <cellStyle name="Normal 4 2 2 3 4 2 4" xfId="17817" xr:uid="{8AFF466B-51B8-4374-9190-EE22807BBB9C}"/>
    <cellStyle name="Normal 4 2 2 3 4 2 5" xfId="9369" xr:uid="{6D696CED-8063-412D-AD1E-9BB53D880B19}"/>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24593" xr:uid="{3E4444A0-B7A6-46E6-82C4-FF95E1E2172E}"/>
    <cellStyle name="Normal 4 2 2 3 4 3 2 2 3" xfId="16145" xr:uid="{C890A8E6-8C60-4FC6-845D-C50ED2327D4E}"/>
    <cellStyle name="Normal 4 2 2 3 4 3 2 3" xfId="20375" xr:uid="{90B76EDB-012A-411B-B72C-54A6CB4A1821}"/>
    <cellStyle name="Normal 4 2 2 3 4 3 2 4" xfId="11927" xr:uid="{39A5435F-2EDC-4947-90AA-300E365232A9}"/>
    <cellStyle name="Normal 4 2 2 3 4 3 3" xfId="5550" xr:uid="{00000000-0005-0000-0000-000074120000}"/>
    <cellStyle name="Normal 4 2 2 3 4 3 3 2" xfId="22448" xr:uid="{6CD37EE7-F685-4620-AAF2-757677128A9B}"/>
    <cellStyle name="Normal 4 2 2 3 4 3 3 3" xfId="14000" xr:uid="{BA9EF9AE-0215-4D74-903D-A5D66C9BBFBF}"/>
    <cellStyle name="Normal 4 2 2 3 4 3 4" xfId="18230" xr:uid="{0979323B-DD0C-459D-93C3-FC2DB2D1783C}"/>
    <cellStyle name="Normal 4 2 2 3 4 3 5" xfId="9782" xr:uid="{26BF8740-6967-4970-8A05-2C1D2A28669F}"/>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25006" xr:uid="{BB09CDA3-EE29-4150-B1EA-C8D4443E61D7}"/>
    <cellStyle name="Normal 4 2 2 3 4 4 2 2 3" xfId="16558" xr:uid="{3BC59CA3-A3BE-4707-A633-5B43D010AB53}"/>
    <cellStyle name="Normal 4 2 2 3 4 4 2 3" xfId="20788" xr:uid="{07D675C2-4231-4B31-84F8-9EEBD9B3211A}"/>
    <cellStyle name="Normal 4 2 2 3 4 4 2 4" xfId="12340" xr:uid="{9FF47B83-BA76-4A38-A6D4-22BC2782B739}"/>
    <cellStyle name="Normal 4 2 2 3 4 4 3" xfId="5963" xr:uid="{00000000-0005-0000-0000-000078120000}"/>
    <cellStyle name="Normal 4 2 2 3 4 4 3 2" xfId="22861" xr:uid="{5ECA5691-4CA7-4FF9-B564-A0C45D83B486}"/>
    <cellStyle name="Normal 4 2 2 3 4 4 3 3" xfId="14413" xr:uid="{9D0C4724-1D13-483A-818B-EA3A8C33B08B}"/>
    <cellStyle name="Normal 4 2 2 3 4 4 4" xfId="18643" xr:uid="{A1E9E7DC-FF37-4D3A-AB97-6EAB0C621C3C}"/>
    <cellStyle name="Normal 4 2 2 3 4 4 5" xfId="10195" xr:uid="{A46DB613-1843-4330-B2B8-9950CD82A3C2}"/>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25419" xr:uid="{01DDE4FB-B745-4266-88F5-162DF9FA372C}"/>
    <cellStyle name="Normal 4 2 2 3 4 5 2 2 3" xfId="16971" xr:uid="{FC48F5C7-CDED-4DEB-8CAC-970E99819B4E}"/>
    <cellStyle name="Normal 4 2 2 3 4 5 2 3" xfId="21201" xr:uid="{B7AF66B3-443A-4EFC-8570-724A405F1C5D}"/>
    <cellStyle name="Normal 4 2 2 3 4 5 2 4" xfId="12753" xr:uid="{3F25B8DA-5CD9-4A2D-9D0F-2AAD74A15FA5}"/>
    <cellStyle name="Normal 4 2 2 3 4 5 3" xfId="6376" xr:uid="{00000000-0005-0000-0000-00007C120000}"/>
    <cellStyle name="Normal 4 2 2 3 4 5 3 2" xfId="23274" xr:uid="{57CED4CF-D036-4366-84D8-520C1CCCFDC1}"/>
    <cellStyle name="Normal 4 2 2 3 4 5 3 3" xfId="14826" xr:uid="{3C23AF49-C765-465A-B65D-18AC39DC1B5A}"/>
    <cellStyle name="Normal 4 2 2 3 4 5 4" xfId="19056" xr:uid="{BAF4E6EC-FA20-4D97-8B60-FD1DA9282B53}"/>
    <cellStyle name="Normal 4 2 2 3 4 5 5" xfId="10608" xr:uid="{73307D29-051F-40DD-88B5-745E25AB49A8}"/>
    <cellStyle name="Normal 4 2 2 3 4 6" xfId="2506" xr:uid="{00000000-0005-0000-0000-00007D120000}"/>
    <cellStyle name="Normal 4 2 2 3 4 6 2" xfId="6789" xr:uid="{00000000-0005-0000-0000-00007E120000}"/>
    <cellStyle name="Normal 4 2 2 3 4 6 2 2" xfId="23687" xr:uid="{7819AE13-E2FC-41A6-893F-83FC5C653AD9}"/>
    <cellStyle name="Normal 4 2 2 3 4 6 2 3" xfId="15239" xr:uid="{6AC3822D-7E18-42AF-9F3C-116CE712BE01}"/>
    <cellStyle name="Normal 4 2 2 3 4 6 3" xfId="19469" xr:uid="{0E530822-1695-4B15-A016-38E1CC0536FF}"/>
    <cellStyle name="Normal 4 2 2 3 4 6 4" xfId="11021" xr:uid="{BA1D53CC-F6BD-40F9-90FB-970642130000}"/>
    <cellStyle name="Normal 4 2 2 3 4 7" xfId="4724" xr:uid="{00000000-0005-0000-0000-00007F120000}"/>
    <cellStyle name="Normal 4 2 2 3 4 7 2" xfId="21622" xr:uid="{40E06343-B596-4E65-BDD4-F9546EEB5AE4}"/>
    <cellStyle name="Normal 4 2 2 3 4 7 3" xfId="13174" xr:uid="{D81F1F07-5FE1-4D2D-B919-6A838CBE07D8}"/>
    <cellStyle name="Normal 4 2 2 3 4 8" xfId="17404" xr:uid="{CF1849A8-13AA-4AEB-8FB5-1D7459792605}"/>
    <cellStyle name="Normal 4 2 2 3 4 9" xfId="8956" xr:uid="{5D7FD88E-FAC0-49EC-B765-C7E58F6A0E03}"/>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24173" xr:uid="{76109EAF-6232-48C3-A469-20A8C9E26B23}"/>
    <cellStyle name="Normal 4 2 2 3 5 2 2 3" xfId="15725" xr:uid="{FBD4244F-87A0-4864-B290-BB2C6C97E14A}"/>
    <cellStyle name="Normal 4 2 2 3 5 2 3" xfId="19955" xr:uid="{6496547D-93C4-44BC-8C93-6ADD62173CB5}"/>
    <cellStyle name="Normal 4 2 2 3 5 2 4" xfId="11507" xr:uid="{AC9B3FA0-5687-46D8-A5A7-61F2D843A483}"/>
    <cellStyle name="Normal 4 2 2 3 5 3" xfId="5130" xr:uid="{00000000-0005-0000-0000-000083120000}"/>
    <cellStyle name="Normal 4 2 2 3 5 3 2" xfId="22028" xr:uid="{D1CDD865-7749-432D-8BF2-89F8353D5765}"/>
    <cellStyle name="Normal 4 2 2 3 5 3 3" xfId="13580" xr:uid="{FF41AADF-C5A1-4625-9B56-60FF0AAC0B77}"/>
    <cellStyle name="Normal 4 2 2 3 5 4" xfId="17810" xr:uid="{2A71C75C-2C14-4BB0-9048-F75328284F60}"/>
    <cellStyle name="Normal 4 2 2 3 5 5" xfId="9362" xr:uid="{19D5E6F1-2F4B-444F-BEE0-AC91AD1E3874}"/>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24586" xr:uid="{4BAB4A48-7E8D-44FD-B5FB-615B3E605AE7}"/>
    <cellStyle name="Normal 4 2 2 3 6 2 2 3" xfId="16138" xr:uid="{E91CE44C-5469-41D0-B299-3A946D3E1273}"/>
    <cellStyle name="Normal 4 2 2 3 6 2 3" xfId="20368" xr:uid="{E29E6685-74C8-4B64-9083-996B83E6EBC6}"/>
    <cellStyle name="Normal 4 2 2 3 6 2 4" xfId="11920" xr:uid="{533A85A1-1857-4FD6-A594-50AE8F1240E0}"/>
    <cellStyle name="Normal 4 2 2 3 6 3" xfId="5543" xr:uid="{00000000-0005-0000-0000-000087120000}"/>
    <cellStyle name="Normal 4 2 2 3 6 3 2" xfId="22441" xr:uid="{ED4A0724-A636-40FF-9789-4D013457998E}"/>
    <cellStyle name="Normal 4 2 2 3 6 3 3" xfId="13993" xr:uid="{1B7EA26A-A48F-4315-9E89-2192993EE178}"/>
    <cellStyle name="Normal 4 2 2 3 6 4" xfId="18223" xr:uid="{80E3919F-EBFE-4C24-AEFA-1434C4F04CBE}"/>
    <cellStyle name="Normal 4 2 2 3 6 5" xfId="9775" xr:uid="{C864A2F7-EAE9-4C97-BB0E-41E93FC74BC4}"/>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24999" xr:uid="{77FB4DF2-A1C8-42E2-819C-ED26DB770CD4}"/>
    <cellStyle name="Normal 4 2 2 3 7 2 2 3" xfId="16551" xr:uid="{636151BD-659F-4B4A-98B3-191FFFBE2EB2}"/>
    <cellStyle name="Normal 4 2 2 3 7 2 3" xfId="20781" xr:uid="{7DB4C1AE-1F36-4F03-8ECE-59F6163774B8}"/>
    <cellStyle name="Normal 4 2 2 3 7 2 4" xfId="12333" xr:uid="{8F81D264-BD86-487D-836A-A4D495AC96D5}"/>
    <cellStyle name="Normal 4 2 2 3 7 3" xfId="5956" xr:uid="{00000000-0005-0000-0000-00008B120000}"/>
    <cellStyle name="Normal 4 2 2 3 7 3 2" xfId="22854" xr:uid="{3C48BAE2-45E3-455F-B9E9-232F380B45D6}"/>
    <cellStyle name="Normal 4 2 2 3 7 3 3" xfId="14406" xr:uid="{5C043AAF-8F6C-45E3-86B5-34C420AF4A2F}"/>
    <cellStyle name="Normal 4 2 2 3 7 4" xfId="18636" xr:uid="{0937989F-9038-4836-BA8F-7222D3608D2B}"/>
    <cellStyle name="Normal 4 2 2 3 7 5" xfId="10188" xr:uid="{2DDF3412-0102-49DE-8DAB-B7318F2B5399}"/>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25412" xr:uid="{46D63B5D-3020-4964-9E6A-6FF7E2EFC12E}"/>
    <cellStyle name="Normal 4 2 2 3 8 2 2 3" xfId="16964" xr:uid="{9410BF44-E708-477B-98F3-845B02155C23}"/>
    <cellStyle name="Normal 4 2 2 3 8 2 3" xfId="21194" xr:uid="{AAFDBBA9-DA4E-4DDD-B8C6-0C697A0445B0}"/>
    <cellStyle name="Normal 4 2 2 3 8 2 4" xfId="12746" xr:uid="{E13CBA08-0A3F-4796-8ED3-3CD0B1C1CA30}"/>
    <cellStyle name="Normal 4 2 2 3 8 3" xfId="6369" xr:uid="{00000000-0005-0000-0000-00008F120000}"/>
    <cellStyle name="Normal 4 2 2 3 8 3 2" xfId="23267" xr:uid="{1558F310-DC1A-49B2-9A05-B40B83C557FF}"/>
    <cellStyle name="Normal 4 2 2 3 8 3 3" xfId="14819" xr:uid="{5FE9BED1-004B-4E48-BA5A-11ED87219941}"/>
    <cellStyle name="Normal 4 2 2 3 8 4" xfId="19049" xr:uid="{A0125460-84E0-45D9-9A8B-472DB7411858}"/>
    <cellStyle name="Normal 4 2 2 3 8 5" xfId="10601" xr:uid="{0B035C9D-9DD2-41BC-B34C-78B7EC4F69F1}"/>
    <cellStyle name="Normal 4 2 2 3 9" xfId="2499" xr:uid="{00000000-0005-0000-0000-000090120000}"/>
    <cellStyle name="Normal 4 2 2 3 9 2" xfId="6782" xr:uid="{00000000-0005-0000-0000-000091120000}"/>
    <cellStyle name="Normal 4 2 2 3 9 2 2" xfId="23680" xr:uid="{282BCC42-2F72-4231-943F-6DE425163A85}"/>
    <cellStyle name="Normal 4 2 2 3 9 2 3" xfId="15232" xr:uid="{65C231B7-E398-422C-A397-650CCC1559F2}"/>
    <cellStyle name="Normal 4 2 2 3 9 3" xfId="19462" xr:uid="{2C52AB20-D2EC-434A-A2B8-7DE34A3C46C6}"/>
    <cellStyle name="Normal 4 2 2 3 9 4" xfId="11014" xr:uid="{0B83FF18-31BB-474B-B7C3-C8D3261A8959}"/>
    <cellStyle name="Normal 4 2 2 4" xfId="347" xr:uid="{00000000-0005-0000-0000-000092120000}"/>
    <cellStyle name="Normal 4 2 2 4 10" xfId="17405" xr:uid="{6F01CAD7-7915-436B-964C-A63022792593}"/>
    <cellStyle name="Normal 4 2 2 4 11" xfId="8957" xr:uid="{7F1AB83F-4CD2-4EE6-8E8E-518F7B5B102A}"/>
    <cellStyle name="Normal 4 2 2 4 2" xfId="348" xr:uid="{00000000-0005-0000-0000-000093120000}"/>
    <cellStyle name="Normal 4 2 2 4 2 10" xfId="8958" xr:uid="{470E218E-9107-454C-9F15-961A5E319C19}"/>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24183" xr:uid="{C5F05AA2-1309-48C3-8E52-5781309C7356}"/>
    <cellStyle name="Normal 4 2 2 4 2 2 2 2 2 3" xfId="15735" xr:uid="{F76A4739-A36E-43C6-8B1A-79280049E401}"/>
    <cellStyle name="Normal 4 2 2 4 2 2 2 2 3" xfId="19965" xr:uid="{DF4A5F94-B702-417D-B154-212487CAE900}"/>
    <cellStyle name="Normal 4 2 2 4 2 2 2 2 4" xfId="11517" xr:uid="{1AFF1E99-92AE-4EA8-AC7A-4347D99622F6}"/>
    <cellStyle name="Normal 4 2 2 4 2 2 2 3" xfId="5140" xr:uid="{00000000-0005-0000-0000-000098120000}"/>
    <cellStyle name="Normal 4 2 2 4 2 2 2 3 2" xfId="22038" xr:uid="{F88C891B-859F-4121-8256-9FB204CE8BDF}"/>
    <cellStyle name="Normal 4 2 2 4 2 2 2 3 3" xfId="13590" xr:uid="{34F7FA39-F917-432D-AE3D-B5B0611AB749}"/>
    <cellStyle name="Normal 4 2 2 4 2 2 2 4" xfId="17820" xr:uid="{572C7291-F8F7-434C-AFF9-4B9C3C1E7BB4}"/>
    <cellStyle name="Normal 4 2 2 4 2 2 2 5" xfId="9372" xr:uid="{430B1D3C-98CC-4884-8B42-A877E049BD23}"/>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24596" xr:uid="{2AFF070B-B85B-4B15-820F-67DF9E575FC4}"/>
    <cellStyle name="Normal 4 2 2 4 2 2 3 2 2 3" xfId="16148" xr:uid="{4CFDB48C-2F99-4DB9-964D-B43541B967A8}"/>
    <cellStyle name="Normal 4 2 2 4 2 2 3 2 3" xfId="20378" xr:uid="{64CA4AF6-5A76-4832-95DC-546CEA8EE018}"/>
    <cellStyle name="Normal 4 2 2 4 2 2 3 2 4" xfId="11930" xr:uid="{E49EC891-FFAB-4AEC-8E04-548EAF3E7D1B}"/>
    <cellStyle name="Normal 4 2 2 4 2 2 3 3" xfId="5553" xr:uid="{00000000-0005-0000-0000-00009C120000}"/>
    <cellStyle name="Normal 4 2 2 4 2 2 3 3 2" xfId="22451" xr:uid="{87642141-BBAB-4073-888C-F11A60BB7EB7}"/>
    <cellStyle name="Normal 4 2 2 4 2 2 3 3 3" xfId="14003" xr:uid="{38954116-2F14-4A08-98E2-F43A13DC40F8}"/>
    <cellStyle name="Normal 4 2 2 4 2 2 3 4" xfId="18233" xr:uid="{03AB4E7B-A2E7-4FAA-B368-D5169873EB5D}"/>
    <cellStyle name="Normal 4 2 2 4 2 2 3 5" xfId="9785" xr:uid="{DDC0026C-3EBE-4344-9C2F-81E8F77823BD}"/>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25009" xr:uid="{FD15EF30-46A1-40BF-A4D5-B8755B682E19}"/>
    <cellStyle name="Normal 4 2 2 4 2 2 4 2 2 3" xfId="16561" xr:uid="{01246DDE-196C-4122-9B1A-E56418DBA06C}"/>
    <cellStyle name="Normal 4 2 2 4 2 2 4 2 3" xfId="20791" xr:uid="{53BE50A7-DBF6-4697-A55A-D995632DB458}"/>
    <cellStyle name="Normal 4 2 2 4 2 2 4 2 4" xfId="12343" xr:uid="{3402794D-654B-4842-9FF3-5C3465DA1707}"/>
    <cellStyle name="Normal 4 2 2 4 2 2 4 3" xfId="5966" xr:uid="{00000000-0005-0000-0000-0000A0120000}"/>
    <cellStyle name="Normal 4 2 2 4 2 2 4 3 2" xfId="22864" xr:uid="{2A03BDF2-313C-418B-B740-FE8DA07F684F}"/>
    <cellStyle name="Normal 4 2 2 4 2 2 4 3 3" xfId="14416" xr:uid="{4A7A9C20-CA51-48E9-9027-B019F97A608F}"/>
    <cellStyle name="Normal 4 2 2 4 2 2 4 4" xfId="18646" xr:uid="{D836DC14-02A9-434F-A3BF-C16E4B0D4E9B}"/>
    <cellStyle name="Normal 4 2 2 4 2 2 4 5" xfId="10198" xr:uid="{EDF58E78-6D29-4D34-91AA-BA8B256088EC}"/>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25422" xr:uid="{C311202A-04AB-4363-9993-279706ED90B3}"/>
    <cellStyle name="Normal 4 2 2 4 2 2 5 2 2 3" xfId="16974" xr:uid="{F2F60EF3-6497-4419-9848-EB08B9223732}"/>
    <cellStyle name="Normal 4 2 2 4 2 2 5 2 3" xfId="21204" xr:uid="{4A211EF0-DA2C-46EB-9135-78F27F238BA4}"/>
    <cellStyle name="Normal 4 2 2 4 2 2 5 2 4" xfId="12756" xr:uid="{2A99A75E-D6CD-400C-ACEE-9C485E4F5896}"/>
    <cellStyle name="Normal 4 2 2 4 2 2 5 3" xfId="6379" xr:uid="{00000000-0005-0000-0000-0000A4120000}"/>
    <cellStyle name="Normal 4 2 2 4 2 2 5 3 2" xfId="23277" xr:uid="{33CD7306-5C65-4999-ABB7-584198ED67EB}"/>
    <cellStyle name="Normal 4 2 2 4 2 2 5 3 3" xfId="14829" xr:uid="{EE0E8ADD-E3F3-4CFF-9BC2-39A0D95C545D}"/>
    <cellStyle name="Normal 4 2 2 4 2 2 5 4" xfId="19059" xr:uid="{C8A69B9F-68FA-4443-AA00-A96872B6EDFE}"/>
    <cellStyle name="Normal 4 2 2 4 2 2 5 5" xfId="10611" xr:uid="{BDC66472-9306-432A-940E-2D393099B695}"/>
    <cellStyle name="Normal 4 2 2 4 2 2 6" xfId="2509" xr:uid="{00000000-0005-0000-0000-0000A5120000}"/>
    <cellStyle name="Normal 4 2 2 4 2 2 6 2" xfId="6792" xr:uid="{00000000-0005-0000-0000-0000A6120000}"/>
    <cellStyle name="Normal 4 2 2 4 2 2 6 2 2" xfId="23690" xr:uid="{61EFC669-E940-4DD3-ACAF-807AF83F0C23}"/>
    <cellStyle name="Normal 4 2 2 4 2 2 6 2 3" xfId="15242" xr:uid="{AF8EE66F-4C78-4329-9003-3B4886999BED}"/>
    <cellStyle name="Normal 4 2 2 4 2 2 6 3" xfId="19472" xr:uid="{D753B323-33BA-401E-8CBB-0EA2A4EDAD68}"/>
    <cellStyle name="Normal 4 2 2 4 2 2 6 4" xfId="11024" xr:uid="{54A61C5C-C4FC-438A-ABE4-8DABEF9365CF}"/>
    <cellStyle name="Normal 4 2 2 4 2 2 7" xfId="4727" xr:uid="{00000000-0005-0000-0000-0000A7120000}"/>
    <cellStyle name="Normal 4 2 2 4 2 2 7 2" xfId="21625" xr:uid="{AA8FF841-7754-4103-8EB1-B8CDC054EA51}"/>
    <cellStyle name="Normal 4 2 2 4 2 2 7 3" xfId="13177" xr:uid="{73802F59-0D9D-46C4-8593-04C6B1DBEAD5}"/>
    <cellStyle name="Normal 4 2 2 4 2 2 8" xfId="17407" xr:uid="{066D7C33-4CF2-4FB0-86EA-7A487C9A848F}"/>
    <cellStyle name="Normal 4 2 2 4 2 2 9" xfId="8959" xr:uid="{2BAD25B4-C2E1-4E93-8AB7-4D8570977512}"/>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24182" xr:uid="{2BDF5D60-5CC1-48AD-9185-BA4B7EA42FE1}"/>
    <cellStyle name="Normal 4 2 2 4 2 3 2 2 3" xfId="15734" xr:uid="{94D33046-C847-48DD-8D15-238F754D606F}"/>
    <cellStyle name="Normal 4 2 2 4 2 3 2 3" xfId="19964" xr:uid="{6F99738A-4D88-41AD-A459-9340676C605D}"/>
    <cellStyle name="Normal 4 2 2 4 2 3 2 4" xfId="11516" xr:uid="{64ED4168-1296-423E-B214-143AEDB615CC}"/>
    <cellStyle name="Normal 4 2 2 4 2 3 3" xfId="5139" xr:uid="{00000000-0005-0000-0000-0000AB120000}"/>
    <cellStyle name="Normal 4 2 2 4 2 3 3 2" xfId="22037" xr:uid="{7BEFB791-FB29-4DDB-B7C2-9DD2D01E9D1C}"/>
    <cellStyle name="Normal 4 2 2 4 2 3 3 3" xfId="13589" xr:uid="{DFA808A4-B9AD-4012-B28B-4370B51796DE}"/>
    <cellStyle name="Normal 4 2 2 4 2 3 4" xfId="17819" xr:uid="{6E16EA81-F52A-453C-A3EA-33ACFD6A311E}"/>
    <cellStyle name="Normal 4 2 2 4 2 3 5" xfId="9371" xr:uid="{4DDDC8ED-63BB-4778-8989-D64A37E618BF}"/>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24595" xr:uid="{B66CD7FE-5030-4E0C-A0F0-2B9F9B77F5CF}"/>
    <cellStyle name="Normal 4 2 2 4 2 4 2 2 3" xfId="16147" xr:uid="{AB57FB9C-0B02-4F2B-BD10-BE5B6963811C}"/>
    <cellStyle name="Normal 4 2 2 4 2 4 2 3" xfId="20377" xr:uid="{A84DF777-ED13-47A1-AC65-DAB8C7158B12}"/>
    <cellStyle name="Normal 4 2 2 4 2 4 2 4" xfId="11929" xr:uid="{89813968-19DE-4EA5-850F-D5F0D75E6808}"/>
    <cellStyle name="Normal 4 2 2 4 2 4 3" xfId="5552" xr:uid="{00000000-0005-0000-0000-0000AF120000}"/>
    <cellStyle name="Normal 4 2 2 4 2 4 3 2" xfId="22450" xr:uid="{0FB0609D-95E4-4675-BE2B-7A3A70EB7A19}"/>
    <cellStyle name="Normal 4 2 2 4 2 4 3 3" xfId="14002" xr:uid="{F4BB4C95-4741-45A2-B939-50548226C3F4}"/>
    <cellStyle name="Normal 4 2 2 4 2 4 4" xfId="18232" xr:uid="{0BE6C288-A0E8-4CAD-AF3F-64D81D93B9B9}"/>
    <cellStyle name="Normal 4 2 2 4 2 4 5" xfId="9784" xr:uid="{2C6049B8-5158-4BD4-9D0D-10B1A1D08C6B}"/>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25008" xr:uid="{1C837A38-FC8C-4E4D-A325-DEA521FC04B2}"/>
    <cellStyle name="Normal 4 2 2 4 2 5 2 2 3" xfId="16560" xr:uid="{0F5A8266-0871-44D6-A829-BC1C61152389}"/>
    <cellStyle name="Normal 4 2 2 4 2 5 2 3" xfId="20790" xr:uid="{33291AB8-400E-49D4-8A12-26ECEEB0A32C}"/>
    <cellStyle name="Normal 4 2 2 4 2 5 2 4" xfId="12342" xr:uid="{D34BEDAB-6774-40DC-8CEE-51A7E4C73D0B}"/>
    <cellStyle name="Normal 4 2 2 4 2 5 3" xfId="5965" xr:uid="{00000000-0005-0000-0000-0000B3120000}"/>
    <cellStyle name="Normal 4 2 2 4 2 5 3 2" xfId="22863" xr:uid="{4B60637E-828C-4EFD-8E73-66E3CD4A9788}"/>
    <cellStyle name="Normal 4 2 2 4 2 5 3 3" xfId="14415" xr:uid="{9EA0AEE7-4C7F-4505-9E50-F7273CD2DB66}"/>
    <cellStyle name="Normal 4 2 2 4 2 5 4" xfId="18645" xr:uid="{986E6C74-DEB1-4B9F-BA43-731A5B1903E2}"/>
    <cellStyle name="Normal 4 2 2 4 2 5 5" xfId="10197" xr:uid="{098BE71A-085F-4A2A-AA19-C582B1B849B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25421" xr:uid="{F5306847-D227-4725-90B1-D766B3CD72BB}"/>
    <cellStyle name="Normal 4 2 2 4 2 6 2 2 3" xfId="16973" xr:uid="{7B31960D-41BE-49CB-BF8A-E914954C893F}"/>
    <cellStyle name="Normal 4 2 2 4 2 6 2 3" xfId="21203" xr:uid="{9E5F2349-041B-4372-A689-3825CECC86BB}"/>
    <cellStyle name="Normal 4 2 2 4 2 6 2 4" xfId="12755" xr:uid="{3C15FD74-9554-4BCB-BE6B-21FA70776B07}"/>
    <cellStyle name="Normal 4 2 2 4 2 6 3" xfId="6378" xr:uid="{00000000-0005-0000-0000-0000B7120000}"/>
    <cellStyle name="Normal 4 2 2 4 2 6 3 2" xfId="23276" xr:uid="{98FAC836-B53A-4B09-A4C1-4F553DF7A6D4}"/>
    <cellStyle name="Normal 4 2 2 4 2 6 3 3" xfId="14828" xr:uid="{751AA05D-00D4-41AF-A0C3-60ECB0CFC777}"/>
    <cellStyle name="Normal 4 2 2 4 2 6 4" xfId="19058" xr:uid="{51DD49B5-FDB8-42F8-8072-682AE7D8D69E}"/>
    <cellStyle name="Normal 4 2 2 4 2 6 5" xfId="10610" xr:uid="{BEC73731-13A1-4B17-A138-57F303A70466}"/>
    <cellStyle name="Normal 4 2 2 4 2 7" xfId="2508" xr:uid="{00000000-0005-0000-0000-0000B8120000}"/>
    <cellStyle name="Normal 4 2 2 4 2 7 2" xfId="6791" xr:uid="{00000000-0005-0000-0000-0000B9120000}"/>
    <cellStyle name="Normal 4 2 2 4 2 7 2 2" xfId="23689" xr:uid="{893EE8F1-F5CB-42BD-A8B1-FE41EED52AC0}"/>
    <cellStyle name="Normal 4 2 2 4 2 7 2 3" xfId="15241" xr:uid="{4D355B3A-359C-4551-A647-825674365ABF}"/>
    <cellStyle name="Normal 4 2 2 4 2 7 3" xfId="19471" xr:uid="{9C7771F3-D539-4E87-A45C-67FA18F65A31}"/>
    <cellStyle name="Normal 4 2 2 4 2 7 4" xfId="11023" xr:uid="{5D92E3E8-BC13-4AE8-950B-4A39FC616F19}"/>
    <cellStyle name="Normal 4 2 2 4 2 8" xfId="4726" xr:uid="{00000000-0005-0000-0000-0000BA120000}"/>
    <cellStyle name="Normal 4 2 2 4 2 8 2" xfId="21624" xr:uid="{0226D8EF-B909-478B-A7A2-CB5A45884008}"/>
    <cellStyle name="Normal 4 2 2 4 2 8 3" xfId="13176" xr:uid="{23E9910B-556E-42CE-94F6-B7ADE9ECBA6E}"/>
    <cellStyle name="Normal 4 2 2 4 2 9" xfId="17406" xr:uid="{5081B0B9-A955-4779-B8F7-7BC216B34709}"/>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24184" xr:uid="{02DA85BF-0530-45FB-9DE7-F168C5F98A41}"/>
    <cellStyle name="Normal 4 2 2 4 3 2 2 2 3" xfId="15736" xr:uid="{AEA513A5-9797-4407-A395-6FF10AF32363}"/>
    <cellStyle name="Normal 4 2 2 4 3 2 2 3" xfId="19966" xr:uid="{0D01610F-197F-40E4-ABF7-92A1888B886C}"/>
    <cellStyle name="Normal 4 2 2 4 3 2 2 4" xfId="11518" xr:uid="{BD11935F-C7EB-48B2-9657-B7B505EEF1B1}"/>
    <cellStyle name="Normal 4 2 2 4 3 2 3" xfId="5141" xr:uid="{00000000-0005-0000-0000-0000BF120000}"/>
    <cellStyle name="Normal 4 2 2 4 3 2 3 2" xfId="22039" xr:uid="{901E29A0-F091-4048-A27F-49D3E220683E}"/>
    <cellStyle name="Normal 4 2 2 4 3 2 3 3" xfId="13591" xr:uid="{A2A3B66F-BC4B-476D-AA95-6C28EB43C114}"/>
    <cellStyle name="Normal 4 2 2 4 3 2 4" xfId="17821" xr:uid="{35911F1E-F24E-4E9F-A7EA-693714E8C92C}"/>
    <cellStyle name="Normal 4 2 2 4 3 2 5" xfId="9373" xr:uid="{0C37DE54-C677-42FA-B3BF-239EC9608E16}"/>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24597" xr:uid="{3B4F5DFF-1E05-4111-9D88-3FB7D5474865}"/>
    <cellStyle name="Normal 4 2 2 4 3 3 2 2 3" xfId="16149" xr:uid="{A6A4436C-DD75-40AE-8188-AABCC98762E3}"/>
    <cellStyle name="Normal 4 2 2 4 3 3 2 3" xfId="20379" xr:uid="{40FEB0EE-2BD3-4D46-8269-1F049208A495}"/>
    <cellStyle name="Normal 4 2 2 4 3 3 2 4" xfId="11931" xr:uid="{A94DFFA9-8B00-49FE-A09C-ECFE3C43F050}"/>
    <cellStyle name="Normal 4 2 2 4 3 3 3" xfId="5554" xr:uid="{00000000-0005-0000-0000-0000C3120000}"/>
    <cellStyle name="Normal 4 2 2 4 3 3 3 2" xfId="22452" xr:uid="{9F1489B7-A8AE-4ECC-A50D-0609DF0EF2A1}"/>
    <cellStyle name="Normal 4 2 2 4 3 3 3 3" xfId="14004" xr:uid="{3E1AB965-6CF8-4364-A2F1-89276138FD66}"/>
    <cellStyle name="Normal 4 2 2 4 3 3 4" xfId="18234" xr:uid="{5B68E7DD-8D30-4219-B7AE-3ED8259CD61A}"/>
    <cellStyle name="Normal 4 2 2 4 3 3 5" xfId="9786" xr:uid="{734DBDEC-6080-43CF-AA8D-02A6BE0EBAF2}"/>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25010" xr:uid="{BF0ECD1A-325F-4B58-A742-C1B948A62A6B}"/>
    <cellStyle name="Normal 4 2 2 4 3 4 2 2 3" xfId="16562" xr:uid="{D0C01C5B-8E90-4495-994D-A575516534BD}"/>
    <cellStyle name="Normal 4 2 2 4 3 4 2 3" xfId="20792" xr:uid="{A8B496C2-5E79-4E89-B4E4-9AEB6F924510}"/>
    <cellStyle name="Normal 4 2 2 4 3 4 2 4" xfId="12344" xr:uid="{FB4D34CD-FDAD-43D5-B487-320E1D32BC53}"/>
    <cellStyle name="Normal 4 2 2 4 3 4 3" xfId="5967" xr:uid="{00000000-0005-0000-0000-0000C7120000}"/>
    <cellStyle name="Normal 4 2 2 4 3 4 3 2" xfId="22865" xr:uid="{96614837-5E07-4958-B43E-F689689D9C6A}"/>
    <cellStyle name="Normal 4 2 2 4 3 4 3 3" xfId="14417" xr:uid="{6BD66592-3EFA-4F14-AC2D-4AEAC874F2DA}"/>
    <cellStyle name="Normal 4 2 2 4 3 4 4" xfId="18647" xr:uid="{B944561B-50CF-4581-AFA2-3BD8F766F6D5}"/>
    <cellStyle name="Normal 4 2 2 4 3 4 5" xfId="10199" xr:uid="{118DA172-5381-4E7A-B1A5-4D5A862A0011}"/>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25423" xr:uid="{82F8DACB-C458-4783-A3D6-0F54D96A52B7}"/>
    <cellStyle name="Normal 4 2 2 4 3 5 2 2 3" xfId="16975" xr:uid="{E4F18AB5-144C-4837-9FE1-F11102F86B33}"/>
    <cellStyle name="Normal 4 2 2 4 3 5 2 3" xfId="21205" xr:uid="{961E60BB-20D6-4AC0-ADD5-9B900594D903}"/>
    <cellStyle name="Normal 4 2 2 4 3 5 2 4" xfId="12757" xr:uid="{346745DE-E24B-4C2B-AC34-5CE568B3D4C8}"/>
    <cellStyle name="Normal 4 2 2 4 3 5 3" xfId="6380" xr:uid="{00000000-0005-0000-0000-0000CB120000}"/>
    <cellStyle name="Normal 4 2 2 4 3 5 3 2" xfId="23278" xr:uid="{B4DBE9EC-00E4-4FDC-AF68-ECBA5F77FFF6}"/>
    <cellStyle name="Normal 4 2 2 4 3 5 3 3" xfId="14830" xr:uid="{3EC16C77-A672-491C-8E85-D3E59346F669}"/>
    <cellStyle name="Normal 4 2 2 4 3 5 4" xfId="19060" xr:uid="{E77D10E4-EC2E-4A0C-A305-6342F2895376}"/>
    <cellStyle name="Normal 4 2 2 4 3 5 5" xfId="10612" xr:uid="{5260939A-4CD4-4960-9B45-0C9B19DF9826}"/>
    <cellStyle name="Normal 4 2 2 4 3 6" xfId="2510" xr:uid="{00000000-0005-0000-0000-0000CC120000}"/>
    <cellStyle name="Normal 4 2 2 4 3 6 2" xfId="6793" xr:uid="{00000000-0005-0000-0000-0000CD120000}"/>
    <cellStyle name="Normal 4 2 2 4 3 6 2 2" xfId="23691" xr:uid="{F23FD001-0FD5-4FD4-9CEA-8EF1DDAEEED7}"/>
    <cellStyle name="Normal 4 2 2 4 3 6 2 3" xfId="15243" xr:uid="{0C6BF470-6AFE-4C31-B53F-5CB5EFB4C321}"/>
    <cellStyle name="Normal 4 2 2 4 3 6 3" xfId="19473" xr:uid="{31894A5B-37A1-4406-B9F8-1291ADCF6903}"/>
    <cellStyle name="Normal 4 2 2 4 3 6 4" xfId="11025" xr:uid="{18B6ACF3-BC07-42ED-842F-4198CC748FB1}"/>
    <cellStyle name="Normal 4 2 2 4 3 7" xfId="4728" xr:uid="{00000000-0005-0000-0000-0000CE120000}"/>
    <cellStyle name="Normal 4 2 2 4 3 7 2" xfId="21626" xr:uid="{88BEF7ED-CD39-494A-A484-E198365005A7}"/>
    <cellStyle name="Normal 4 2 2 4 3 7 3" xfId="13178" xr:uid="{D90C0ABE-1F6C-4512-BDC0-850954E2CC83}"/>
    <cellStyle name="Normal 4 2 2 4 3 8" xfId="17408" xr:uid="{733331E6-03C3-4F4E-B960-6744C9DDECDB}"/>
    <cellStyle name="Normal 4 2 2 4 3 9" xfId="8960" xr:uid="{3322E7B5-5B8D-453E-BF1C-A526591C3441}"/>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24181" xr:uid="{8372A650-1C8B-41A9-AACB-50ABED925059}"/>
    <cellStyle name="Normal 4 2 2 4 4 2 2 3" xfId="15733" xr:uid="{1D63FBC5-5D47-447B-B430-B3F5AB235103}"/>
    <cellStyle name="Normal 4 2 2 4 4 2 3" xfId="19963" xr:uid="{DD21E99D-9827-4233-8298-7A2DDE98B0DE}"/>
    <cellStyle name="Normal 4 2 2 4 4 2 4" xfId="11515" xr:uid="{35451D6A-BFF0-4112-9F8C-4C384E41F9B8}"/>
    <cellStyle name="Normal 4 2 2 4 4 3" xfId="5138" xr:uid="{00000000-0005-0000-0000-0000D2120000}"/>
    <cellStyle name="Normal 4 2 2 4 4 3 2" xfId="22036" xr:uid="{101C602C-AF0C-4DB5-BD19-DC93D17E78D1}"/>
    <cellStyle name="Normal 4 2 2 4 4 3 3" xfId="13588" xr:uid="{927738A8-805C-4E9B-8531-183CC817CC75}"/>
    <cellStyle name="Normal 4 2 2 4 4 4" xfId="17818" xr:uid="{C8647B7E-0B99-4BD5-995D-8518A49E20D1}"/>
    <cellStyle name="Normal 4 2 2 4 4 5" xfId="9370" xr:uid="{6427CDBE-0AB0-4AEE-847E-5D81544D4C67}"/>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24594" xr:uid="{CBF40256-DC78-44D1-9F1A-99AB7ED8F690}"/>
    <cellStyle name="Normal 4 2 2 4 5 2 2 3" xfId="16146" xr:uid="{94532029-527B-43ED-B290-7520298693B6}"/>
    <cellStyle name="Normal 4 2 2 4 5 2 3" xfId="20376" xr:uid="{30F473D9-C1FB-4118-ADDA-76AEDF2A0FA9}"/>
    <cellStyle name="Normal 4 2 2 4 5 2 4" xfId="11928" xr:uid="{4AEBC13C-9955-4B4A-887B-134509ED8839}"/>
    <cellStyle name="Normal 4 2 2 4 5 3" xfId="5551" xr:uid="{00000000-0005-0000-0000-0000D6120000}"/>
    <cellStyle name="Normal 4 2 2 4 5 3 2" xfId="22449" xr:uid="{6281253C-8555-4D90-AAE0-583AB459C303}"/>
    <cellStyle name="Normal 4 2 2 4 5 3 3" xfId="14001" xr:uid="{8DA31E0A-89AB-4215-8FE4-6FE3C6E008B7}"/>
    <cellStyle name="Normal 4 2 2 4 5 4" xfId="18231" xr:uid="{2E087AA5-AA5B-4223-9574-9017C45B502F}"/>
    <cellStyle name="Normal 4 2 2 4 5 5" xfId="9783" xr:uid="{BEBC1945-DDD5-466F-92D5-9309B61F71DD}"/>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25007" xr:uid="{6D2FF356-513A-44EE-AF15-97B8EFAC59E4}"/>
    <cellStyle name="Normal 4 2 2 4 6 2 2 3" xfId="16559" xr:uid="{A92D8A8C-0A75-4D31-B0EF-874BD8ABA7DE}"/>
    <cellStyle name="Normal 4 2 2 4 6 2 3" xfId="20789" xr:uid="{15C1B329-4F1A-45B3-951B-836CEBB82F42}"/>
    <cellStyle name="Normal 4 2 2 4 6 2 4" xfId="12341" xr:uid="{B28F6B80-D895-4566-BF33-430022F41BD5}"/>
    <cellStyle name="Normal 4 2 2 4 6 3" xfId="5964" xr:uid="{00000000-0005-0000-0000-0000DA120000}"/>
    <cellStyle name="Normal 4 2 2 4 6 3 2" xfId="22862" xr:uid="{DC866BCC-10E7-408B-9D47-70B1A49A41A3}"/>
    <cellStyle name="Normal 4 2 2 4 6 3 3" xfId="14414" xr:uid="{3B4CBB27-D3DF-453F-87DE-DCE87C23B4DA}"/>
    <cellStyle name="Normal 4 2 2 4 6 4" xfId="18644" xr:uid="{49449D24-015E-4BBC-9912-DB48D0512720}"/>
    <cellStyle name="Normal 4 2 2 4 6 5" xfId="10196" xr:uid="{A10FD7DA-7E24-446F-ADAC-C4E1B65F62BF}"/>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25420" xr:uid="{ED7FE6F4-A822-4FED-8D4D-06689A18461B}"/>
    <cellStyle name="Normal 4 2 2 4 7 2 2 3" xfId="16972" xr:uid="{BB92BA76-ED0F-435F-9680-1E195CF0F7B4}"/>
    <cellStyle name="Normal 4 2 2 4 7 2 3" xfId="21202" xr:uid="{255C44AE-D43E-4F68-B148-9ABCEAE855A5}"/>
    <cellStyle name="Normal 4 2 2 4 7 2 4" xfId="12754" xr:uid="{56C618C1-87DE-4418-BEBF-FCC0DEAE2C92}"/>
    <cellStyle name="Normal 4 2 2 4 7 3" xfId="6377" xr:uid="{00000000-0005-0000-0000-0000DE120000}"/>
    <cellStyle name="Normal 4 2 2 4 7 3 2" xfId="23275" xr:uid="{CFEB7370-9B6B-4965-A21B-E304FADC3621}"/>
    <cellStyle name="Normal 4 2 2 4 7 3 3" xfId="14827" xr:uid="{D3592965-9C83-4E5D-88AE-FDF0BB98C6B9}"/>
    <cellStyle name="Normal 4 2 2 4 7 4" xfId="19057" xr:uid="{29278A36-2DF7-458B-BB58-725DF1694B21}"/>
    <cellStyle name="Normal 4 2 2 4 7 5" xfId="10609" xr:uid="{549AC5E2-4EDD-47B9-8B8F-B054AF68F06C}"/>
    <cellStyle name="Normal 4 2 2 4 8" xfId="2507" xr:uid="{00000000-0005-0000-0000-0000DF120000}"/>
    <cellStyle name="Normal 4 2 2 4 8 2" xfId="6790" xr:uid="{00000000-0005-0000-0000-0000E0120000}"/>
    <cellStyle name="Normal 4 2 2 4 8 2 2" xfId="23688" xr:uid="{5F8E1472-D368-453C-B75C-62FA6554A3C6}"/>
    <cellStyle name="Normal 4 2 2 4 8 2 3" xfId="15240" xr:uid="{0A467739-9FBD-45DF-9FA7-ED1D6F7622A8}"/>
    <cellStyle name="Normal 4 2 2 4 8 3" xfId="19470" xr:uid="{35960A98-D69E-45C2-AF7E-7AC5F6C3FE83}"/>
    <cellStyle name="Normal 4 2 2 4 8 4" xfId="11022" xr:uid="{5F28E920-B74C-4F90-8F61-D42C36D38533}"/>
    <cellStyle name="Normal 4 2 2 4 9" xfId="4725" xr:uid="{00000000-0005-0000-0000-0000E1120000}"/>
    <cellStyle name="Normal 4 2 2 4 9 2" xfId="21623" xr:uid="{839ABB39-78DA-4B34-9BB2-BD7ED598043C}"/>
    <cellStyle name="Normal 4 2 2 4 9 3" xfId="13175" xr:uid="{4DD5378A-38DC-4BD7-8E6A-D13FB455923F}"/>
    <cellStyle name="Normal 4 2 2 5" xfId="351" xr:uid="{00000000-0005-0000-0000-0000E2120000}"/>
    <cellStyle name="Normal 4 2 2 5 10" xfId="8961" xr:uid="{531B6E77-CAE0-42AE-A78A-515BD08E5D04}"/>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24186" xr:uid="{201B2630-0E2B-418B-AFD0-2847C08FF701}"/>
    <cellStyle name="Normal 4 2 2 5 2 2 2 2 3" xfId="15738" xr:uid="{9B9FAB36-73D0-424E-824A-99E5C8EF751B}"/>
    <cellStyle name="Normal 4 2 2 5 2 2 2 3" xfId="19968" xr:uid="{0D5372EC-677F-460C-88CC-4EC94A783F8F}"/>
    <cellStyle name="Normal 4 2 2 5 2 2 2 4" xfId="11520" xr:uid="{7E2EE4FE-A1E5-4FAD-A16E-8D11B48CC474}"/>
    <cellStyle name="Normal 4 2 2 5 2 2 3" xfId="5143" xr:uid="{00000000-0005-0000-0000-0000E7120000}"/>
    <cellStyle name="Normal 4 2 2 5 2 2 3 2" xfId="22041" xr:uid="{9DAB8224-8EF8-46BB-9FE3-4FF01934B6E3}"/>
    <cellStyle name="Normal 4 2 2 5 2 2 3 3" xfId="13593" xr:uid="{44A59274-3870-4606-B12F-7424141199BE}"/>
    <cellStyle name="Normal 4 2 2 5 2 2 4" xfId="17823" xr:uid="{BC430DC6-C12B-456D-93FF-7187EB41C84D}"/>
    <cellStyle name="Normal 4 2 2 5 2 2 5" xfId="9375" xr:uid="{592767C4-C4BA-479E-9460-86A524B9EACE}"/>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24599" xr:uid="{3C639F9B-DA5D-49C0-B648-85F17EB60A9B}"/>
    <cellStyle name="Normal 4 2 2 5 2 3 2 2 3" xfId="16151" xr:uid="{D56093B7-390B-4170-B3D8-D611C3E10E91}"/>
    <cellStyle name="Normal 4 2 2 5 2 3 2 3" xfId="20381" xr:uid="{BEFD8D72-8FED-4FEE-BEAA-42913945B459}"/>
    <cellStyle name="Normal 4 2 2 5 2 3 2 4" xfId="11933" xr:uid="{C02F9427-F846-49AB-BE68-9C91F1A3E718}"/>
    <cellStyle name="Normal 4 2 2 5 2 3 3" xfId="5556" xr:uid="{00000000-0005-0000-0000-0000EB120000}"/>
    <cellStyle name="Normal 4 2 2 5 2 3 3 2" xfId="22454" xr:uid="{E447A9DB-5C54-4421-B326-ECD6DA1FBDDC}"/>
    <cellStyle name="Normal 4 2 2 5 2 3 3 3" xfId="14006" xr:uid="{ACFC11DB-3883-4E24-B9D7-775F2150BD7A}"/>
    <cellStyle name="Normal 4 2 2 5 2 3 4" xfId="18236" xr:uid="{F39AD0E7-3784-4275-8004-4654A23F214F}"/>
    <cellStyle name="Normal 4 2 2 5 2 3 5" xfId="9788" xr:uid="{D1B73B26-7F23-4971-A8AC-312CBFB43AF2}"/>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25012" xr:uid="{2DE124EE-18A9-4601-A49D-0CE56A57B679}"/>
    <cellStyle name="Normal 4 2 2 5 2 4 2 2 3" xfId="16564" xr:uid="{425A1CC6-5C4B-4BC1-8FD8-27391F46B9D2}"/>
    <cellStyle name="Normal 4 2 2 5 2 4 2 3" xfId="20794" xr:uid="{0BA4E6B6-7B11-4BDD-9E49-144981459E4C}"/>
    <cellStyle name="Normal 4 2 2 5 2 4 2 4" xfId="12346" xr:uid="{D2CE7602-7BFF-4370-96DB-FBE07C5C5299}"/>
    <cellStyle name="Normal 4 2 2 5 2 4 3" xfId="5969" xr:uid="{00000000-0005-0000-0000-0000EF120000}"/>
    <cellStyle name="Normal 4 2 2 5 2 4 3 2" xfId="22867" xr:uid="{E1D86D06-CE97-475D-B595-6BD07857BC07}"/>
    <cellStyle name="Normal 4 2 2 5 2 4 3 3" xfId="14419" xr:uid="{5C2B96CB-8579-488A-848E-99E2DB7CE913}"/>
    <cellStyle name="Normal 4 2 2 5 2 4 4" xfId="18649" xr:uid="{2AA9597B-35D6-4ACF-84A4-BF07D2BC9171}"/>
    <cellStyle name="Normal 4 2 2 5 2 4 5" xfId="10201" xr:uid="{07730CA3-503F-407A-9DE2-977F4DF25B52}"/>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25425" xr:uid="{97D9B19C-48C1-41FB-BB46-D02DE82178A5}"/>
    <cellStyle name="Normal 4 2 2 5 2 5 2 2 3" xfId="16977" xr:uid="{92A95804-C0EF-4050-8661-7A58CFD1575F}"/>
    <cellStyle name="Normal 4 2 2 5 2 5 2 3" xfId="21207" xr:uid="{277D499D-6F4E-425F-AB2F-930BD04A5CDC}"/>
    <cellStyle name="Normal 4 2 2 5 2 5 2 4" xfId="12759" xr:uid="{78DA3AE3-8820-4544-A367-5547DFE59B37}"/>
    <cellStyle name="Normal 4 2 2 5 2 5 3" xfId="6382" xr:uid="{00000000-0005-0000-0000-0000F3120000}"/>
    <cellStyle name="Normal 4 2 2 5 2 5 3 2" xfId="23280" xr:uid="{0C3BBB91-AF44-482F-B952-9A4B58CBF45A}"/>
    <cellStyle name="Normal 4 2 2 5 2 5 3 3" xfId="14832" xr:uid="{70C951BE-25B0-421A-8662-4E78FC192385}"/>
    <cellStyle name="Normal 4 2 2 5 2 5 4" xfId="19062" xr:uid="{C2310691-664B-4785-BBE7-D8F722FFA60C}"/>
    <cellStyle name="Normal 4 2 2 5 2 5 5" xfId="10614" xr:uid="{69F2E9E1-155B-46E2-94EA-2EDC88C17510}"/>
    <cellStyle name="Normal 4 2 2 5 2 6" xfId="2512" xr:uid="{00000000-0005-0000-0000-0000F4120000}"/>
    <cellStyle name="Normal 4 2 2 5 2 6 2" xfId="6795" xr:uid="{00000000-0005-0000-0000-0000F5120000}"/>
    <cellStyle name="Normal 4 2 2 5 2 6 2 2" xfId="23693" xr:uid="{F99F44E5-47C9-4BB9-A69E-F8A8EB8D9986}"/>
    <cellStyle name="Normal 4 2 2 5 2 6 2 3" xfId="15245" xr:uid="{A77F6D6F-15F7-41B4-9F35-126E38495212}"/>
    <cellStyle name="Normal 4 2 2 5 2 6 3" xfId="19475" xr:uid="{5762A6D3-2B41-42B6-9BEC-A1A3E185BB7F}"/>
    <cellStyle name="Normal 4 2 2 5 2 6 4" xfId="11027" xr:uid="{00EC0764-0E38-4205-B95C-8A1E615743E7}"/>
    <cellStyle name="Normal 4 2 2 5 2 7" xfId="4730" xr:uid="{00000000-0005-0000-0000-0000F6120000}"/>
    <cellStyle name="Normal 4 2 2 5 2 7 2" xfId="21628" xr:uid="{0573A24D-77CD-47C9-A540-F17B580F9B87}"/>
    <cellStyle name="Normal 4 2 2 5 2 7 3" xfId="13180" xr:uid="{6F91EA10-20D3-478D-A0FE-A487E76A9860}"/>
    <cellStyle name="Normal 4 2 2 5 2 8" xfId="17410" xr:uid="{7678C851-99D6-4E7A-B77A-1E379536878F}"/>
    <cellStyle name="Normal 4 2 2 5 2 9" xfId="8962" xr:uid="{24AE2FAD-6421-4FC9-B2BB-559822ACCAC3}"/>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24185" xr:uid="{34857203-45D0-4F6D-A892-98CA757A9D14}"/>
    <cellStyle name="Normal 4 2 2 5 3 2 2 3" xfId="15737" xr:uid="{ED2189F6-7D2E-461A-8944-285AEFC6E105}"/>
    <cellStyle name="Normal 4 2 2 5 3 2 3" xfId="19967" xr:uid="{CA474D56-2532-4E90-816B-2B2F1408EFFE}"/>
    <cellStyle name="Normal 4 2 2 5 3 2 4" xfId="11519" xr:uid="{8C3B98E2-02CB-4C68-AAC8-BE07FCAD4E3B}"/>
    <cellStyle name="Normal 4 2 2 5 3 3" xfId="5142" xr:uid="{00000000-0005-0000-0000-0000FA120000}"/>
    <cellStyle name="Normal 4 2 2 5 3 3 2" xfId="22040" xr:uid="{8F5DD228-E4CA-4564-82CD-93F1B033A09F}"/>
    <cellStyle name="Normal 4 2 2 5 3 3 3" xfId="13592" xr:uid="{C904C53D-EDF2-4737-B712-8A228DDD985E}"/>
    <cellStyle name="Normal 4 2 2 5 3 4" xfId="17822" xr:uid="{DA734B90-47A2-4936-BAED-E5DE0E735EBF}"/>
    <cellStyle name="Normal 4 2 2 5 3 5" xfId="9374" xr:uid="{8AFF39D7-865A-4A2B-A2BB-0CC208E78D4D}"/>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24598" xr:uid="{C398AE9E-42EB-4C46-9E4F-57F4A049A705}"/>
    <cellStyle name="Normal 4 2 2 5 4 2 2 3" xfId="16150" xr:uid="{ED8D4167-9019-4CF6-8239-ACE3424A827F}"/>
    <cellStyle name="Normal 4 2 2 5 4 2 3" xfId="20380" xr:uid="{B697FB69-C60F-4F94-BFF5-B6DB2ECD1912}"/>
    <cellStyle name="Normal 4 2 2 5 4 2 4" xfId="11932" xr:uid="{2F2BD3D5-1BC1-49F4-8CFC-58CD6DDAB932}"/>
    <cellStyle name="Normal 4 2 2 5 4 3" xfId="5555" xr:uid="{00000000-0005-0000-0000-0000FE120000}"/>
    <cellStyle name="Normal 4 2 2 5 4 3 2" xfId="22453" xr:uid="{30656260-A021-443F-B191-FB91E4BA9C4F}"/>
    <cellStyle name="Normal 4 2 2 5 4 3 3" xfId="14005" xr:uid="{4C88BDAA-F8CE-42CD-AAB4-FEA9FC92B984}"/>
    <cellStyle name="Normal 4 2 2 5 4 4" xfId="18235" xr:uid="{C5610D21-A46F-4685-92E8-36A7F39B56F7}"/>
    <cellStyle name="Normal 4 2 2 5 4 5" xfId="9787" xr:uid="{533AF8F0-EC82-4811-9804-EEF8C60C884F}"/>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25011" xr:uid="{B15B7E89-F997-4887-8F65-90AD96322765}"/>
    <cellStyle name="Normal 4 2 2 5 5 2 2 3" xfId="16563" xr:uid="{442284C7-9278-4794-8C3D-AA983EE2CD2E}"/>
    <cellStyle name="Normal 4 2 2 5 5 2 3" xfId="20793" xr:uid="{5DC1FEED-2368-4BA3-AA48-6B3B595B8694}"/>
    <cellStyle name="Normal 4 2 2 5 5 2 4" xfId="12345" xr:uid="{EABE00BA-33BA-4CBC-B482-308260C9B754}"/>
    <cellStyle name="Normal 4 2 2 5 5 3" xfId="5968" xr:uid="{00000000-0005-0000-0000-000002130000}"/>
    <cellStyle name="Normal 4 2 2 5 5 3 2" xfId="22866" xr:uid="{3B919594-6C8D-4FB7-A10E-26FB746C6DE5}"/>
    <cellStyle name="Normal 4 2 2 5 5 3 3" xfId="14418" xr:uid="{62D07951-1EE8-4C6B-9202-08F83FC11610}"/>
    <cellStyle name="Normal 4 2 2 5 5 4" xfId="18648" xr:uid="{1964E678-A496-4C7D-A1D2-84075C05BF9F}"/>
    <cellStyle name="Normal 4 2 2 5 5 5" xfId="10200" xr:uid="{6D90E34E-270B-4E46-A2AC-DF44818F1AEE}"/>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25424" xr:uid="{A88AF3A2-F835-4B89-8074-668447063E36}"/>
    <cellStyle name="Normal 4 2 2 5 6 2 2 3" xfId="16976" xr:uid="{7F9A630D-5934-4964-B501-A9D3EE03C4D1}"/>
    <cellStyle name="Normal 4 2 2 5 6 2 3" xfId="21206" xr:uid="{6768A32B-173E-4684-9478-FC27C273712B}"/>
    <cellStyle name="Normal 4 2 2 5 6 2 4" xfId="12758" xr:uid="{E2F0CFF9-E440-4F61-833F-FA7653EB94C9}"/>
    <cellStyle name="Normal 4 2 2 5 6 3" xfId="6381" xr:uid="{00000000-0005-0000-0000-000006130000}"/>
    <cellStyle name="Normal 4 2 2 5 6 3 2" xfId="23279" xr:uid="{CBF14A3A-7ED2-4788-B222-BBE2B8AF05D7}"/>
    <cellStyle name="Normal 4 2 2 5 6 3 3" xfId="14831" xr:uid="{EBCA1510-525C-45D5-9328-416867B64FBC}"/>
    <cellStyle name="Normal 4 2 2 5 6 4" xfId="19061" xr:uid="{1344C019-7B84-446F-BF53-29EC00EA7927}"/>
    <cellStyle name="Normal 4 2 2 5 6 5" xfId="10613" xr:uid="{4B4EA902-2CCE-4B4E-A51B-CFF5FD168EF1}"/>
    <cellStyle name="Normal 4 2 2 5 7" xfId="2511" xr:uid="{00000000-0005-0000-0000-000007130000}"/>
    <cellStyle name="Normal 4 2 2 5 7 2" xfId="6794" xr:uid="{00000000-0005-0000-0000-000008130000}"/>
    <cellStyle name="Normal 4 2 2 5 7 2 2" xfId="23692" xr:uid="{BC40FCFB-22DC-4515-8373-67F441BA564B}"/>
    <cellStyle name="Normal 4 2 2 5 7 2 3" xfId="15244" xr:uid="{63271C49-6BC4-4841-B2A6-0BA5320DE7AD}"/>
    <cellStyle name="Normal 4 2 2 5 7 3" xfId="19474" xr:uid="{C32CD16C-BC66-42BF-A92F-C36FBDD58D5A}"/>
    <cellStyle name="Normal 4 2 2 5 7 4" xfId="11026" xr:uid="{50E07ABC-648B-490A-9121-2C09FFA2ABD2}"/>
    <cellStyle name="Normal 4 2 2 5 8" xfId="4729" xr:uid="{00000000-0005-0000-0000-000009130000}"/>
    <cellStyle name="Normal 4 2 2 5 8 2" xfId="21627" xr:uid="{437DC04D-69A9-4D41-9170-256D358330A8}"/>
    <cellStyle name="Normal 4 2 2 5 8 3" xfId="13179" xr:uid="{F11F3823-A14C-4BAC-9A79-2CF08E257101}"/>
    <cellStyle name="Normal 4 2 2 5 9" xfId="17409" xr:uid="{8976A5B1-0945-4763-AAA5-795DE9EA6F84}"/>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24187" xr:uid="{5B718125-5B29-402C-A730-D08D19E2704B}"/>
    <cellStyle name="Normal 4 2 2 6 2 2 2 3" xfId="15739" xr:uid="{4E7DF427-3BDD-454B-BA40-45DAE24EFE97}"/>
    <cellStyle name="Normal 4 2 2 6 2 2 3" xfId="19969" xr:uid="{7DD94C0D-C8A9-4C0E-A9C6-ACBC4235DC58}"/>
    <cellStyle name="Normal 4 2 2 6 2 2 4" xfId="11521" xr:uid="{6567F246-535B-4239-8798-94105475959C}"/>
    <cellStyle name="Normal 4 2 2 6 2 3" xfId="5144" xr:uid="{00000000-0005-0000-0000-00000E130000}"/>
    <cellStyle name="Normal 4 2 2 6 2 3 2" xfId="22042" xr:uid="{AA12EC65-91F4-4E14-B065-7007B85BD029}"/>
    <cellStyle name="Normal 4 2 2 6 2 3 3" xfId="13594" xr:uid="{A27C055A-B3EC-4C29-BB53-8D951D35C5C8}"/>
    <cellStyle name="Normal 4 2 2 6 2 4" xfId="17824" xr:uid="{97A87B22-BC59-441F-8312-3803B6E3AD39}"/>
    <cellStyle name="Normal 4 2 2 6 2 5" xfId="9376" xr:uid="{B716A34B-D092-4DB5-AF89-D24320610F91}"/>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24600" xr:uid="{7E2F63D3-7A24-458E-8B13-E8FE428E5B2E}"/>
    <cellStyle name="Normal 4 2 2 6 3 2 2 3" xfId="16152" xr:uid="{6EFDBF54-818B-4A17-84D2-9913228F46C2}"/>
    <cellStyle name="Normal 4 2 2 6 3 2 3" xfId="20382" xr:uid="{0F84D968-00B2-4B31-BA8D-ADF7C051289B}"/>
    <cellStyle name="Normal 4 2 2 6 3 2 4" xfId="11934" xr:uid="{BFFAEF06-3BB7-4813-9501-8E68D4D078BA}"/>
    <cellStyle name="Normal 4 2 2 6 3 3" xfId="5557" xr:uid="{00000000-0005-0000-0000-000012130000}"/>
    <cellStyle name="Normal 4 2 2 6 3 3 2" xfId="22455" xr:uid="{1C8EE941-269D-42EA-9E49-E24ECE4069B8}"/>
    <cellStyle name="Normal 4 2 2 6 3 3 3" xfId="14007" xr:uid="{231F9625-80E8-444E-BA1F-78B4190FCD1D}"/>
    <cellStyle name="Normal 4 2 2 6 3 4" xfId="18237" xr:uid="{1FA5C21D-6C2B-47E1-821E-EAE9D80E6C93}"/>
    <cellStyle name="Normal 4 2 2 6 3 5" xfId="9789" xr:uid="{BB04A1BA-1235-441A-BFD4-D5DDA2A33139}"/>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25013" xr:uid="{770A5D89-0F57-4FDF-8B6F-91D5BB23D7F4}"/>
    <cellStyle name="Normal 4 2 2 6 4 2 2 3" xfId="16565" xr:uid="{84D2C435-DD13-4B75-8871-5B365B10FFAC}"/>
    <cellStyle name="Normal 4 2 2 6 4 2 3" xfId="20795" xr:uid="{9B4017FD-EB41-48B9-AA95-27D74D9AC2CA}"/>
    <cellStyle name="Normal 4 2 2 6 4 2 4" xfId="12347" xr:uid="{255FB91D-EE52-40C9-B30C-FE70FBDA5B26}"/>
    <cellStyle name="Normal 4 2 2 6 4 3" xfId="5970" xr:uid="{00000000-0005-0000-0000-000016130000}"/>
    <cellStyle name="Normal 4 2 2 6 4 3 2" xfId="22868" xr:uid="{DBE88D62-695E-4E89-8DC1-97BEF28C9E0A}"/>
    <cellStyle name="Normal 4 2 2 6 4 3 3" xfId="14420" xr:uid="{4F9CE3D9-2D41-4AB6-BC5F-666BAAE011E7}"/>
    <cellStyle name="Normal 4 2 2 6 4 4" xfId="18650" xr:uid="{DAA9601D-20BA-47B2-9F9C-64B8E445B330}"/>
    <cellStyle name="Normal 4 2 2 6 4 5" xfId="10202" xr:uid="{5D8C0F16-8055-4547-8056-EAFFF2F4E80E}"/>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25426" xr:uid="{53D7EC11-271F-4D9C-B871-36036E0A4785}"/>
    <cellStyle name="Normal 4 2 2 6 5 2 2 3" xfId="16978" xr:uid="{08F6AB9B-E9E3-447A-B6BC-DBC014A7B94F}"/>
    <cellStyle name="Normal 4 2 2 6 5 2 3" xfId="21208" xr:uid="{FACE3607-B4BD-4EB5-9C13-C0C7EE90DD98}"/>
    <cellStyle name="Normal 4 2 2 6 5 2 4" xfId="12760" xr:uid="{EBE6B3C0-C894-467C-A21A-A229F2FEE596}"/>
    <cellStyle name="Normal 4 2 2 6 5 3" xfId="6383" xr:uid="{00000000-0005-0000-0000-00001A130000}"/>
    <cellStyle name="Normal 4 2 2 6 5 3 2" xfId="23281" xr:uid="{C788896E-1B73-4E32-BB8A-501FD8B811FC}"/>
    <cellStyle name="Normal 4 2 2 6 5 3 3" xfId="14833" xr:uid="{0412E477-D6A6-46CE-9B8B-C193D1D89734}"/>
    <cellStyle name="Normal 4 2 2 6 5 4" xfId="19063" xr:uid="{A2BC97FD-86E4-451C-97A0-09BAC74B3741}"/>
    <cellStyle name="Normal 4 2 2 6 5 5" xfId="10615" xr:uid="{1CEB1B78-1764-4224-9F0B-8938FEF75026}"/>
    <cellStyle name="Normal 4 2 2 6 6" xfId="2513" xr:uid="{00000000-0005-0000-0000-00001B130000}"/>
    <cellStyle name="Normal 4 2 2 6 6 2" xfId="6796" xr:uid="{00000000-0005-0000-0000-00001C130000}"/>
    <cellStyle name="Normal 4 2 2 6 6 2 2" xfId="23694" xr:uid="{3AB72769-1D31-4D86-B7BE-5E986A8CB5EF}"/>
    <cellStyle name="Normal 4 2 2 6 6 2 3" xfId="15246" xr:uid="{EE673411-DE54-4848-9FBF-A666DA57F01D}"/>
    <cellStyle name="Normal 4 2 2 6 6 3" xfId="19476" xr:uid="{3E30C818-52FD-4079-A014-C73226D934B1}"/>
    <cellStyle name="Normal 4 2 2 6 6 4" xfId="11028" xr:uid="{5FDB692B-4263-40C4-B996-6A8DCA585EAE}"/>
    <cellStyle name="Normal 4 2 2 6 7" xfId="4731" xr:uid="{00000000-0005-0000-0000-00001D130000}"/>
    <cellStyle name="Normal 4 2 2 6 7 2" xfId="21629" xr:uid="{2BCCF746-A520-4DDD-8CD8-1191F4E86B8D}"/>
    <cellStyle name="Normal 4 2 2 6 7 3" xfId="13181" xr:uid="{B55C4CDE-8733-4541-B4F7-42D03F865F0E}"/>
    <cellStyle name="Normal 4 2 2 6 8" xfId="17411" xr:uid="{3744DD75-EC47-47F8-843D-F066E79AB3DF}"/>
    <cellStyle name="Normal 4 2 2 6 9" xfId="8963" xr:uid="{78F2F283-F5F5-4003-A064-A630DE726DF3}"/>
    <cellStyle name="Normal 4 2 2 7" xfId="815" xr:uid="{00000000-0005-0000-0000-00001E130000}"/>
    <cellStyle name="Normal 4 2 2 7 2" xfId="3052" xr:uid="{00000000-0005-0000-0000-00001F130000}"/>
    <cellStyle name="Normal 4 2 2 7 2 2" xfId="7274" xr:uid="{00000000-0005-0000-0000-000020130000}"/>
    <cellStyle name="Normal 4 2 2 7 2 2 2" xfId="24172" xr:uid="{E3EB7D90-6439-4ACB-88C3-F90CEF87A770}"/>
    <cellStyle name="Normal 4 2 2 7 2 2 3" xfId="15724" xr:uid="{7DDFB8BF-A1DE-4092-886B-DE9B6D55A07C}"/>
    <cellStyle name="Normal 4 2 2 7 2 3" xfId="19954" xr:uid="{EC068195-E8D4-4A25-90AE-82D389ABB148}"/>
    <cellStyle name="Normal 4 2 2 7 2 4" xfId="11506" xr:uid="{D74476B4-1E48-401D-8493-DEA8C497A12C}"/>
    <cellStyle name="Normal 4 2 2 7 3" xfId="5129" xr:uid="{00000000-0005-0000-0000-000021130000}"/>
    <cellStyle name="Normal 4 2 2 7 3 2" xfId="22027" xr:uid="{37E094B9-CD0C-45E9-88CE-7C8F39B2E9A4}"/>
    <cellStyle name="Normal 4 2 2 7 3 3" xfId="13579" xr:uid="{96FD2726-96D7-4F46-BFBE-61BDA4C9374D}"/>
    <cellStyle name="Normal 4 2 2 7 4" xfId="17809" xr:uid="{69D69062-C3A8-46C4-8942-D46D0D3CACD9}"/>
    <cellStyle name="Normal 4 2 2 7 5" xfId="9361" xr:uid="{38536F24-0F19-48B7-9DBA-42B131D7D560}"/>
    <cellStyle name="Normal 4 2 2 8" xfId="1235" xr:uid="{00000000-0005-0000-0000-000022130000}"/>
    <cellStyle name="Normal 4 2 2 8 2" xfId="3465" xr:uid="{00000000-0005-0000-0000-000023130000}"/>
    <cellStyle name="Normal 4 2 2 8 2 2" xfId="7687" xr:uid="{00000000-0005-0000-0000-000024130000}"/>
    <cellStyle name="Normal 4 2 2 8 2 2 2" xfId="24585" xr:uid="{169CE7C2-1656-4FF4-AF5F-7D4E11C1883C}"/>
    <cellStyle name="Normal 4 2 2 8 2 2 3" xfId="16137" xr:uid="{D6435754-0951-4D50-9846-EF90A6D3FEB5}"/>
    <cellStyle name="Normal 4 2 2 8 2 3" xfId="20367" xr:uid="{B68C3FEA-ADEF-452B-8130-F34C80ECCB2A}"/>
    <cellStyle name="Normal 4 2 2 8 2 4" xfId="11919" xr:uid="{238843CC-A070-4049-9D04-200B6CB190DC}"/>
    <cellStyle name="Normal 4 2 2 8 3" xfId="5542" xr:uid="{00000000-0005-0000-0000-000025130000}"/>
    <cellStyle name="Normal 4 2 2 8 3 2" xfId="22440" xr:uid="{C3F9FF02-4187-442F-AFD6-9ADDD192D3A0}"/>
    <cellStyle name="Normal 4 2 2 8 3 3" xfId="13992" xr:uid="{DEB68E00-9E0A-4A49-A9A2-961584769472}"/>
    <cellStyle name="Normal 4 2 2 8 4" xfId="18222" xr:uid="{2A7FFC81-8774-49FC-AE4F-495ED268EF3F}"/>
    <cellStyle name="Normal 4 2 2 8 5" xfId="9774" xr:uid="{47AD1A56-87CA-4251-BFCF-3B4920FAE7E0}"/>
    <cellStyle name="Normal 4 2 2 9" xfId="1648" xr:uid="{00000000-0005-0000-0000-000026130000}"/>
    <cellStyle name="Normal 4 2 2 9 2" xfId="3878" xr:uid="{00000000-0005-0000-0000-000027130000}"/>
    <cellStyle name="Normal 4 2 2 9 2 2" xfId="8100" xr:uid="{00000000-0005-0000-0000-000028130000}"/>
    <cellStyle name="Normal 4 2 2 9 2 2 2" xfId="24998" xr:uid="{33191D52-61CE-4E84-BE0C-2F38C638116F}"/>
    <cellStyle name="Normal 4 2 2 9 2 2 3" xfId="16550" xr:uid="{ADA05764-F8E0-4B11-9025-7C2E30B56A59}"/>
    <cellStyle name="Normal 4 2 2 9 2 3" xfId="20780" xr:uid="{189F63C5-065B-4203-9FB0-6D29ADED4602}"/>
    <cellStyle name="Normal 4 2 2 9 2 4" xfId="12332" xr:uid="{7A3EB8C1-25E3-4A09-B05C-EC8D67550F7C}"/>
    <cellStyle name="Normal 4 2 2 9 3" xfId="5955" xr:uid="{00000000-0005-0000-0000-000029130000}"/>
    <cellStyle name="Normal 4 2 2 9 3 2" xfId="22853" xr:uid="{56C30573-AA38-43D3-8BFA-D2018E59917B}"/>
    <cellStyle name="Normal 4 2 2 9 3 3" xfId="14405" xr:uid="{9A7CFFAA-BB42-4DAC-883A-8572A55018E1}"/>
    <cellStyle name="Normal 4 2 2 9 4" xfId="18635" xr:uid="{96283481-721C-4836-962A-30CED8A25F88}"/>
    <cellStyle name="Normal 4 2 2 9 5" xfId="10187" xr:uid="{0ABDF61B-8B98-4546-92A9-82E4C6EDC751}"/>
    <cellStyle name="Normal 4 2 3" xfId="354" xr:uid="{00000000-0005-0000-0000-00002A130000}"/>
    <cellStyle name="Normal 4 2 4" xfId="355" xr:uid="{00000000-0005-0000-0000-00002B130000}"/>
    <cellStyle name="Normal 4 2 4 10" xfId="4732" xr:uid="{00000000-0005-0000-0000-00002C130000}"/>
    <cellStyle name="Normal 4 2 4 10 2" xfId="21630" xr:uid="{8FDB8E21-6D36-4A8A-9716-C966C6FC2F64}"/>
    <cellStyle name="Normal 4 2 4 10 3" xfId="13182" xr:uid="{496035BC-BB69-40CD-9D4A-591D1098B7EE}"/>
    <cellStyle name="Normal 4 2 4 11" xfId="17412" xr:uid="{C77F2B8A-B209-4651-BFFE-1195AC2CDAC4}"/>
    <cellStyle name="Normal 4 2 4 12" xfId="8964" xr:uid="{5E7D0462-DDFF-4EBD-8073-C960720AF9BC}"/>
    <cellStyle name="Normal 4 2 4 2" xfId="356" xr:uid="{00000000-0005-0000-0000-00002D130000}"/>
    <cellStyle name="Normal 4 2 4 2 10" xfId="17413" xr:uid="{C8EA5609-3D85-4258-BAD6-166CDADBF0E2}"/>
    <cellStyle name="Normal 4 2 4 2 11" xfId="8965" xr:uid="{FB54A8F3-3C1A-45EA-B2E5-8AF39567B40E}"/>
    <cellStyle name="Normal 4 2 4 2 2" xfId="357" xr:uid="{00000000-0005-0000-0000-00002E130000}"/>
    <cellStyle name="Normal 4 2 4 2 2 10" xfId="8966" xr:uid="{A9C0B6BA-4C9C-4E74-9A1D-42D72084009B}"/>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24191" xr:uid="{E8621968-C818-4FEE-AA80-324854625186}"/>
    <cellStyle name="Normal 4 2 4 2 2 2 2 2 2 3" xfId="15743" xr:uid="{91C622D0-9646-4583-87A9-FFAD65BA1C6C}"/>
    <cellStyle name="Normal 4 2 4 2 2 2 2 2 3" xfId="19973" xr:uid="{E000E070-9B66-4FC2-820F-67AFE79F4D49}"/>
    <cellStyle name="Normal 4 2 4 2 2 2 2 2 4" xfId="11525" xr:uid="{8026B4E1-50AE-4142-82DE-9534B801B227}"/>
    <cellStyle name="Normal 4 2 4 2 2 2 2 3" xfId="5148" xr:uid="{00000000-0005-0000-0000-000033130000}"/>
    <cellStyle name="Normal 4 2 4 2 2 2 2 3 2" xfId="22046" xr:uid="{86E9012B-9FD8-4A58-A408-26673D5ED7F3}"/>
    <cellStyle name="Normal 4 2 4 2 2 2 2 3 3" xfId="13598" xr:uid="{A15845FF-3C7D-4D4F-BC39-BCF9EB12668E}"/>
    <cellStyle name="Normal 4 2 4 2 2 2 2 4" xfId="17828" xr:uid="{1C9A389B-A121-4219-A800-92F5E4545D2D}"/>
    <cellStyle name="Normal 4 2 4 2 2 2 2 5" xfId="9380" xr:uid="{B6AFA322-301E-4655-8570-DE6BB2BD8842}"/>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24604" xr:uid="{A4629284-7F37-41C0-BFB9-1AB7E329F180}"/>
    <cellStyle name="Normal 4 2 4 2 2 2 3 2 2 3" xfId="16156" xr:uid="{6138E1A9-86D1-44AF-82E1-F1F350F69ED7}"/>
    <cellStyle name="Normal 4 2 4 2 2 2 3 2 3" xfId="20386" xr:uid="{E621A9D2-128B-4F00-AFD5-8D9FAE8A78DE}"/>
    <cellStyle name="Normal 4 2 4 2 2 2 3 2 4" xfId="11938" xr:uid="{2389605A-8F90-4F6E-8ECC-E107390CAFE0}"/>
    <cellStyle name="Normal 4 2 4 2 2 2 3 3" xfId="5561" xr:uid="{00000000-0005-0000-0000-000037130000}"/>
    <cellStyle name="Normal 4 2 4 2 2 2 3 3 2" xfId="22459" xr:uid="{BAC4A35E-ADDD-4543-A9CC-0D2EA65C7C55}"/>
    <cellStyle name="Normal 4 2 4 2 2 2 3 3 3" xfId="14011" xr:uid="{9F0D8930-7E16-48B7-975C-0AF06A0DAC01}"/>
    <cellStyle name="Normal 4 2 4 2 2 2 3 4" xfId="18241" xr:uid="{86E885AF-CA53-43D4-81E7-918A60E7F963}"/>
    <cellStyle name="Normal 4 2 4 2 2 2 3 5" xfId="9793" xr:uid="{5F62974A-C0E1-4D5F-B67A-E6C37F9C3F34}"/>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25017" xr:uid="{7F084943-9A5F-436D-ABB2-EE6586249AEA}"/>
    <cellStyle name="Normal 4 2 4 2 2 2 4 2 2 3" xfId="16569" xr:uid="{1C5D1C9D-CF3A-44FD-9729-F2C89F60F7A1}"/>
    <cellStyle name="Normal 4 2 4 2 2 2 4 2 3" xfId="20799" xr:uid="{DDE690EA-BC55-4F39-9272-60A5EF372D09}"/>
    <cellStyle name="Normal 4 2 4 2 2 2 4 2 4" xfId="12351" xr:uid="{216A9EA9-DDED-4751-8ECD-6CF43AFB620C}"/>
    <cellStyle name="Normal 4 2 4 2 2 2 4 3" xfId="5974" xr:uid="{00000000-0005-0000-0000-00003B130000}"/>
    <cellStyle name="Normal 4 2 4 2 2 2 4 3 2" xfId="22872" xr:uid="{2984439D-974B-451B-8A2E-D21FFE3FDE03}"/>
    <cellStyle name="Normal 4 2 4 2 2 2 4 3 3" xfId="14424" xr:uid="{A78078E7-EC9B-4F35-888F-073A39B3247B}"/>
    <cellStyle name="Normal 4 2 4 2 2 2 4 4" xfId="18654" xr:uid="{6DB33DA3-7339-4E7F-AFA4-FDD97C04BD8F}"/>
    <cellStyle name="Normal 4 2 4 2 2 2 4 5" xfId="10206" xr:uid="{FD1AA779-C9B7-44C4-9D23-1CA3AA86C325}"/>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25430" xr:uid="{1BE9D4E2-E526-44D3-92A2-16DC8E30F24E}"/>
    <cellStyle name="Normal 4 2 4 2 2 2 5 2 2 3" xfId="16982" xr:uid="{E13D255A-DC1B-4870-8DC1-9CC776D18C0A}"/>
    <cellStyle name="Normal 4 2 4 2 2 2 5 2 3" xfId="21212" xr:uid="{B1F753DD-C83E-491B-BC98-C4E433606437}"/>
    <cellStyle name="Normal 4 2 4 2 2 2 5 2 4" xfId="12764" xr:uid="{884EB874-6D5F-4CD2-8EF0-9C7EF00D51CD}"/>
    <cellStyle name="Normal 4 2 4 2 2 2 5 3" xfId="6387" xr:uid="{00000000-0005-0000-0000-00003F130000}"/>
    <cellStyle name="Normal 4 2 4 2 2 2 5 3 2" xfId="23285" xr:uid="{4B57CCF2-EE3A-442F-A2F0-85DE0F25E812}"/>
    <cellStyle name="Normal 4 2 4 2 2 2 5 3 3" xfId="14837" xr:uid="{5901A927-EE71-4B5F-97D5-018112689CE2}"/>
    <cellStyle name="Normal 4 2 4 2 2 2 5 4" xfId="19067" xr:uid="{6FCE4D6E-D533-4BB9-99DA-21C7A03897EF}"/>
    <cellStyle name="Normal 4 2 4 2 2 2 5 5" xfId="10619" xr:uid="{12E19A02-009A-419D-82D7-D9FD0E96E112}"/>
    <cellStyle name="Normal 4 2 4 2 2 2 6" xfId="2517" xr:uid="{00000000-0005-0000-0000-000040130000}"/>
    <cellStyle name="Normal 4 2 4 2 2 2 6 2" xfId="6800" xr:uid="{00000000-0005-0000-0000-000041130000}"/>
    <cellStyle name="Normal 4 2 4 2 2 2 6 2 2" xfId="23698" xr:uid="{85DD2F51-15D1-41B6-AE39-50D3B837A809}"/>
    <cellStyle name="Normal 4 2 4 2 2 2 6 2 3" xfId="15250" xr:uid="{CE554B25-1DB7-4678-9C13-9A7E056DAD96}"/>
    <cellStyle name="Normal 4 2 4 2 2 2 6 3" xfId="19480" xr:uid="{ED000E06-99A8-4108-B440-A4DEB38F58B3}"/>
    <cellStyle name="Normal 4 2 4 2 2 2 6 4" xfId="11032" xr:uid="{E6C849F0-6450-4AB4-90C3-58C9CB9A87F8}"/>
    <cellStyle name="Normal 4 2 4 2 2 2 7" xfId="4735" xr:uid="{00000000-0005-0000-0000-000042130000}"/>
    <cellStyle name="Normal 4 2 4 2 2 2 7 2" xfId="21633" xr:uid="{40EA9C35-CE0B-4FEE-A8C7-85C55DB302B8}"/>
    <cellStyle name="Normal 4 2 4 2 2 2 7 3" xfId="13185" xr:uid="{8F05EAC4-0303-4020-8784-6D2572A9C594}"/>
    <cellStyle name="Normal 4 2 4 2 2 2 8" xfId="17415" xr:uid="{D5EB14EB-2697-4DEC-BB86-8FF037BAFCFA}"/>
    <cellStyle name="Normal 4 2 4 2 2 2 9" xfId="8967" xr:uid="{79E268A2-B225-49B2-9234-D45FF4DFA13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24190" xr:uid="{763967CC-8008-4AAE-8A5B-23E08A65136A}"/>
    <cellStyle name="Normal 4 2 4 2 2 3 2 2 3" xfId="15742" xr:uid="{50152BEC-ACFC-48F1-ADDD-26162A42C249}"/>
    <cellStyle name="Normal 4 2 4 2 2 3 2 3" xfId="19972" xr:uid="{B501A7E8-9148-45BD-A74F-E8283B5B521C}"/>
    <cellStyle name="Normal 4 2 4 2 2 3 2 4" xfId="11524" xr:uid="{50A8B1D1-7D7C-42FD-A5A4-33C4320463EA}"/>
    <cellStyle name="Normal 4 2 4 2 2 3 3" xfId="5147" xr:uid="{00000000-0005-0000-0000-000046130000}"/>
    <cellStyle name="Normal 4 2 4 2 2 3 3 2" xfId="22045" xr:uid="{7E92046F-01B2-4A89-A4C7-B79CEFA9D1FC}"/>
    <cellStyle name="Normal 4 2 4 2 2 3 3 3" xfId="13597" xr:uid="{3BE9F298-63E6-4CE7-AAD5-9B2047BB2D04}"/>
    <cellStyle name="Normal 4 2 4 2 2 3 4" xfId="17827" xr:uid="{32692398-4F68-4A00-8B91-2B71D0FDA840}"/>
    <cellStyle name="Normal 4 2 4 2 2 3 5" xfId="9379" xr:uid="{688E19EE-185D-404D-B2BD-C454BEF5810E}"/>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24603" xr:uid="{3DC5B176-B7A1-4C5D-9071-6D32AA904266}"/>
    <cellStyle name="Normal 4 2 4 2 2 4 2 2 3" xfId="16155" xr:uid="{576376D6-10C2-47B2-96A6-78D4697AA026}"/>
    <cellStyle name="Normal 4 2 4 2 2 4 2 3" xfId="20385" xr:uid="{10795CDF-4FD0-4C8E-991F-D2B90ED56087}"/>
    <cellStyle name="Normal 4 2 4 2 2 4 2 4" xfId="11937" xr:uid="{2B232983-ABE5-4387-A7D3-240F849B5264}"/>
    <cellStyle name="Normal 4 2 4 2 2 4 3" xfId="5560" xr:uid="{00000000-0005-0000-0000-00004A130000}"/>
    <cellStyle name="Normal 4 2 4 2 2 4 3 2" xfId="22458" xr:uid="{242301EE-B640-4007-8016-39C3CAAB11D6}"/>
    <cellStyle name="Normal 4 2 4 2 2 4 3 3" xfId="14010" xr:uid="{CE7579DB-DFFA-4C5F-9042-D7A7A89835DC}"/>
    <cellStyle name="Normal 4 2 4 2 2 4 4" xfId="18240" xr:uid="{5088A193-CA01-4FB2-919E-3BA0E945F521}"/>
    <cellStyle name="Normal 4 2 4 2 2 4 5" xfId="9792" xr:uid="{6D5C490B-FF69-4DB0-B720-9607E1524845}"/>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25016" xr:uid="{BF55FFB4-2BBF-45F1-A84A-38AD3FA5B747}"/>
    <cellStyle name="Normal 4 2 4 2 2 5 2 2 3" xfId="16568" xr:uid="{9079EB12-BB30-45C6-9801-CA57672CDD66}"/>
    <cellStyle name="Normal 4 2 4 2 2 5 2 3" xfId="20798" xr:uid="{2B747467-AB94-44B1-A73B-329702585FBD}"/>
    <cellStyle name="Normal 4 2 4 2 2 5 2 4" xfId="12350" xr:uid="{A527F4DD-52DC-4BA7-B0C6-9A165E50C42C}"/>
    <cellStyle name="Normal 4 2 4 2 2 5 3" xfId="5973" xr:uid="{00000000-0005-0000-0000-00004E130000}"/>
    <cellStyle name="Normal 4 2 4 2 2 5 3 2" xfId="22871" xr:uid="{3A13BEE3-2C65-42CD-9F54-3A6C2202B75D}"/>
    <cellStyle name="Normal 4 2 4 2 2 5 3 3" xfId="14423" xr:uid="{36FE10B6-6359-4684-88DA-7F45CC9992CB}"/>
    <cellStyle name="Normal 4 2 4 2 2 5 4" xfId="18653" xr:uid="{115364E2-E330-411E-BB0B-314D95C5347B}"/>
    <cellStyle name="Normal 4 2 4 2 2 5 5" xfId="10205" xr:uid="{FD30D7C8-0003-48DE-8D71-A9B3F0743A35}"/>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25429" xr:uid="{E1B7FAAD-9CDA-476D-A65A-6A75EF729F69}"/>
    <cellStyle name="Normal 4 2 4 2 2 6 2 2 3" xfId="16981" xr:uid="{892A27CC-7091-4136-85C6-659FD2D3E998}"/>
    <cellStyle name="Normal 4 2 4 2 2 6 2 3" xfId="21211" xr:uid="{E8B00D7A-9E37-40EE-9DCA-769A267AEC10}"/>
    <cellStyle name="Normal 4 2 4 2 2 6 2 4" xfId="12763" xr:uid="{76C368AB-C755-4B20-B3F9-7A3833C25F1F}"/>
    <cellStyle name="Normal 4 2 4 2 2 6 3" xfId="6386" xr:uid="{00000000-0005-0000-0000-000052130000}"/>
    <cellStyle name="Normal 4 2 4 2 2 6 3 2" xfId="23284" xr:uid="{00C2808B-B8CE-4178-8245-F4E1414CBAC1}"/>
    <cellStyle name="Normal 4 2 4 2 2 6 3 3" xfId="14836" xr:uid="{B3CEACD4-E6A2-429B-8C13-E78C71E0B107}"/>
    <cellStyle name="Normal 4 2 4 2 2 6 4" xfId="19066" xr:uid="{BCE92945-0F68-47B4-BDEF-F4FD9CAE2AA9}"/>
    <cellStyle name="Normal 4 2 4 2 2 6 5" xfId="10618" xr:uid="{1A3AD974-8892-4EF6-886F-D40A271F5A2B}"/>
    <cellStyle name="Normal 4 2 4 2 2 7" xfId="2516" xr:uid="{00000000-0005-0000-0000-000053130000}"/>
    <cellStyle name="Normal 4 2 4 2 2 7 2" xfId="6799" xr:uid="{00000000-0005-0000-0000-000054130000}"/>
    <cellStyle name="Normal 4 2 4 2 2 7 2 2" xfId="23697" xr:uid="{1456EF4A-2BBC-4D90-B23F-1D27AB736643}"/>
    <cellStyle name="Normal 4 2 4 2 2 7 2 3" xfId="15249" xr:uid="{4B07DCC9-E0C8-4DD9-930E-1C2C42F98E2E}"/>
    <cellStyle name="Normal 4 2 4 2 2 7 3" xfId="19479" xr:uid="{1D96DB9D-6011-429B-A3E4-90541E8F764C}"/>
    <cellStyle name="Normal 4 2 4 2 2 7 4" xfId="11031" xr:uid="{C667E757-7DC1-41BA-8C33-8FE5C2C38577}"/>
    <cellStyle name="Normal 4 2 4 2 2 8" xfId="4734" xr:uid="{00000000-0005-0000-0000-000055130000}"/>
    <cellStyle name="Normal 4 2 4 2 2 8 2" xfId="21632" xr:uid="{7DE89C0B-C37A-4EE0-BF62-DA809A633601}"/>
    <cellStyle name="Normal 4 2 4 2 2 8 3" xfId="13184" xr:uid="{361FE3B4-10A4-4151-B857-944F07CC1C81}"/>
    <cellStyle name="Normal 4 2 4 2 2 9" xfId="17414" xr:uid="{87A4B9FB-C9D4-45CF-8B74-485F05F7241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24192" xr:uid="{B8727CAC-2D44-46C7-A52B-562EA85B1105}"/>
    <cellStyle name="Normal 4 2 4 2 3 2 2 2 3" xfId="15744" xr:uid="{5FDEC605-B2AE-4246-8CD7-626CC7A7D999}"/>
    <cellStyle name="Normal 4 2 4 2 3 2 2 3" xfId="19974" xr:uid="{7D689F94-8C90-4581-A53C-DA56437FDBFA}"/>
    <cellStyle name="Normal 4 2 4 2 3 2 2 4" xfId="11526" xr:uid="{0B5F1E7C-A9CA-4CDB-AF84-4E361F09BC91}"/>
    <cellStyle name="Normal 4 2 4 2 3 2 3" xfId="5149" xr:uid="{00000000-0005-0000-0000-00005A130000}"/>
    <cellStyle name="Normal 4 2 4 2 3 2 3 2" xfId="22047" xr:uid="{E8A40A4E-D5F8-4AF7-9E45-3129EDD5EAF5}"/>
    <cellStyle name="Normal 4 2 4 2 3 2 3 3" xfId="13599" xr:uid="{176E4888-FCC8-44B7-A594-F145D9E67647}"/>
    <cellStyle name="Normal 4 2 4 2 3 2 4" xfId="17829" xr:uid="{A5AC0316-0B77-4EEB-B3F4-C366F9CDE7A1}"/>
    <cellStyle name="Normal 4 2 4 2 3 2 5" xfId="9381" xr:uid="{94359E3B-1AEA-406E-A604-F8C4D1D27692}"/>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24605" xr:uid="{1B56A0ED-C248-4D9A-9439-85FDC8D2B9E1}"/>
    <cellStyle name="Normal 4 2 4 2 3 3 2 2 3" xfId="16157" xr:uid="{0E3D8065-B410-49EA-8E22-63CBC31D8ACA}"/>
    <cellStyle name="Normal 4 2 4 2 3 3 2 3" xfId="20387" xr:uid="{143A1852-F5DB-4D2C-A5B7-1DFD72C3F7B4}"/>
    <cellStyle name="Normal 4 2 4 2 3 3 2 4" xfId="11939" xr:uid="{EF008DFF-08BA-4A66-8291-0C15ECD25FFA}"/>
    <cellStyle name="Normal 4 2 4 2 3 3 3" xfId="5562" xr:uid="{00000000-0005-0000-0000-00005E130000}"/>
    <cellStyle name="Normal 4 2 4 2 3 3 3 2" xfId="22460" xr:uid="{75E6577F-7ECB-47D7-B946-C5D5BCE509E0}"/>
    <cellStyle name="Normal 4 2 4 2 3 3 3 3" xfId="14012" xr:uid="{9CD591CE-D7A1-4AA6-BBEC-0D9B1AF40B0D}"/>
    <cellStyle name="Normal 4 2 4 2 3 3 4" xfId="18242" xr:uid="{B25855F3-914A-4839-96DB-A84146C10431}"/>
    <cellStyle name="Normal 4 2 4 2 3 3 5" xfId="9794" xr:uid="{9724C0A7-201B-482A-AFD4-374C52DB7E9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25018" xr:uid="{2CCB902B-0995-4532-86E5-584FC71AA484}"/>
    <cellStyle name="Normal 4 2 4 2 3 4 2 2 3" xfId="16570" xr:uid="{E2D5A296-7756-49ED-BA4F-BD80F7797091}"/>
    <cellStyle name="Normal 4 2 4 2 3 4 2 3" xfId="20800" xr:uid="{F6A0AA45-10CB-47AF-AA12-A07A6EBD1727}"/>
    <cellStyle name="Normal 4 2 4 2 3 4 2 4" xfId="12352" xr:uid="{B5DE3DB9-45A6-43E9-A082-E7F21DD370EF}"/>
    <cellStyle name="Normal 4 2 4 2 3 4 3" xfId="5975" xr:uid="{00000000-0005-0000-0000-000062130000}"/>
    <cellStyle name="Normal 4 2 4 2 3 4 3 2" xfId="22873" xr:uid="{246AB1C6-CC37-4E4D-807B-368CE0A32FA9}"/>
    <cellStyle name="Normal 4 2 4 2 3 4 3 3" xfId="14425" xr:uid="{3D8A8E93-C594-4C0A-8985-EF1D8683563C}"/>
    <cellStyle name="Normal 4 2 4 2 3 4 4" xfId="18655" xr:uid="{F0BB443C-E197-44A2-9B1A-B9E86E2095E3}"/>
    <cellStyle name="Normal 4 2 4 2 3 4 5" xfId="10207" xr:uid="{5DA52D30-F4E4-429A-B4FB-6EEBDE4D25C5}"/>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25431" xr:uid="{BA8153DA-A66B-4412-9B19-C0E526B1A877}"/>
    <cellStyle name="Normal 4 2 4 2 3 5 2 2 3" xfId="16983" xr:uid="{DC81C676-D037-494F-A733-E591C4FDA79B}"/>
    <cellStyle name="Normal 4 2 4 2 3 5 2 3" xfId="21213" xr:uid="{98E34AB2-9B4D-423F-A5E8-8A392027BEC2}"/>
    <cellStyle name="Normal 4 2 4 2 3 5 2 4" xfId="12765" xr:uid="{1CA6F868-7025-48BA-8E0A-6A0153C3F1FD}"/>
    <cellStyle name="Normal 4 2 4 2 3 5 3" xfId="6388" xr:uid="{00000000-0005-0000-0000-000066130000}"/>
    <cellStyle name="Normal 4 2 4 2 3 5 3 2" xfId="23286" xr:uid="{DD325C1E-D135-409D-BD72-479F7977074C}"/>
    <cellStyle name="Normal 4 2 4 2 3 5 3 3" xfId="14838" xr:uid="{8AB65928-8458-4B9D-A69D-558087D01C9F}"/>
    <cellStyle name="Normal 4 2 4 2 3 5 4" xfId="19068" xr:uid="{04755CC8-F0A9-413D-96FD-D4DDEE75B75F}"/>
    <cellStyle name="Normal 4 2 4 2 3 5 5" xfId="10620" xr:uid="{799BC479-9ECD-4C9D-A4EB-DF6E7CC52FDA}"/>
    <cellStyle name="Normal 4 2 4 2 3 6" xfId="2518" xr:uid="{00000000-0005-0000-0000-000067130000}"/>
    <cellStyle name="Normal 4 2 4 2 3 6 2" xfId="6801" xr:uid="{00000000-0005-0000-0000-000068130000}"/>
    <cellStyle name="Normal 4 2 4 2 3 6 2 2" xfId="23699" xr:uid="{DE99F3DD-B56A-48FF-9482-D2E373D2D947}"/>
    <cellStyle name="Normal 4 2 4 2 3 6 2 3" xfId="15251" xr:uid="{ADE5FDE6-E6F3-44FE-81C7-6A1B08BC1F45}"/>
    <cellStyle name="Normal 4 2 4 2 3 6 3" xfId="19481" xr:uid="{41308CDB-3ECA-42D4-BC5A-1DDB60EA97B7}"/>
    <cellStyle name="Normal 4 2 4 2 3 6 4" xfId="11033" xr:uid="{98647D1C-89ED-46C7-8A0B-B28544066FCD}"/>
    <cellStyle name="Normal 4 2 4 2 3 7" xfId="4736" xr:uid="{00000000-0005-0000-0000-000069130000}"/>
    <cellStyle name="Normal 4 2 4 2 3 7 2" xfId="21634" xr:uid="{A6036AA9-909D-4FFC-ACEA-B495523B98E9}"/>
    <cellStyle name="Normal 4 2 4 2 3 7 3" xfId="13186" xr:uid="{814C1D25-B2DD-4A83-B5F6-23B9CE788CE3}"/>
    <cellStyle name="Normal 4 2 4 2 3 8" xfId="17416" xr:uid="{B9E2EDA5-1DE2-4B13-A53A-88A36F03FDCA}"/>
    <cellStyle name="Normal 4 2 4 2 3 9" xfId="8968" xr:uid="{9BE66C46-191C-47A7-A696-4FB405BFC63B}"/>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24189" xr:uid="{81C49EB6-DFC9-4820-92A4-B6EC6B23D014}"/>
    <cellStyle name="Normal 4 2 4 2 4 2 2 3" xfId="15741" xr:uid="{E69D31F1-BD6A-4CA5-85F2-7428BFD19C83}"/>
    <cellStyle name="Normal 4 2 4 2 4 2 3" xfId="19971" xr:uid="{D8BE8DE2-28C4-411D-95FE-FA6A5C9DD507}"/>
    <cellStyle name="Normal 4 2 4 2 4 2 4" xfId="11523" xr:uid="{705DB376-54C7-4CB3-92A9-A22A41C5AD9D}"/>
    <cellStyle name="Normal 4 2 4 2 4 3" xfId="5146" xr:uid="{00000000-0005-0000-0000-00006D130000}"/>
    <cellStyle name="Normal 4 2 4 2 4 3 2" xfId="22044" xr:uid="{743227F4-76F7-4061-9B45-FC8CA45DE751}"/>
    <cellStyle name="Normal 4 2 4 2 4 3 3" xfId="13596" xr:uid="{7C709D63-4831-49ED-9263-B0FF39CA6965}"/>
    <cellStyle name="Normal 4 2 4 2 4 4" xfId="17826" xr:uid="{80587D66-C337-4B35-B452-DD3EC7031B45}"/>
    <cellStyle name="Normal 4 2 4 2 4 5" xfId="9378" xr:uid="{F2A264FB-FC2A-4847-96AD-226E9C508A2C}"/>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24602" xr:uid="{086B4FD2-18F2-45D3-819D-C9A138199AAC}"/>
    <cellStyle name="Normal 4 2 4 2 5 2 2 3" xfId="16154" xr:uid="{95B49E88-D6A6-4B82-A50C-7260CBBC0D78}"/>
    <cellStyle name="Normal 4 2 4 2 5 2 3" xfId="20384" xr:uid="{2566E3F5-A5F4-4A70-A369-D51C0580721E}"/>
    <cellStyle name="Normal 4 2 4 2 5 2 4" xfId="11936" xr:uid="{1DDB25CC-C1A4-43F7-A540-6D57E93E3432}"/>
    <cellStyle name="Normal 4 2 4 2 5 3" xfId="5559" xr:uid="{00000000-0005-0000-0000-000071130000}"/>
    <cellStyle name="Normal 4 2 4 2 5 3 2" xfId="22457" xr:uid="{8DA7DB4C-DE07-4229-854C-F0174A7A2FBE}"/>
    <cellStyle name="Normal 4 2 4 2 5 3 3" xfId="14009" xr:uid="{3D552E1A-009D-433A-9A8B-8B63B25F7BC5}"/>
    <cellStyle name="Normal 4 2 4 2 5 4" xfId="18239" xr:uid="{B0C9F810-6A7E-4C41-8140-C026DC6815D7}"/>
    <cellStyle name="Normal 4 2 4 2 5 5" xfId="9791" xr:uid="{5382066B-70F1-4DAF-AF7D-6F79146FE329}"/>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25015" xr:uid="{C207173C-4155-46B4-8902-58E64B7A5569}"/>
    <cellStyle name="Normal 4 2 4 2 6 2 2 3" xfId="16567" xr:uid="{8108F20C-EB79-40BB-899D-2C9E65841FDB}"/>
    <cellStyle name="Normal 4 2 4 2 6 2 3" xfId="20797" xr:uid="{EBE34D10-1D66-49CA-A8F9-42DEC3C2C384}"/>
    <cellStyle name="Normal 4 2 4 2 6 2 4" xfId="12349" xr:uid="{D9DE3FB8-240C-4A96-AF6B-1C584AAA85B8}"/>
    <cellStyle name="Normal 4 2 4 2 6 3" xfId="5972" xr:uid="{00000000-0005-0000-0000-000075130000}"/>
    <cellStyle name="Normal 4 2 4 2 6 3 2" xfId="22870" xr:uid="{16353D25-EF21-4492-BC83-F853A6CDE0C7}"/>
    <cellStyle name="Normal 4 2 4 2 6 3 3" xfId="14422" xr:uid="{352EA850-1516-432E-8A12-AD69FD2A37C3}"/>
    <cellStyle name="Normal 4 2 4 2 6 4" xfId="18652" xr:uid="{E8773235-5C63-4975-B95E-C885DD78F98E}"/>
    <cellStyle name="Normal 4 2 4 2 6 5" xfId="10204" xr:uid="{16D5D0E5-68CB-43C1-85DD-8495374E48AD}"/>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25428" xr:uid="{BCFBD5FC-F393-4D09-9F32-34C6547533FD}"/>
    <cellStyle name="Normal 4 2 4 2 7 2 2 3" xfId="16980" xr:uid="{6AB6395A-0FB8-43DC-8AB4-AD5F3A8AC42E}"/>
    <cellStyle name="Normal 4 2 4 2 7 2 3" xfId="21210" xr:uid="{145AC9B4-136A-43C7-8DA5-2064AC11F127}"/>
    <cellStyle name="Normal 4 2 4 2 7 2 4" xfId="12762" xr:uid="{A855A15D-CBFE-45C1-8E6E-5403E0F7CAF6}"/>
    <cellStyle name="Normal 4 2 4 2 7 3" xfId="6385" xr:uid="{00000000-0005-0000-0000-000079130000}"/>
    <cellStyle name="Normal 4 2 4 2 7 3 2" xfId="23283" xr:uid="{97653219-67D8-46A0-9A2D-83CF66E57557}"/>
    <cellStyle name="Normal 4 2 4 2 7 3 3" xfId="14835" xr:uid="{0A0E12B1-26A8-427C-A30E-96A2C715F11A}"/>
    <cellStyle name="Normal 4 2 4 2 7 4" xfId="19065" xr:uid="{E597C296-07F0-4DAF-A39B-AAE882C6BDC0}"/>
    <cellStyle name="Normal 4 2 4 2 7 5" xfId="10617" xr:uid="{7DFF1AA1-73DC-4BED-A369-714793FF6B20}"/>
    <cellStyle name="Normal 4 2 4 2 8" xfId="2515" xr:uid="{00000000-0005-0000-0000-00007A130000}"/>
    <cellStyle name="Normal 4 2 4 2 8 2" xfId="6798" xr:uid="{00000000-0005-0000-0000-00007B130000}"/>
    <cellStyle name="Normal 4 2 4 2 8 2 2" xfId="23696" xr:uid="{AA9B049C-788A-46CC-AFF9-EDD8D2EA3682}"/>
    <cellStyle name="Normal 4 2 4 2 8 2 3" xfId="15248" xr:uid="{D496BBDE-69D0-41C8-9A66-BC259209AF73}"/>
    <cellStyle name="Normal 4 2 4 2 8 3" xfId="19478" xr:uid="{7742FF40-C1C8-40A8-B610-EE5FD5D987BE}"/>
    <cellStyle name="Normal 4 2 4 2 8 4" xfId="11030" xr:uid="{2DBA5031-0E48-4C6B-99FB-B248E836E6CC}"/>
    <cellStyle name="Normal 4 2 4 2 9" xfId="4733" xr:uid="{00000000-0005-0000-0000-00007C130000}"/>
    <cellStyle name="Normal 4 2 4 2 9 2" xfId="21631" xr:uid="{D64C7697-A846-44FA-9153-2C50F89FD65D}"/>
    <cellStyle name="Normal 4 2 4 2 9 3" xfId="13183" xr:uid="{DEA0B31F-13E0-4333-83DD-7B7496D8AF83}"/>
    <cellStyle name="Normal 4 2 4 3" xfId="360" xr:uid="{00000000-0005-0000-0000-00007D130000}"/>
    <cellStyle name="Normal 4 2 4 3 10" xfId="8969" xr:uid="{931A27AD-0D02-4257-A066-5BD9ED34F0ED}"/>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24194" xr:uid="{E543578B-5DEB-4E90-995E-A772387A15E0}"/>
    <cellStyle name="Normal 4 2 4 3 2 2 2 2 3" xfId="15746" xr:uid="{48E06442-5D52-435B-BCB5-EA0652C65197}"/>
    <cellStyle name="Normal 4 2 4 3 2 2 2 3" xfId="19976" xr:uid="{CA80BE01-A9E1-48B0-A1CB-29EEC52421A3}"/>
    <cellStyle name="Normal 4 2 4 3 2 2 2 4" xfId="11528" xr:uid="{C825DD79-67BA-4D8D-88B1-EAA9ECCA0A23}"/>
    <cellStyle name="Normal 4 2 4 3 2 2 3" xfId="5151" xr:uid="{00000000-0005-0000-0000-000082130000}"/>
    <cellStyle name="Normal 4 2 4 3 2 2 3 2" xfId="22049" xr:uid="{0A1DE2A8-4AA7-49FE-A275-A2C357B5275B}"/>
    <cellStyle name="Normal 4 2 4 3 2 2 3 3" xfId="13601" xr:uid="{1CBE5D82-3F0A-4E40-8474-A7C2C4A13FD8}"/>
    <cellStyle name="Normal 4 2 4 3 2 2 4" xfId="17831" xr:uid="{CEE93C20-2589-4008-8C2B-D1A9F5BBAFF4}"/>
    <cellStyle name="Normal 4 2 4 3 2 2 5" xfId="9383" xr:uid="{78D44B1A-BEE0-418F-A21E-DF517A0F61CC}"/>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24607" xr:uid="{3D73B2D7-19FA-40CC-A05C-BDE461007A19}"/>
    <cellStyle name="Normal 4 2 4 3 2 3 2 2 3" xfId="16159" xr:uid="{AC2FC0CD-0576-4A04-A325-22EFBCA16A8D}"/>
    <cellStyle name="Normal 4 2 4 3 2 3 2 3" xfId="20389" xr:uid="{3A2BC08B-707B-4A89-9E88-EAC67B8C4225}"/>
    <cellStyle name="Normal 4 2 4 3 2 3 2 4" xfId="11941" xr:uid="{9749723C-C2A9-44FB-BBD9-4F5975DD1403}"/>
    <cellStyle name="Normal 4 2 4 3 2 3 3" xfId="5564" xr:uid="{00000000-0005-0000-0000-000086130000}"/>
    <cellStyle name="Normal 4 2 4 3 2 3 3 2" xfId="22462" xr:uid="{CCB1863B-016D-4AB0-B4D1-895FC16A82F0}"/>
    <cellStyle name="Normal 4 2 4 3 2 3 3 3" xfId="14014" xr:uid="{896A0A92-4083-4D60-A287-2D8A6D96DED9}"/>
    <cellStyle name="Normal 4 2 4 3 2 3 4" xfId="18244" xr:uid="{E1233718-F501-488F-8308-50F62E5038F1}"/>
    <cellStyle name="Normal 4 2 4 3 2 3 5" xfId="9796" xr:uid="{E4DBDDDE-33A9-4A4E-A4BF-AC686B6C9F13}"/>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25020" xr:uid="{295AE994-ABFD-4049-99FF-1ACBFA8BEEC0}"/>
    <cellStyle name="Normal 4 2 4 3 2 4 2 2 3" xfId="16572" xr:uid="{5513683C-3E40-44AA-AE60-A05DD1D5875E}"/>
    <cellStyle name="Normal 4 2 4 3 2 4 2 3" xfId="20802" xr:uid="{F3597DDD-B987-435F-91E5-E710E870AE0A}"/>
    <cellStyle name="Normal 4 2 4 3 2 4 2 4" xfId="12354" xr:uid="{AB959742-1666-4715-8325-120ADB3B3992}"/>
    <cellStyle name="Normal 4 2 4 3 2 4 3" xfId="5977" xr:uid="{00000000-0005-0000-0000-00008A130000}"/>
    <cellStyle name="Normal 4 2 4 3 2 4 3 2" xfId="22875" xr:uid="{9FFFCFF1-F57F-45A9-B49F-1261FC8E1CC4}"/>
    <cellStyle name="Normal 4 2 4 3 2 4 3 3" xfId="14427" xr:uid="{1AA82D6F-D35B-4611-B1F3-9F219501178F}"/>
    <cellStyle name="Normal 4 2 4 3 2 4 4" xfId="18657" xr:uid="{DD0C9677-FE31-4E11-BB5D-D6CA4ABC6400}"/>
    <cellStyle name="Normal 4 2 4 3 2 4 5" xfId="10209" xr:uid="{051AE2CE-02FF-4096-90EF-EAD482BDD8F4}"/>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25433" xr:uid="{59D0F4BA-925F-49B0-8CB2-8D8E2A669DE5}"/>
    <cellStyle name="Normal 4 2 4 3 2 5 2 2 3" xfId="16985" xr:uid="{C8751CD5-12AC-4FDE-911A-0C51D5C5FFED}"/>
    <cellStyle name="Normal 4 2 4 3 2 5 2 3" xfId="21215" xr:uid="{421F9441-1CF8-451D-AF88-2A52654E7E1E}"/>
    <cellStyle name="Normal 4 2 4 3 2 5 2 4" xfId="12767" xr:uid="{A28D7E8F-FAD0-490C-8B75-325B53EDE1E9}"/>
    <cellStyle name="Normal 4 2 4 3 2 5 3" xfId="6390" xr:uid="{00000000-0005-0000-0000-00008E130000}"/>
    <cellStyle name="Normal 4 2 4 3 2 5 3 2" xfId="23288" xr:uid="{A001FF5E-0660-49B5-B945-E9451645E25B}"/>
    <cellStyle name="Normal 4 2 4 3 2 5 3 3" xfId="14840" xr:uid="{2828916D-CBC7-411F-B90D-C5EC0F669BFB}"/>
    <cellStyle name="Normal 4 2 4 3 2 5 4" xfId="19070" xr:uid="{A61C3A38-CB5F-4FB4-8BA1-C1CB52C4CC42}"/>
    <cellStyle name="Normal 4 2 4 3 2 5 5" xfId="10622" xr:uid="{7EBDD307-22FA-4A7C-9E6A-25336D8548CF}"/>
    <cellStyle name="Normal 4 2 4 3 2 6" xfId="2520" xr:uid="{00000000-0005-0000-0000-00008F130000}"/>
    <cellStyle name="Normal 4 2 4 3 2 6 2" xfId="6803" xr:uid="{00000000-0005-0000-0000-000090130000}"/>
    <cellStyle name="Normal 4 2 4 3 2 6 2 2" xfId="23701" xr:uid="{E90BE7E5-8BD1-41FE-BFD1-B769D22FB119}"/>
    <cellStyle name="Normal 4 2 4 3 2 6 2 3" xfId="15253" xr:uid="{4134D573-5A53-4440-9D5E-7CE48BE9C754}"/>
    <cellStyle name="Normal 4 2 4 3 2 6 3" xfId="19483" xr:uid="{DFC64E72-D704-450F-86BA-D9DEE55AA822}"/>
    <cellStyle name="Normal 4 2 4 3 2 6 4" xfId="11035" xr:uid="{0E6A31C6-4C9C-4C79-AF66-730DB0D8AB28}"/>
    <cellStyle name="Normal 4 2 4 3 2 7" xfId="4738" xr:uid="{00000000-0005-0000-0000-000091130000}"/>
    <cellStyle name="Normal 4 2 4 3 2 7 2" xfId="21636" xr:uid="{51B9DE5A-D011-4DB3-BAD8-AE23698EA845}"/>
    <cellStyle name="Normal 4 2 4 3 2 7 3" xfId="13188" xr:uid="{2FF07349-477D-4690-8E4D-30C4493F6321}"/>
    <cellStyle name="Normal 4 2 4 3 2 8" xfId="17418" xr:uid="{B7303022-043C-437B-96FD-F8AC0926000C}"/>
    <cellStyle name="Normal 4 2 4 3 2 9" xfId="8970" xr:uid="{84829A3D-72F0-400A-B86D-1C5549F38CBC}"/>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24193" xr:uid="{B13E6D33-BD9D-4EAE-AD4F-98C0D76F1D3C}"/>
    <cellStyle name="Normal 4 2 4 3 3 2 2 3" xfId="15745" xr:uid="{42CD1671-B349-430E-9EDB-71FD64AF3972}"/>
    <cellStyle name="Normal 4 2 4 3 3 2 3" xfId="19975" xr:uid="{84439AD4-6A12-4689-8248-41FCE104C9CA}"/>
    <cellStyle name="Normal 4 2 4 3 3 2 4" xfId="11527" xr:uid="{D15121E3-9FF9-410C-926E-2A1D2C930651}"/>
    <cellStyle name="Normal 4 2 4 3 3 3" xfId="5150" xr:uid="{00000000-0005-0000-0000-000095130000}"/>
    <cellStyle name="Normal 4 2 4 3 3 3 2" xfId="22048" xr:uid="{9C93DC64-ED42-4DBB-959C-8E090B1BD228}"/>
    <cellStyle name="Normal 4 2 4 3 3 3 3" xfId="13600" xr:uid="{16FBC26F-3179-4BE6-A2A0-724FE95D7488}"/>
    <cellStyle name="Normal 4 2 4 3 3 4" xfId="17830" xr:uid="{5ABC933C-8DAE-4909-B0BD-7A9EA303624D}"/>
    <cellStyle name="Normal 4 2 4 3 3 5" xfId="9382" xr:uid="{C7BDA85F-C50D-4726-BD80-1B13A85BF214}"/>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24606" xr:uid="{2F3CA426-96DA-4FFD-8C21-98E43142CA59}"/>
    <cellStyle name="Normal 4 2 4 3 4 2 2 3" xfId="16158" xr:uid="{B7DF36D7-7A55-4EB6-B848-539446A08C82}"/>
    <cellStyle name="Normal 4 2 4 3 4 2 3" xfId="20388" xr:uid="{5BFBE0DD-E882-4210-B1BA-ADBF9DC9BDDE}"/>
    <cellStyle name="Normal 4 2 4 3 4 2 4" xfId="11940" xr:uid="{C23E9D27-B8DE-45BD-B81D-255B31EEFA4B}"/>
    <cellStyle name="Normal 4 2 4 3 4 3" xfId="5563" xr:uid="{00000000-0005-0000-0000-000099130000}"/>
    <cellStyle name="Normal 4 2 4 3 4 3 2" xfId="22461" xr:uid="{350D8BAE-747F-4898-9A77-53348A3D2198}"/>
    <cellStyle name="Normal 4 2 4 3 4 3 3" xfId="14013" xr:uid="{B34586E1-4EBE-4E0A-B90F-1F63A7695534}"/>
    <cellStyle name="Normal 4 2 4 3 4 4" xfId="18243" xr:uid="{4028A024-E278-4052-A77C-6E14ADD41494}"/>
    <cellStyle name="Normal 4 2 4 3 4 5" xfId="9795" xr:uid="{3BE408B2-7BBD-4657-8481-64D6765F152B}"/>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25019" xr:uid="{A3509DD4-0ADE-4D98-BDA0-FE79F3E8F3C3}"/>
    <cellStyle name="Normal 4 2 4 3 5 2 2 3" xfId="16571" xr:uid="{43FD1067-C369-43DA-9080-12AC0EBCB0E9}"/>
    <cellStyle name="Normal 4 2 4 3 5 2 3" xfId="20801" xr:uid="{95891C8E-4EEB-416F-AB84-0386E38764A9}"/>
    <cellStyle name="Normal 4 2 4 3 5 2 4" xfId="12353" xr:uid="{3969BF11-A03D-44FF-B1AD-3754032EDB84}"/>
    <cellStyle name="Normal 4 2 4 3 5 3" xfId="5976" xr:uid="{00000000-0005-0000-0000-00009D130000}"/>
    <cellStyle name="Normal 4 2 4 3 5 3 2" xfId="22874" xr:uid="{FCABCC3C-32EA-489A-80D5-35F07EB884BB}"/>
    <cellStyle name="Normal 4 2 4 3 5 3 3" xfId="14426" xr:uid="{BD6EB66D-EE19-4AB2-9C13-7BAB8769E700}"/>
    <cellStyle name="Normal 4 2 4 3 5 4" xfId="18656" xr:uid="{E2E0E579-23E2-456A-82A4-39D4DA1C45CA}"/>
    <cellStyle name="Normal 4 2 4 3 5 5" xfId="10208" xr:uid="{2A5480D6-C365-42B4-A4C4-13AEB0A19D36}"/>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25432" xr:uid="{7D61FBED-58B4-42F7-96E9-8A4F82FD5B6A}"/>
    <cellStyle name="Normal 4 2 4 3 6 2 2 3" xfId="16984" xr:uid="{759FF93E-9D1F-4041-8792-10BA5E1E6F29}"/>
    <cellStyle name="Normal 4 2 4 3 6 2 3" xfId="21214" xr:uid="{6EF82E19-561C-4BA0-BA22-16DC6215B57E}"/>
    <cellStyle name="Normal 4 2 4 3 6 2 4" xfId="12766" xr:uid="{FF793BE8-A62E-4D44-9327-76E0A726BC0E}"/>
    <cellStyle name="Normal 4 2 4 3 6 3" xfId="6389" xr:uid="{00000000-0005-0000-0000-0000A1130000}"/>
    <cellStyle name="Normal 4 2 4 3 6 3 2" xfId="23287" xr:uid="{01CB6D15-3D8B-4452-BFEB-9252F4746110}"/>
    <cellStyle name="Normal 4 2 4 3 6 3 3" xfId="14839" xr:uid="{ABB45C1E-5FF2-48D6-A0FF-163E38B87219}"/>
    <cellStyle name="Normal 4 2 4 3 6 4" xfId="19069" xr:uid="{E0334DEB-086E-4E8E-8853-F5D5558F2B1F}"/>
    <cellStyle name="Normal 4 2 4 3 6 5" xfId="10621" xr:uid="{9A0A63BD-2243-4B02-8184-789DAFD483D7}"/>
    <cellStyle name="Normal 4 2 4 3 7" xfId="2519" xr:uid="{00000000-0005-0000-0000-0000A2130000}"/>
    <cellStyle name="Normal 4 2 4 3 7 2" xfId="6802" xr:uid="{00000000-0005-0000-0000-0000A3130000}"/>
    <cellStyle name="Normal 4 2 4 3 7 2 2" xfId="23700" xr:uid="{C4D0BE63-7F4A-46D7-836E-C5DCBBFF1D75}"/>
    <cellStyle name="Normal 4 2 4 3 7 2 3" xfId="15252" xr:uid="{940D4777-A89E-41F4-8D3D-AD5D24E5118D}"/>
    <cellStyle name="Normal 4 2 4 3 7 3" xfId="19482" xr:uid="{10FD2126-EA22-4E78-B983-C8332C4EEB4F}"/>
    <cellStyle name="Normal 4 2 4 3 7 4" xfId="11034" xr:uid="{32C9530C-372E-46AB-B5D1-D2084B03B5DD}"/>
    <cellStyle name="Normal 4 2 4 3 8" xfId="4737" xr:uid="{00000000-0005-0000-0000-0000A4130000}"/>
    <cellStyle name="Normal 4 2 4 3 8 2" xfId="21635" xr:uid="{B0E71E6A-ABC7-45DE-8DBD-B362535B4E86}"/>
    <cellStyle name="Normal 4 2 4 3 8 3" xfId="13187" xr:uid="{CE33290B-7285-4ABE-81D8-AD900C07906D}"/>
    <cellStyle name="Normal 4 2 4 3 9" xfId="17417" xr:uid="{A6705985-D655-46DA-BFF0-B15E18E5915D}"/>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24195" xr:uid="{000F9358-9A66-432D-B198-2C626A077648}"/>
    <cellStyle name="Normal 4 2 4 4 2 2 2 3" xfId="15747" xr:uid="{EDCC83F6-DDB6-4A2E-8057-8020ECBB2279}"/>
    <cellStyle name="Normal 4 2 4 4 2 2 3" xfId="19977" xr:uid="{96CE39D2-C505-43B3-8B41-676C50F62A4C}"/>
    <cellStyle name="Normal 4 2 4 4 2 2 4" xfId="11529" xr:uid="{31B14A16-D2B5-4DEF-913D-488839FDC7AD}"/>
    <cellStyle name="Normal 4 2 4 4 2 3" xfId="5152" xr:uid="{00000000-0005-0000-0000-0000A9130000}"/>
    <cellStyle name="Normal 4 2 4 4 2 3 2" xfId="22050" xr:uid="{6344DA33-F626-48FE-B864-0F65474EC328}"/>
    <cellStyle name="Normal 4 2 4 4 2 3 3" xfId="13602" xr:uid="{D6A5D3DF-EDC0-4CF0-AB4C-3DBC3176FA07}"/>
    <cellStyle name="Normal 4 2 4 4 2 4" xfId="17832" xr:uid="{A3D2E2BE-BF74-4A93-BAD1-F79351EB40A4}"/>
    <cellStyle name="Normal 4 2 4 4 2 5" xfId="9384" xr:uid="{CDD9D4C2-08CC-41E4-864E-827625AEE421}"/>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24608" xr:uid="{1561C41F-50AB-4F95-B616-46AEBA01D0F9}"/>
    <cellStyle name="Normal 4 2 4 4 3 2 2 3" xfId="16160" xr:uid="{9352512A-5EA9-4751-A8C2-8C74E8310F24}"/>
    <cellStyle name="Normal 4 2 4 4 3 2 3" xfId="20390" xr:uid="{4EA6F8A4-E8CD-44E0-96F7-18669BB92006}"/>
    <cellStyle name="Normal 4 2 4 4 3 2 4" xfId="11942" xr:uid="{63DF87A1-1ADB-4DA9-90C4-AC67DEA3FDC1}"/>
    <cellStyle name="Normal 4 2 4 4 3 3" xfId="5565" xr:uid="{00000000-0005-0000-0000-0000AD130000}"/>
    <cellStyle name="Normal 4 2 4 4 3 3 2" xfId="22463" xr:uid="{F0EF30F9-AE9D-4736-B366-8CEDB5871A40}"/>
    <cellStyle name="Normal 4 2 4 4 3 3 3" xfId="14015" xr:uid="{A22792CC-C756-4CD0-8D6B-3DA370E7C65C}"/>
    <cellStyle name="Normal 4 2 4 4 3 4" xfId="18245" xr:uid="{AE683365-6A99-4058-82D9-926B69C7DFD4}"/>
    <cellStyle name="Normal 4 2 4 4 3 5" xfId="9797" xr:uid="{5CAE8893-20D7-4196-8715-B053DC39C79D}"/>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25021" xr:uid="{FB05A8ED-8FD7-4D92-9771-48DD693429F3}"/>
    <cellStyle name="Normal 4 2 4 4 4 2 2 3" xfId="16573" xr:uid="{A9130CD8-C831-4EC5-840D-A2B384B8B6DF}"/>
    <cellStyle name="Normal 4 2 4 4 4 2 3" xfId="20803" xr:uid="{96C4F118-A43E-4B29-A01B-13F57152473D}"/>
    <cellStyle name="Normal 4 2 4 4 4 2 4" xfId="12355" xr:uid="{2F2C402E-81C2-432D-8578-FF651D769341}"/>
    <cellStyle name="Normal 4 2 4 4 4 3" xfId="5978" xr:uid="{00000000-0005-0000-0000-0000B1130000}"/>
    <cellStyle name="Normal 4 2 4 4 4 3 2" xfId="22876" xr:uid="{44399B78-920D-4D78-8EE8-AE0F91E04882}"/>
    <cellStyle name="Normal 4 2 4 4 4 3 3" xfId="14428" xr:uid="{135EE5E2-873A-4ED3-997F-310A91290AF2}"/>
    <cellStyle name="Normal 4 2 4 4 4 4" xfId="18658" xr:uid="{A520B914-4354-4C3D-9C13-EB55426A7F72}"/>
    <cellStyle name="Normal 4 2 4 4 4 5" xfId="10210" xr:uid="{6EF9B7E0-D154-46C7-94C3-C4793C28C904}"/>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25434" xr:uid="{609D4BCE-0988-44DD-80D5-E53F9A300B19}"/>
    <cellStyle name="Normal 4 2 4 4 5 2 2 3" xfId="16986" xr:uid="{033A3E59-D48C-4E31-81A2-8A958F709085}"/>
    <cellStyle name="Normal 4 2 4 4 5 2 3" xfId="21216" xr:uid="{3456C0C3-E928-47DD-9FBE-D0409A86BB8D}"/>
    <cellStyle name="Normal 4 2 4 4 5 2 4" xfId="12768" xr:uid="{0196111D-A9E0-4231-9B6B-54D493A47D17}"/>
    <cellStyle name="Normal 4 2 4 4 5 3" xfId="6391" xr:uid="{00000000-0005-0000-0000-0000B5130000}"/>
    <cellStyle name="Normal 4 2 4 4 5 3 2" xfId="23289" xr:uid="{A59FE20F-3C17-45ED-915D-D6E123CD4C4B}"/>
    <cellStyle name="Normal 4 2 4 4 5 3 3" xfId="14841" xr:uid="{D4C2A7AF-D950-43A5-8060-E611C0E28F6E}"/>
    <cellStyle name="Normal 4 2 4 4 5 4" xfId="19071" xr:uid="{7A26BBA4-A713-4D1F-8EFF-AB5CC25EEC45}"/>
    <cellStyle name="Normal 4 2 4 4 5 5" xfId="10623" xr:uid="{DB93AC76-55B3-46DE-933F-F9240D86A30C}"/>
    <cellStyle name="Normal 4 2 4 4 6" xfId="2521" xr:uid="{00000000-0005-0000-0000-0000B6130000}"/>
    <cellStyle name="Normal 4 2 4 4 6 2" xfId="6804" xr:uid="{00000000-0005-0000-0000-0000B7130000}"/>
    <cellStyle name="Normal 4 2 4 4 6 2 2" xfId="23702" xr:uid="{ABCCBCF4-2B52-4038-91EB-A8F62A3D4182}"/>
    <cellStyle name="Normal 4 2 4 4 6 2 3" xfId="15254" xr:uid="{3208D6E7-5020-4212-9C5C-8C06EF7FD2F0}"/>
    <cellStyle name="Normal 4 2 4 4 6 3" xfId="19484" xr:uid="{F33171AF-F395-449A-90A7-147599B674D8}"/>
    <cellStyle name="Normal 4 2 4 4 6 4" xfId="11036" xr:uid="{C5760BB7-FEB5-495A-9DF7-071E6AD73654}"/>
    <cellStyle name="Normal 4 2 4 4 7" xfId="4739" xr:uid="{00000000-0005-0000-0000-0000B8130000}"/>
    <cellStyle name="Normal 4 2 4 4 7 2" xfId="21637" xr:uid="{13195C1B-B2AA-4182-B355-EE153C95A1BC}"/>
    <cellStyle name="Normal 4 2 4 4 7 3" xfId="13189" xr:uid="{C2135482-53F1-471E-8CD7-CB4CA68F9634}"/>
    <cellStyle name="Normal 4 2 4 4 8" xfId="17419" xr:uid="{41DEC72D-784A-408C-8FB1-13541C823BD0}"/>
    <cellStyle name="Normal 4 2 4 4 9" xfId="8971" xr:uid="{FB50920B-AFBA-466E-9DFD-4AE7DDB08F3D}"/>
    <cellStyle name="Normal 4 2 4 5" xfId="831" xr:uid="{00000000-0005-0000-0000-0000B9130000}"/>
    <cellStyle name="Normal 4 2 4 5 2" xfId="3068" xr:uid="{00000000-0005-0000-0000-0000BA130000}"/>
    <cellStyle name="Normal 4 2 4 5 2 2" xfId="7290" xr:uid="{00000000-0005-0000-0000-0000BB130000}"/>
    <cellStyle name="Normal 4 2 4 5 2 2 2" xfId="24188" xr:uid="{5C640AB7-3DA8-4C44-84C6-DA4264199D51}"/>
    <cellStyle name="Normal 4 2 4 5 2 2 3" xfId="15740" xr:uid="{87830C50-09F8-42D8-9104-2C7D9FD5E10D}"/>
    <cellStyle name="Normal 4 2 4 5 2 3" xfId="19970" xr:uid="{E8CC1C24-6017-44F4-8069-DA175C831B28}"/>
    <cellStyle name="Normal 4 2 4 5 2 4" xfId="11522" xr:uid="{53320284-E871-4D78-8A01-0364EDA5C095}"/>
    <cellStyle name="Normal 4 2 4 5 3" xfId="5145" xr:uid="{00000000-0005-0000-0000-0000BC130000}"/>
    <cellStyle name="Normal 4 2 4 5 3 2" xfId="22043" xr:uid="{03D6B35B-4128-4498-9C5B-3B603ABAF661}"/>
    <cellStyle name="Normal 4 2 4 5 3 3" xfId="13595" xr:uid="{843AED91-0C0D-4DEA-9408-64DBE1A5CFE1}"/>
    <cellStyle name="Normal 4 2 4 5 4" xfId="17825" xr:uid="{6116C620-A281-4C1B-BFD3-15DDD2FE95BF}"/>
    <cellStyle name="Normal 4 2 4 5 5" xfId="9377" xr:uid="{58288E99-01D9-40E9-9A32-E26A326E1F5C}"/>
    <cellStyle name="Normal 4 2 4 6" xfId="1251" xr:uid="{00000000-0005-0000-0000-0000BD130000}"/>
    <cellStyle name="Normal 4 2 4 6 2" xfId="3481" xr:uid="{00000000-0005-0000-0000-0000BE130000}"/>
    <cellStyle name="Normal 4 2 4 6 2 2" xfId="7703" xr:uid="{00000000-0005-0000-0000-0000BF130000}"/>
    <cellStyle name="Normal 4 2 4 6 2 2 2" xfId="24601" xr:uid="{241FA2C5-D6F6-4FD9-9414-3F85668E06F5}"/>
    <cellStyle name="Normal 4 2 4 6 2 2 3" xfId="16153" xr:uid="{C3C88294-00C3-48A0-9F75-502679C20703}"/>
    <cellStyle name="Normal 4 2 4 6 2 3" xfId="20383" xr:uid="{DC10B924-8082-42A1-B055-F40C1EBC436B}"/>
    <cellStyle name="Normal 4 2 4 6 2 4" xfId="11935" xr:uid="{138D19EC-6EAC-4B5F-8BD8-C1878D2D0714}"/>
    <cellStyle name="Normal 4 2 4 6 3" xfId="5558" xr:uid="{00000000-0005-0000-0000-0000C0130000}"/>
    <cellStyle name="Normal 4 2 4 6 3 2" xfId="22456" xr:uid="{DDC122C6-2CEC-47F3-9DB5-BFF0287DAA00}"/>
    <cellStyle name="Normal 4 2 4 6 3 3" xfId="14008" xr:uid="{556C442C-86DC-4E64-B39C-2C5D61D4BD3A}"/>
    <cellStyle name="Normal 4 2 4 6 4" xfId="18238" xr:uid="{0B4BB10E-7AD5-4F88-88F5-8F46F8BD901D}"/>
    <cellStyle name="Normal 4 2 4 6 5" xfId="9790" xr:uid="{0E6A3166-D27E-4385-AEF0-27F382E0E023}"/>
    <cellStyle name="Normal 4 2 4 7" xfId="1664" xr:uid="{00000000-0005-0000-0000-0000C1130000}"/>
    <cellStyle name="Normal 4 2 4 7 2" xfId="3894" xr:uid="{00000000-0005-0000-0000-0000C2130000}"/>
    <cellStyle name="Normal 4 2 4 7 2 2" xfId="8116" xr:uid="{00000000-0005-0000-0000-0000C3130000}"/>
    <cellStyle name="Normal 4 2 4 7 2 2 2" xfId="25014" xr:uid="{67C20B5E-C337-4776-B39A-F698E498CA25}"/>
    <cellStyle name="Normal 4 2 4 7 2 2 3" xfId="16566" xr:uid="{BCFEC83C-DD90-435F-8187-50DE0236CCBA}"/>
    <cellStyle name="Normal 4 2 4 7 2 3" xfId="20796" xr:uid="{C0FDD904-6146-4522-A818-962697FA64E5}"/>
    <cellStyle name="Normal 4 2 4 7 2 4" xfId="12348" xr:uid="{AEE0EE62-0C61-4435-9616-EF564D7FDBA8}"/>
    <cellStyle name="Normal 4 2 4 7 3" xfId="5971" xr:uid="{00000000-0005-0000-0000-0000C4130000}"/>
    <cellStyle name="Normal 4 2 4 7 3 2" xfId="22869" xr:uid="{B5E56E33-5F64-4768-BEF3-172D49EB49CA}"/>
    <cellStyle name="Normal 4 2 4 7 3 3" xfId="14421" xr:uid="{D73A94AA-6030-45CE-9FDF-07643E90C007}"/>
    <cellStyle name="Normal 4 2 4 7 4" xfId="18651" xr:uid="{26A9662A-95A7-4B0F-BB86-A40E02C82CD6}"/>
    <cellStyle name="Normal 4 2 4 7 5" xfId="10203" xr:uid="{97794682-481C-41AD-9E84-4F989B8906C4}"/>
    <cellStyle name="Normal 4 2 4 8" xfId="2078" xr:uid="{00000000-0005-0000-0000-0000C5130000}"/>
    <cellStyle name="Normal 4 2 4 8 2" xfId="4307" xr:uid="{00000000-0005-0000-0000-0000C6130000}"/>
    <cellStyle name="Normal 4 2 4 8 2 2" xfId="8529" xr:uid="{00000000-0005-0000-0000-0000C7130000}"/>
    <cellStyle name="Normal 4 2 4 8 2 2 2" xfId="25427" xr:uid="{48E32DED-ED7B-4414-91B5-A9E7842A677F}"/>
    <cellStyle name="Normal 4 2 4 8 2 2 3" xfId="16979" xr:uid="{D7AFFFFC-444C-4873-A545-09D96A4A7045}"/>
    <cellStyle name="Normal 4 2 4 8 2 3" xfId="21209" xr:uid="{9C904EDE-2F0A-4838-824B-E6B21C30F056}"/>
    <cellStyle name="Normal 4 2 4 8 2 4" xfId="12761" xr:uid="{D1D34E58-DA51-41E9-8579-BE96ED44906B}"/>
    <cellStyle name="Normal 4 2 4 8 3" xfId="6384" xr:uid="{00000000-0005-0000-0000-0000C8130000}"/>
    <cellStyle name="Normal 4 2 4 8 3 2" xfId="23282" xr:uid="{A88F26B2-A776-471D-B5AC-35D79EC30E14}"/>
    <cellStyle name="Normal 4 2 4 8 3 3" xfId="14834" xr:uid="{5D5F7C4F-15B7-4D77-9BE1-5C3E5A577531}"/>
    <cellStyle name="Normal 4 2 4 8 4" xfId="19064" xr:uid="{A2BCE9BB-02E4-49B7-820E-7E512B6F1C07}"/>
    <cellStyle name="Normal 4 2 4 8 5" xfId="10616" xr:uid="{7CE96BEC-26F8-4334-A5ED-7A8FBE13B789}"/>
    <cellStyle name="Normal 4 2 4 9" xfId="2514" xr:uid="{00000000-0005-0000-0000-0000C9130000}"/>
    <cellStyle name="Normal 4 2 4 9 2" xfId="6797" xr:uid="{00000000-0005-0000-0000-0000CA130000}"/>
    <cellStyle name="Normal 4 2 4 9 2 2" xfId="23695" xr:uid="{863744C2-E336-47BC-8D97-78976B519271}"/>
    <cellStyle name="Normal 4 2 4 9 2 3" xfId="15247" xr:uid="{444745B5-EF25-44AA-8570-57CED172C186}"/>
    <cellStyle name="Normal 4 2 4 9 3" xfId="19477" xr:uid="{CC179B74-8608-4738-9EFB-B156DB6C85B8}"/>
    <cellStyle name="Normal 4 2 4 9 4" xfId="11029" xr:uid="{E469ED5A-4253-451D-AA7B-DBB30DCC8EB9}"/>
    <cellStyle name="Normal 4 2 5" xfId="363" xr:uid="{00000000-0005-0000-0000-0000CB130000}"/>
    <cellStyle name="Normal 4 2 5 10" xfId="8972" xr:uid="{227242A0-041A-4F97-AA06-674B93044C12}"/>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24197" xr:uid="{B0D7D1D9-5949-4E4D-A59C-3C9342184B9F}"/>
    <cellStyle name="Normal 4 2 5 2 2 2 2 3" xfId="15749" xr:uid="{D7E0128C-0D47-4999-8A63-153AD0E27D90}"/>
    <cellStyle name="Normal 4 2 5 2 2 2 3" xfId="19979" xr:uid="{DFD50EC3-26AB-45DA-AF2A-54DC0FDD2478}"/>
    <cellStyle name="Normal 4 2 5 2 2 2 4" xfId="11531" xr:uid="{C2652CDA-2747-4EB6-B351-D02CE11D712E}"/>
    <cellStyle name="Normal 4 2 5 2 2 3" xfId="5154" xr:uid="{00000000-0005-0000-0000-0000D0130000}"/>
    <cellStyle name="Normal 4 2 5 2 2 3 2" xfId="22052" xr:uid="{8F0AA24B-1267-4F72-A798-52A41BCD3CCF}"/>
    <cellStyle name="Normal 4 2 5 2 2 3 3" xfId="13604" xr:uid="{9B2D3DFA-62AC-44E0-AF2E-E34D33612EA5}"/>
    <cellStyle name="Normal 4 2 5 2 2 4" xfId="17834" xr:uid="{CA228215-15D1-4084-AC29-B32C3B67DE77}"/>
    <cellStyle name="Normal 4 2 5 2 2 5" xfId="9386" xr:uid="{B22FF095-43E9-4069-8BEB-42FB5F5F5D4E}"/>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24610" xr:uid="{CFBC70FF-FAED-4064-9EBE-E8AA52EE6812}"/>
    <cellStyle name="Normal 4 2 5 2 3 2 2 3" xfId="16162" xr:uid="{FB45DF1F-D236-469A-880A-DC76A24F4778}"/>
    <cellStyle name="Normal 4 2 5 2 3 2 3" xfId="20392" xr:uid="{3E1C6DA7-F5D2-486C-B4B7-58A96E537EC6}"/>
    <cellStyle name="Normal 4 2 5 2 3 2 4" xfId="11944" xr:uid="{562517C3-567E-4686-BFCF-9582AD7404BB}"/>
    <cellStyle name="Normal 4 2 5 2 3 3" xfId="5567" xr:uid="{00000000-0005-0000-0000-0000D4130000}"/>
    <cellStyle name="Normal 4 2 5 2 3 3 2" xfId="22465" xr:uid="{9AD7A7F9-9729-4261-BD21-6AD37D235D6A}"/>
    <cellStyle name="Normal 4 2 5 2 3 3 3" xfId="14017" xr:uid="{FF062E54-AB0F-4DFA-B7AF-9F0B2378E87D}"/>
    <cellStyle name="Normal 4 2 5 2 3 4" xfId="18247" xr:uid="{58C72D62-97A7-4EF3-874E-46DB56D1E664}"/>
    <cellStyle name="Normal 4 2 5 2 3 5" xfId="9799" xr:uid="{8A91D059-C038-4482-902D-A55E9C3E9BD4}"/>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25023" xr:uid="{64E99376-0D93-49EB-A4E7-EF94A0F7F34E}"/>
    <cellStyle name="Normal 4 2 5 2 4 2 2 3" xfId="16575" xr:uid="{E301AD2C-7012-4828-AF96-D029B38ADD03}"/>
    <cellStyle name="Normal 4 2 5 2 4 2 3" xfId="20805" xr:uid="{D24FC7CC-D208-4805-A213-0E162E40647D}"/>
    <cellStyle name="Normal 4 2 5 2 4 2 4" xfId="12357" xr:uid="{CD90E2A8-7732-49C7-A221-C943C8B40D04}"/>
    <cellStyle name="Normal 4 2 5 2 4 3" xfId="5980" xr:uid="{00000000-0005-0000-0000-0000D8130000}"/>
    <cellStyle name="Normal 4 2 5 2 4 3 2" xfId="22878" xr:uid="{56533AAD-885D-490E-BEF1-BB657C4AFA4B}"/>
    <cellStyle name="Normal 4 2 5 2 4 3 3" xfId="14430" xr:uid="{003804FD-F56B-4926-B403-4871BAB434E1}"/>
    <cellStyle name="Normal 4 2 5 2 4 4" xfId="18660" xr:uid="{7054B9B2-6844-41EC-8A37-401C7E0DA4EF}"/>
    <cellStyle name="Normal 4 2 5 2 4 5" xfId="10212" xr:uid="{E94F49A8-C1BC-4CB5-B2A0-F01A25AB4AB1}"/>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25436" xr:uid="{46773FD3-5FE5-4F5A-B9FD-2B14F296D851}"/>
    <cellStyle name="Normal 4 2 5 2 5 2 2 3" xfId="16988" xr:uid="{B543291C-662D-49CC-965B-7EE43B5097C9}"/>
    <cellStyle name="Normal 4 2 5 2 5 2 3" xfId="21218" xr:uid="{D0A78A2A-E435-4C15-8A6E-AF6B353E7CB1}"/>
    <cellStyle name="Normal 4 2 5 2 5 2 4" xfId="12770" xr:uid="{5AE7E52E-B5CF-41DF-8F52-CF99E20DE315}"/>
    <cellStyle name="Normal 4 2 5 2 5 3" xfId="6393" xr:uid="{00000000-0005-0000-0000-0000DC130000}"/>
    <cellStyle name="Normal 4 2 5 2 5 3 2" xfId="23291" xr:uid="{04960635-36A7-4CE2-A393-74696AF5124D}"/>
    <cellStyle name="Normal 4 2 5 2 5 3 3" xfId="14843" xr:uid="{5BB65C85-084E-4A66-B00B-F444277BC5C8}"/>
    <cellStyle name="Normal 4 2 5 2 5 4" xfId="19073" xr:uid="{41108FA7-E908-42E3-87A7-0DAA8128F792}"/>
    <cellStyle name="Normal 4 2 5 2 5 5" xfId="10625" xr:uid="{B70BE162-327A-4935-A96E-EF8D3DD44936}"/>
    <cellStyle name="Normal 4 2 5 2 6" xfId="2523" xr:uid="{00000000-0005-0000-0000-0000DD130000}"/>
    <cellStyle name="Normal 4 2 5 2 6 2" xfId="6806" xr:uid="{00000000-0005-0000-0000-0000DE130000}"/>
    <cellStyle name="Normal 4 2 5 2 6 2 2" xfId="23704" xr:uid="{1D0EA770-A1EC-43BC-ACC7-0931A4A357CE}"/>
    <cellStyle name="Normal 4 2 5 2 6 2 3" xfId="15256" xr:uid="{184E7415-63BE-4841-B007-5197A263F136}"/>
    <cellStyle name="Normal 4 2 5 2 6 3" xfId="19486" xr:uid="{FE80DA6D-8EAF-4738-B363-6D2E888FEFDC}"/>
    <cellStyle name="Normal 4 2 5 2 6 4" xfId="11038" xr:uid="{74588EB3-E729-4671-8E2C-8E60BF59EDC8}"/>
    <cellStyle name="Normal 4 2 5 2 7" xfId="4741" xr:uid="{00000000-0005-0000-0000-0000DF130000}"/>
    <cellStyle name="Normal 4 2 5 2 7 2" xfId="21639" xr:uid="{27F31BAD-53CE-4986-9A67-B7B4DC7EEB5B}"/>
    <cellStyle name="Normal 4 2 5 2 7 3" xfId="13191" xr:uid="{C3964251-A4B3-4196-8715-B343327F7590}"/>
    <cellStyle name="Normal 4 2 5 2 8" xfId="17421" xr:uid="{49794C2E-20CD-4205-84FC-E21EAC9A112F}"/>
    <cellStyle name="Normal 4 2 5 2 9" xfId="8973" xr:uid="{5D3A14E3-2BF9-41D2-A4F5-92C7384AE86E}"/>
    <cellStyle name="Normal 4 2 5 3" xfId="839" xr:uid="{00000000-0005-0000-0000-0000E0130000}"/>
    <cellStyle name="Normal 4 2 5 3 2" xfId="3076" xr:uid="{00000000-0005-0000-0000-0000E1130000}"/>
    <cellStyle name="Normal 4 2 5 3 2 2" xfId="7298" xr:uid="{00000000-0005-0000-0000-0000E2130000}"/>
    <cellStyle name="Normal 4 2 5 3 2 2 2" xfId="24196" xr:uid="{504CB92E-0499-4CA3-84DC-873FD3966F38}"/>
    <cellStyle name="Normal 4 2 5 3 2 2 3" xfId="15748" xr:uid="{58777B46-BB7E-4EB2-9FEE-4E70FB123D01}"/>
    <cellStyle name="Normal 4 2 5 3 2 3" xfId="19978" xr:uid="{83B0B2B4-A8C8-4C5F-82FC-BB39F78F916E}"/>
    <cellStyle name="Normal 4 2 5 3 2 4" xfId="11530" xr:uid="{EB512DF0-09FB-4583-9B6B-2D381F1C9775}"/>
    <cellStyle name="Normal 4 2 5 3 3" xfId="5153" xr:uid="{00000000-0005-0000-0000-0000E3130000}"/>
    <cellStyle name="Normal 4 2 5 3 3 2" xfId="22051" xr:uid="{1EE00C79-E4C0-4421-A5F1-F7F9D72290ED}"/>
    <cellStyle name="Normal 4 2 5 3 3 3" xfId="13603" xr:uid="{A1CEB523-2B6E-42D3-A160-8254FA81C235}"/>
    <cellStyle name="Normal 4 2 5 3 4" xfId="17833" xr:uid="{7D5C5B3F-A472-46E0-ADF7-DC6A6DE0A2C9}"/>
    <cellStyle name="Normal 4 2 5 3 5" xfId="9385" xr:uid="{7E6939CB-2904-4E1A-B1F5-AF2ED0784204}"/>
    <cellStyle name="Normal 4 2 5 4" xfId="1259" xr:uid="{00000000-0005-0000-0000-0000E4130000}"/>
    <cellStyle name="Normal 4 2 5 4 2" xfId="3489" xr:uid="{00000000-0005-0000-0000-0000E5130000}"/>
    <cellStyle name="Normal 4 2 5 4 2 2" xfId="7711" xr:uid="{00000000-0005-0000-0000-0000E6130000}"/>
    <cellStyle name="Normal 4 2 5 4 2 2 2" xfId="24609" xr:uid="{DD389C63-2FBE-4ADF-8E58-9445FA26666D}"/>
    <cellStyle name="Normal 4 2 5 4 2 2 3" xfId="16161" xr:uid="{81AD12B5-2682-4311-8619-16C7956A34D8}"/>
    <cellStyle name="Normal 4 2 5 4 2 3" xfId="20391" xr:uid="{83600E8A-D887-404C-ABBB-5A61E6020D13}"/>
    <cellStyle name="Normal 4 2 5 4 2 4" xfId="11943" xr:uid="{68F407D8-D6D6-491A-B129-824BB870D7DA}"/>
    <cellStyle name="Normal 4 2 5 4 3" xfId="5566" xr:uid="{00000000-0005-0000-0000-0000E7130000}"/>
    <cellStyle name="Normal 4 2 5 4 3 2" xfId="22464" xr:uid="{22A4C6AB-79BC-49D8-BF4D-694966E849B7}"/>
    <cellStyle name="Normal 4 2 5 4 3 3" xfId="14016" xr:uid="{D1A26CEF-89E7-460C-BE74-B89FD2ECA309}"/>
    <cellStyle name="Normal 4 2 5 4 4" xfId="18246" xr:uid="{7DAFAC8D-0BDB-4E46-A34B-2BC379C7A6FD}"/>
    <cellStyle name="Normal 4 2 5 4 5" xfId="9798" xr:uid="{C6262CCD-3A6E-4359-AFE5-C6F6E731C774}"/>
    <cellStyle name="Normal 4 2 5 5" xfId="1672" xr:uid="{00000000-0005-0000-0000-0000E8130000}"/>
    <cellStyle name="Normal 4 2 5 5 2" xfId="3902" xr:uid="{00000000-0005-0000-0000-0000E9130000}"/>
    <cellStyle name="Normal 4 2 5 5 2 2" xfId="8124" xr:uid="{00000000-0005-0000-0000-0000EA130000}"/>
    <cellStyle name="Normal 4 2 5 5 2 2 2" xfId="25022" xr:uid="{9C2E949E-3A4B-46D8-9A2E-14FC3A598568}"/>
    <cellStyle name="Normal 4 2 5 5 2 2 3" xfId="16574" xr:uid="{2FCD9634-1663-459C-A7D4-C710F6DF470E}"/>
    <cellStyle name="Normal 4 2 5 5 2 3" xfId="20804" xr:uid="{71DA0299-9736-4ACC-829C-32C17F2CFA30}"/>
    <cellStyle name="Normal 4 2 5 5 2 4" xfId="12356" xr:uid="{B4F3493F-F494-4DE5-A8F9-4F83DDF6A8B2}"/>
    <cellStyle name="Normal 4 2 5 5 3" xfId="5979" xr:uid="{00000000-0005-0000-0000-0000EB130000}"/>
    <cellStyle name="Normal 4 2 5 5 3 2" xfId="22877" xr:uid="{02BD7453-9E52-4FEE-8FF9-DB6E320EAFA1}"/>
    <cellStyle name="Normal 4 2 5 5 3 3" xfId="14429" xr:uid="{8CA21EEC-23A8-46BE-9722-427D7918EC1D}"/>
    <cellStyle name="Normal 4 2 5 5 4" xfId="18659" xr:uid="{A86C8A1B-AE19-45EC-82E8-75CA175A8EC8}"/>
    <cellStyle name="Normal 4 2 5 5 5" xfId="10211" xr:uid="{D7974BBC-386E-44CA-BF8E-224AD52F66DB}"/>
    <cellStyle name="Normal 4 2 5 6" xfId="2086" xr:uid="{00000000-0005-0000-0000-0000EC130000}"/>
    <cellStyle name="Normal 4 2 5 6 2" xfId="4315" xr:uid="{00000000-0005-0000-0000-0000ED130000}"/>
    <cellStyle name="Normal 4 2 5 6 2 2" xfId="8537" xr:uid="{00000000-0005-0000-0000-0000EE130000}"/>
    <cellStyle name="Normal 4 2 5 6 2 2 2" xfId="25435" xr:uid="{E5DB0C50-E321-4A3B-A4F2-C4CD027193B5}"/>
    <cellStyle name="Normal 4 2 5 6 2 2 3" xfId="16987" xr:uid="{9BA9D93E-E9AA-4135-93D4-E7C5916C2FEF}"/>
    <cellStyle name="Normal 4 2 5 6 2 3" xfId="21217" xr:uid="{D57B6EE7-C7FA-4F97-AD69-61B46B99EF93}"/>
    <cellStyle name="Normal 4 2 5 6 2 4" xfId="12769" xr:uid="{D2D05F69-BEA1-45AB-BF18-B102F0B29DF1}"/>
    <cellStyle name="Normal 4 2 5 6 3" xfId="6392" xr:uid="{00000000-0005-0000-0000-0000EF130000}"/>
    <cellStyle name="Normal 4 2 5 6 3 2" xfId="23290" xr:uid="{C4613473-A29E-4F54-B69E-24156C40C4C8}"/>
    <cellStyle name="Normal 4 2 5 6 3 3" xfId="14842" xr:uid="{EFD51AC1-6EB6-4161-AE6B-23D20C758DE9}"/>
    <cellStyle name="Normal 4 2 5 6 4" xfId="19072" xr:uid="{DE1CBF4F-8656-4C9D-ACC0-6D97168FE19B}"/>
    <cellStyle name="Normal 4 2 5 6 5" xfId="10624" xr:uid="{2672462C-AD10-45CB-8A0B-E2FE9C8DDBEB}"/>
    <cellStyle name="Normal 4 2 5 7" xfId="2522" xr:uid="{00000000-0005-0000-0000-0000F0130000}"/>
    <cellStyle name="Normal 4 2 5 7 2" xfId="6805" xr:uid="{00000000-0005-0000-0000-0000F1130000}"/>
    <cellStyle name="Normal 4 2 5 7 2 2" xfId="23703" xr:uid="{5DE2D87D-F03B-47F3-BF36-D62B094EBC86}"/>
    <cellStyle name="Normal 4 2 5 7 2 3" xfId="15255" xr:uid="{92270DCC-FCC7-49B4-ACF5-A294BDF9D321}"/>
    <cellStyle name="Normal 4 2 5 7 3" xfId="19485" xr:uid="{E4FF1F07-B32D-4881-A5FF-485283208765}"/>
    <cellStyle name="Normal 4 2 5 7 4" xfId="11037" xr:uid="{2D57FFFD-142E-4FE7-9DE3-AB75565D7ABC}"/>
    <cellStyle name="Normal 4 2 5 8" xfId="4740" xr:uid="{00000000-0005-0000-0000-0000F2130000}"/>
    <cellStyle name="Normal 4 2 5 8 2" xfId="21638" xr:uid="{801B65CF-67E9-46D3-9E7E-0E1D15246485}"/>
    <cellStyle name="Normal 4 2 5 8 3" xfId="13190" xr:uid="{8949EC1B-0B78-40F8-8FA2-6C5CECA016EE}"/>
    <cellStyle name="Normal 4 2 5 9" xfId="17420" xr:uid="{7FA05588-B585-48E9-B5C7-2BF69125D20B}"/>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2 2 2" xfId="24198" xr:uid="{59F347C5-7813-4B39-9EE5-8B42FEC8C8BC}"/>
    <cellStyle name="Normal 4 2 6 2 2 2 3" xfId="15750" xr:uid="{8DE9D843-2BC6-4A7C-99B2-EEF3F1DA058B}"/>
    <cellStyle name="Normal 4 2 6 2 2 3" xfId="19980" xr:uid="{5B18710C-3C58-410C-B2A3-4718A2157A10}"/>
    <cellStyle name="Normal 4 2 6 2 2 4" xfId="11532" xr:uid="{FFF8009F-C7E3-4F59-AD8F-46202465156C}"/>
    <cellStyle name="Normal 4 2 6 2 3" xfId="5155" xr:uid="{00000000-0005-0000-0000-0000F7130000}"/>
    <cellStyle name="Normal 4 2 6 2 3 2" xfId="22053" xr:uid="{23C4B26D-C39F-48B0-837A-E0EEBE1B0D97}"/>
    <cellStyle name="Normal 4 2 6 2 3 3" xfId="13605" xr:uid="{087611B6-8C9C-4DB3-9A8C-9B5409523DB3}"/>
    <cellStyle name="Normal 4 2 6 2 4" xfId="17835" xr:uid="{DAFF078A-D35A-4E2D-A4F1-7FF8EED0C204}"/>
    <cellStyle name="Normal 4 2 6 2 5" xfId="9387" xr:uid="{8FA86A25-A688-4659-88B2-B4C8E2BD54F5}"/>
    <cellStyle name="Normal 4 2 6 3" xfId="1261" xr:uid="{00000000-0005-0000-0000-0000F8130000}"/>
    <cellStyle name="Normal 4 2 6 3 2" xfId="3491" xr:uid="{00000000-0005-0000-0000-0000F9130000}"/>
    <cellStyle name="Normal 4 2 6 3 2 2" xfId="7713" xr:uid="{00000000-0005-0000-0000-0000FA130000}"/>
    <cellStyle name="Normal 4 2 6 3 2 2 2" xfId="24611" xr:uid="{5C510592-5CB2-429A-8B0A-C2FD587343E5}"/>
    <cellStyle name="Normal 4 2 6 3 2 2 3" xfId="16163" xr:uid="{80768EB5-9862-486A-BFAC-ECEA80788150}"/>
    <cellStyle name="Normal 4 2 6 3 2 3" xfId="20393" xr:uid="{E0487F80-C128-4706-998B-CCAB3632A976}"/>
    <cellStyle name="Normal 4 2 6 3 2 4" xfId="11945" xr:uid="{511B8FE7-6042-4331-8B84-0FF9EB93D6DE}"/>
    <cellStyle name="Normal 4 2 6 3 3" xfId="5568" xr:uid="{00000000-0005-0000-0000-0000FB130000}"/>
    <cellStyle name="Normal 4 2 6 3 3 2" xfId="22466" xr:uid="{4EEDBE4F-FA69-405F-B624-A2E625991139}"/>
    <cellStyle name="Normal 4 2 6 3 3 3" xfId="14018" xr:uid="{54EA73A7-5747-4E7D-BE5C-3C13733D9EFB}"/>
    <cellStyle name="Normal 4 2 6 3 4" xfId="18248" xr:uid="{B3DD9047-89D4-476C-BEEA-F834EE2B8325}"/>
    <cellStyle name="Normal 4 2 6 3 5" xfId="9800" xr:uid="{EDB60605-0E01-45D1-A278-E97076279F42}"/>
    <cellStyle name="Normal 4 2 6 4" xfId="1674" xr:uid="{00000000-0005-0000-0000-0000FC130000}"/>
    <cellStyle name="Normal 4 2 6 4 2" xfId="3904" xr:uid="{00000000-0005-0000-0000-0000FD130000}"/>
    <cellStyle name="Normal 4 2 6 4 2 2" xfId="8126" xr:uid="{00000000-0005-0000-0000-0000FE130000}"/>
    <cellStyle name="Normal 4 2 6 4 2 2 2" xfId="25024" xr:uid="{0A15FB0C-CD64-487E-8DAA-7C369A03B531}"/>
    <cellStyle name="Normal 4 2 6 4 2 2 3" xfId="16576" xr:uid="{59EC63C6-0D61-406C-8253-D1D76D0191B5}"/>
    <cellStyle name="Normal 4 2 6 4 2 3" xfId="20806" xr:uid="{0B45DD87-305B-4B12-BF3C-58CC687C27E5}"/>
    <cellStyle name="Normal 4 2 6 4 2 4" xfId="12358" xr:uid="{C0DA53E8-B123-46D3-B714-F1C8818F924C}"/>
    <cellStyle name="Normal 4 2 6 4 3" xfId="5981" xr:uid="{00000000-0005-0000-0000-0000FF130000}"/>
    <cellStyle name="Normal 4 2 6 4 3 2" xfId="22879" xr:uid="{299A889C-6AA6-4F1A-A4A0-DF2C93B06A59}"/>
    <cellStyle name="Normal 4 2 6 4 3 3" xfId="14431" xr:uid="{1BFF5D15-B792-4C29-9EE7-E68F5E54456E}"/>
    <cellStyle name="Normal 4 2 6 4 4" xfId="18661" xr:uid="{B19968C7-2115-4667-8F01-8710424FEB99}"/>
    <cellStyle name="Normal 4 2 6 4 5" xfId="10213" xr:uid="{F1CB4A4F-5C54-4AC3-A618-31EEDD11BDE1}"/>
    <cellStyle name="Normal 4 2 6 5" xfId="2088" xr:uid="{00000000-0005-0000-0000-000000140000}"/>
    <cellStyle name="Normal 4 2 6 5 2" xfId="4317" xr:uid="{00000000-0005-0000-0000-000001140000}"/>
    <cellStyle name="Normal 4 2 6 5 2 2" xfId="8539" xr:uid="{00000000-0005-0000-0000-000002140000}"/>
    <cellStyle name="Normal 4 2 6 5 2 2 2" xfId="25437" xr:uid="{A88DC35A-A6E4-4845-897E-18D12131A061}"/>
    <cellStyle name="Normal 4 2 6 5 2 2 3" xfId="16989" xr:uid="{6635BEA5-D55D-4B77-8116-A9BFEA1C7008}"/>
    <cellStyle name="Normal 4 2 6 5 2 3" xfId="21219" xr:uid="{210025A3-24AC-4AF8-BB8B-0E5939710DCB}"/>
    <cellStyle name="Normal 4 2 6 5 2 4" xfId="12771" xr:uid="{D278E8ED-B98A-49B2-B12B-9397FDF22F99}"/>
    <cellStyle name="Normal 4 2 6 5 3" xfId="6394" xr:uid="{00000000-0005-0000-0000-000003140000}"/>
    <cellStyle name="Normal 4 2 6 5 3 2" xfId="23292" xr:uid="{692DF2F2-FD6C-4D14-80D0-48AC4017F007}"/>
    <cellStyle name="Normal 4 2 6 5 3 3" xfId="14844" xr:uid="{D47E56E3-A639-42F2-B1A8-52A5257847EB}"/>
    <cellStyle name="Normal 4 2 6 5 4" xfId="19074" xr:uid="{6E60D72D-CAE1-4BAF-9EB5-6FD06D2C346F}"/>
    <cellStyle name="Normal 4 2 6 5 5" xfId="10626" xr:uid="{2E451319-D862-4884-8147-E7789E3B22D7}"/>
    <cellStyle name="Normal 4 2 6 6" xfId="2524" xr:uid="{00000000-0005-0000-0000-000004140000}"/>
    <cellStyle name="Normal 4 2 6 6 2" xfId="6807" xr:uid="{00000000-0005-0000-0000-000005140000}"/>
    <cellStyle name="Normal 4 2 6 6 2 2" xfId="23705" xr:uid="{6AECC112-9BB2-424B-AE05-6816D767C826}"/>
    <cellStyle name="Normal 4 2 6 6 2 3" xfId="15257" xr:uid="{79BE6E83-E3CB-4236-AD77-43689B272D5C}"/>
    <cellStyle name="Normal 4 2 6 6 3" xfId="19487" xr:uid="{ED3111ED-57A6-4C0D-B77D-1B9DD34EC9D4}"/>
    <cellStyle name="Normal 4 2 6 6 4" xfId="11039" xr:uid="{DD0115FD-B697-432F-97E5-13A5EF7868B2}"/>
    <cellStyle name="Normal 4 2 6 7" xfId="4742" xr:uid="{00000000-0005-0000-0000-000006140000}"/>
    <cellStyle name="Normal 4 2 6 7 2" xfId="21640" xr:uid="{764BE042-37E3-48D0-A83F-AA5CF70414F2}"/>
    <cellStyle name="Normal 4 2 6 7 3" xfId="13192" xr:uid="{88247488-5A50-4204-A53E-0775FBE7E4E0}"/>
    <cellStyle name="Normal 4 2 6 8" xfId="17422" xr:uid="{4C6502BA-1896-4478-9F2E-5AAC3780107C}"/>
    <cellStyle name="Normal 4 2 6 9" xfId="8974" xr:uid="{0B37611B-4E33-4C9F-8233-6B255BF27A82}"/>
    <cellStyle name="Normal 4 3" xfId="366" xr:uid="{00000000-0005-0000-0000-000007140000}"/>
    <cellStyle name="Normal 4 3 10" xfId="17423" xr:uid="{BE6F0346-07AE-40CE-B17F-16EC60648061}"/>
    <cellStyle name="Normal 4 3 11" xfId="8975" xr:uid="{8F1E2941-761E-4920-8FB5-8B9C9DEA7A4B}"/>
    <cellStyle name="Normal 4 3 2" xfId="367" xr:uid="{00000000-0005-0000-0000-000008140000}"/>
    <cellStyle name="Normal 4 3 2 2" xfId="368" xr:uid="{00000000-0005-0000-0000-000009140000}"/>
    <cellStyle name="Normal 4 3 2 2 2" xfId="369" xr:uid="{00000000-0005-0000-0000-00000A140000}"/>
    <cellStyle name="Normal 4 3 2 2 2 10" xfId="17424" xr:uid="{495FF998-D692-4411-9407-D579045D4F6B}"/>
    <cellStyle name="Normal 4 3 2 2 2 11" xfId="8976" xr:uid="{581FFFCC-24C2-4E60-8EA1-77D069452B3B}"/>
    <cellStyle name="Normal 4 3 2 2 2 2" xfId="370" xr:uid="{00000000-0005-0000-0000-00000B140000}"/>
    <cellStyle name="Normal 4 3 2 2 2 2 10" xfId="8977" xr:uid="{F0862140-F3EE-4BBC-B2C6-4A245FB493AE}"/>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24202" xr:uid="{88399BF9-3485-4CE0-85F4-F689B5AE08EC}"/>
    <cellStyle name="Normal 4 3 2 2 2 2 2 2 2 2 3" xfId="15754" xr:uid="{DCD30A2D-4846-4787-97D7-4357E11408E4}"/>
    <cellStyle name="Normal 4 3 2 2 2 2 2 2 2 3" xfId="19984" xr:uid="{E2ACB8C1-C44B-4C86-A056-AC47C48F8D87}"/>
    <cellStyle name="Normal 4 3 2 2 2 2 2 2 2 4" xfId="11536" xr:uid="{FA681243-3C93-4134-AC54-EE9FC68510D9}"/>
    <cellStyle name="Normal 4 3 2 2 2 2 2 2 3" xfId="5159" xr:uid="{00000000-0005-0000-0000-000010140000}"/>
    <cellStyle name="Normal 4 3 2 2 2 2 2 2 3 2" xfId="22057" xr:uid="{05980F5F-75FC-4F2A-83B3-3ECDC40CC0F8}"/>
    <cellStyle name="Normal 4 3 2 2 2 2 2 2 3 3" xfId="13609" xr:uid="{70B7D73A-96DB-4C1D-AFC2-E8FBE7882063}"/>
    <cellStyle name="Normal 4 3 2 2 2 2 2 2 4" xfId="17839" xr:uid="{8133262B-42FD-4DDD-85CF-819A9698CDD3}"/>
    <cellStyle name="Normal 4 3 2 2 2 2 2 2 5" xfId="9391" xr:uid="{2F00C271-B6D6-4407-A5EB-41D877B311A5}"/>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24615" xr:uid="{174BCC91-798C-45A7-806E-8A7EDC0F04DD}"/>
    <cellStyle name="Normal 4 3 2 2 2 2 2 3 2 2 3" xfId="16167" xr:uid="{9E4532A4-0B6F-444A-91F7-242BAC7B7395}"/>
    <cellStyle name="Normal 4 3 2 2 2 2 2 3 2 3" xfId="20397" xr:uid="{FFA7A1B9-EC0B-4BB7-AF22-2C49408E239E}"/>
    <cellStyle name="Normal 4 3 2 2 2 2 2 3 2 4" xfId="11949" xr:uid="{C1A44A57-80A3-43A4-919A-75527F6907F8}"/>
    <cellStyle name="Normal 4 3 2 2 2 2 2 3 3" xfId="5572" xr:uid="{00000000-0005-0000-0000-000014140000}"/>
    <cellStyle name="Normal 4 3 2 2 2 2 2 3 3 2" xfId="22470" xr:uid="{1EDFA94F-B580-4F24-877C-CDF739152F42}"/>
    <cellStyle name="Normal 4 3 2 2 2 2 2 3 3 3" xfId="14022" xr:uid="{60180C17-56C0-45B9-8D0A-42DA4EA05333}"/>
    <cellStyle name="Normal 4 3 2 2 2 2 2 3 4" xfId="18252" xr:uid="{4046C0BA-1D12-4C15-B999-F089DB656F2A}"/>
    <cellStyle name="Normal 4 3 2 2 2 2 2 3 5" xfId="9804" xr:uid="{53E7CC88-651E-4937-839D-E76F7BCC344C}"/>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25028" xr:uid="{51B4CE3E-7E7A-4EF0-B990-ADD61B4F9364}"/>
    <cellStyle name="Normal 4 3 2 2 2 2 2 4 2 2 3" xfId="16580" xr:uid="{0CBCD1F4-56A0-490E-A9DA-7B29E4EA9F95}"/>
    <cellStyle name="Normal 4 3 2 2 2 2 2 4 2 3" xfId="20810" xr:uid="{91A8DCC6-F684-4706-A766-489C52A44727}"/>
    <cellStyle name="Normal 4 3 2 2 2 2 2 4 2 4" xfId="12362" xr:uid="{FC52666B-16B1-405C-A1B5-C7A8226EDA2A}"/>
    <cellStyle name="Normal 4 3 2 2 2 2 2 4 3" xfId="5985" xr:uid="{00000000-0005-0000-0000-000018140000}"/>
    <cellStyle name="Normal 4 3 2 2 2 2 2 4 3 2" xfId="22883" xr:uid="{72D7091C-2007-4285-A763-22FBD880EFF5}"/>
    <cellStyle name="Normal 4 3 2 2 2 2 2 4 3 3" xfId="14435" xr:uid="{867B7F19-2F2B-4B9C-936A-33A88C907331}"/>
    <cellStyle name="Normal 4 3 2 2 2 2 2 4 4" xfId="18665" xr:uid="{9FB33174-0821-4770-A5CD-DC8D92F072C2}"/>
    <cellStyle name="Normal 4 3 2 2 2 2 2 4 5" xfId="10217" xr:uid="{74C38F22-EF98-4BBD-AF99-5374F66BDA3B}"/>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25441" xr:uid="{325527F7-C366-45D2-A5CD-91488687392A}"/>
    <cellStyle name="Normal 4 3 2 2 2 2 2 5 2 2 3" xfId="16993" xr:uid="{3FFFDB67-96A0-482F-A4D8-D4B8C717B485}"/>
    <cellStyle name="Normal 4 3 2 2 2 2 2 5 2 3" xfId="21223" xr:uid="{FAE0FEEE-F241-40F3-95AE-11456B5EE7B4}"/>
    <cellStyle name="Normal 4 3 2 2 2 2 2 5 2 4" xfId="12775" xr:uid="{39602828-2D85-4F56-B877-6644603EFC76}"/>
    <cellStyle name="Normal 4 3 2 2 2 2 2 5 3" xfId="6398" xr:uid="{00000000-0005-0000-0000-00001C140000}"/>
    <cellStyle name="Normal 4 3 2 2 2 2 2 5 3 2" xfId="23296" xr:uid="{4C0F836C-00D6-4E66-BE7D-AAAB83E048B0}"/>
    <cellStyle name="Normal 4 3 2 2 2 2 2 5 3 3" xfId="14848" xr:uid="{17A48593-A586-4D62-9F01-778CF138D9E8}"/>
    <cellStyle name="Normal 4 3 2 2 2 2 2 5 4" xfId="19078" xr:uid="{95725A42-9AF2-46C6-828B-B681E8C14CBD}"/>
    <cellStyle name="Normal 4 3 2 2 2 2 2 5 5" xfId="10630" xr:uid="{51962485-F91E-4EEB-BD37-79320353FB75}"/>
    <cellStyle name="Normal 4 3 2 2 2 2 2 6" xfId="2528" xr:uid="{00000000-0005-0000-0000-00001D140000}"/>
    <cellStyle name="Normal 4 3 2 2 2 2 2 6 2" xfId="6811" xr:uid="{00000000-0005-0000-0000-00001E140000}"/>
    <cellStyle name="Normal 4 3 2 2 2 2 2 6 2 2" xfId="23709" xr:uid="{1854F3FA-E9BC-45E7-968A-FFA78653AE97}"/>
    <cellStyle name="Normal 4 3 2 2 2 2 2 6 2 3" xfId="15261" xr:uid="{E19EB988-730A-498B-A024-F5C7E337C0E0}"/>
    <cellStyle name="Normal 4 3 2 2 2 2 2 6 3" xfId="19491" xr:uid="{18ECB768-9DD3-4A87-AE2F-56D52728D5E5}"/>
    <cellStyle name="Normal 4 3 2 2 2 2 2 6 4" xfId="11043" xr:uid="{2CB8F68E-C78F-4545-AB58-BC693EDB509D}"/>
    <cellStyle name="Normal 4 3 2 2 2 2 2 7" xfId="4746" xr:uid="{00000000-0005-0000-0000-00001F140000}"/>
    <cellStyle name="Normal 4 3 2 2 2 2 2 7 2" xfId="21644" xr:uid="{7238E4D5-629C-464F-B2CF-918206A501EF}"/>
    <cellStyle name="Normal 4 3 2 2 2 2 2 7 3" xfId="13196" xr:uid="{AE0B5626-B98A-44BA-B10E-F48F8F834183}"/>
    <cellStyle name="Normal 4 3 2 2 2 2 2 8" xfId="17426" xr:uid="{84F24919-8F93-4377-9C98-4872D3AC64FF}"/>
    <cellStyle name="Normal 4 3 2 2 2 2 2 9" xfId="8978" xr:uid="{046E023D-D64D-408F-AB1E-5A3EDF257A06}"/>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24201" xr:uid="{9F65CEDC-84C2-4CFF-AF76-18B98809956F}"/>
    <cellStyle name="Normal 4 3 2 2 2 2 3 2 2 3" xfId="15753" xr:uid="{D9B19155-4F33-4086-A102-B0658C0FF20A}"/>
    <cellStyle name="Normal 4 3 2 2 2 2 3 2 3" xfId="19983" xr:uid="{9D22E0AC-3EE4-4583-A634-C973841A6145}"/>
    <cellStyle name="Normal 4 3 2 2 2 2 3 2 4" xfId="11535" xr:uid="{464273EB-B589-49B9-82DF-FF194A81A795}"/>
    <cellStyle name="Normal 4 3 2 2 2 2 3 3" xfId="5158" xr:uid="{00000000-0005-0000-0000-000023140000}"/>
    <cellStyle name="Normal 4 3 2 2 2 2 3 3 2" xfId="22056" xr:uid="{E549ED65-8A82-4BB8-94A0-20A68E3BA241}"/>
    <cellStyle name="Normal 4 3 2 2 2 2 3 3 3" xfId="13608" xr:uid="{4024E44A-47EF-4770-BD77-858BAF3C9180}"/>
    <cellStyle name="Normal 4 3 2 2 2 2 3 4" xfId="17838" xr:uid="{AD6D5620-34FD-4330-8851-386DB32FD919}"/>
    <cellStyle name="Normal 4 3 2 2 2 2 3 5" xfId="9390" xr:uid="{05299303-5BE7-4603-842B-1F8D741054BF}"/>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24614" xr:uid="{08B6D358-6BFC-4D00-91BD-4F0B74A66B00}"/>
    <cellStyle name="Normal 4 3 2 2 2 2 4 2 2 3" xfId="16166" xr:uid="{5B2BD310-201C-4CB6-BAF2-C7C81B70E95A}"/>
    <cellStyle name="Normal 4 3 2 2 2 2 4 2 3" xfId="20396" xr:uid="{91AEB554-AA75-4E96-8CCB-F52F17891D94}"/>
    <cellStyle name="Normal 4 3 2 2 2 2 4 2 4" xfId="11948" xr:uid="{04F4CCC5-9837-47B0-AC4D-E2E13427EA82}"/>
    <cellStyle name="Normal 4 3 2 2 2 2 4 3" xfId="5571" xr:uid="{00000000-0005-0000-0000-000027140000}"/>
    <cellStyle name="Normal 4 3 2 2 2 2 4 3 2" xfId="22469" xr:uid="{2E890A07-8964-4679-A05B-0CE4D8159687}"/>
    <cellStyle name="Normal 4 3 2 2 2 2 4 3 3" xfId="14021" xr:uid="{0998B694-9AE1-47AE-87DF-5E2D84717B0C}"/>
    <cellStyle name="Normal 4 3 2 2 2 2 4 4" xfId="18251" xr:uid="{5345A020-50B1-4454-A22F-07CB7EBE609F}"/>
    <cellStyle name="Normal 4 3 2 2 2 2 4 5" xfId="9803" xr:uid="{BEDAB89C-CA19-4CC0-82AE-A99F54805182}"/>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25027" xr:uid="{217AF141-08C2-451C-8934-7AE6BEBED5DD}"/>
    <cellStyle name="Normal 4 3 2 2 2 2 5 2 2 3" xfId="16579" xr:uid="{5CC9C3E8-E7D8-4A3B-9F15-13BA65BD6754}"/>
    <cellStyle name="Normal 4 3 2 2 2 2 5 2 3" xfId="20809" xr:uid="{E2FB6682-F367-47CC-B884-4D7EE82789E5}"/>
    <cellStyle name="Normal 4 3 2 2 2 2 5 2 4" xfId="12361" xr:uid="{BA97F121-3730-4D11-9E03-5433BB082B66}"/>
    <cellStyle name="Normal 4 3 2 2 2 2 5 3" xfId="5984" xr:uid="{00000000-0005-0000-0000-00002B140000}"/>
    <cellStyle name="Normal 4 3 2 2 2 2 5 3 2" xfId="22882" xr:uid="{CE3B0B02-2811-4C17-8ED7-25D9ADFCF040}"/>
    <cellStyle name="Normal 4 3 2 2 2 2 5 3 3" xfId="14434" xr:uid="{4575288D-484A-44FD-8C3B-F59B3C8B27EF}"/>
    <cellStyle name="Normal 4 3 2 2 2 2 5 4" xfId="18664" xr:uid="{E01ADED1-2179-44CF-8E9F-4F82ADBDAA00}"/>
    <cellStyle name="Normal 4 3 2 2 2 2 5 5" xfId="10216" xr:uid="{AFD9150F-C680-4D57-AA85-86EDF2113FA1}"/>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25440" xr:uid="{B34181B6-9174-480A-8786-6AFFA750E444}"/>
    <cellStyle name="Normal 4 3 2 2 2 2 6 2 2 3" xfId="16992" xr:uid="{1AA810F4-2A46-4CEF-8FA8-92EA352E85F7}"/>
    <cellStyle name="Normal 4 3 2 2 2 2 6 2 3" xfId="21222" xr:uid="{506BE725-F0E7-4F83-9ACE-CC29E00AEE30}"/>
    <cellStyle name="Normal 4 3 2 2 2 2 6 2 4" xfId="12774" xr:uid="{0AF7C2E9-1AE1-4DF6-B465-1D2BB31A5412}"/>
    <cellStyle name="Normal 4 3 2 2 2 2 6 3" xfId="6397" xr:uid="{00000000-0005-0000-0000-00002F140000}"/>
    <cellStyle name="Normal 4 3 2 2 2 2 6 3 2" xfId="23295" xr:uid="{1155EA9E-6DAC-419D-983A-4A0C79BDEADC}"/>
    <cellStyle name="Normal 4 3 2 2 2 2 6 3 3" xfId="14847" xr:uid="{B7E04C0E-6D36-4A5B-9CBC-28E41821B136}"/>
    <cellStyle name="Normal 4 3 2 2 2 2 6 4" xfId="19077" xr:uid="{3D763D5E-6FC0-4863-BCC5-D787B663D76C}"/>
    <cellStyle name="Normal 4 3 2 2 2 2 6 5" xfId="10629" xr:uid="{3551DAAC-2B33-495F-9693-A864D276354E}"/>
    <cellStyle name="Normal 4 3 2 2 2 2 7" xfId="2527" xr:uid="{00000000-0005-0000-0000-000030140000}"/>
    <cellStyle name="Normal 4 3 2 2 2 2 7 2" xfId="6810" xr:uid="{00000000-0005-0000-0000-000031140000}"/>
    <cellStyle name="Normal 4 3 2 2 2 2 7 2 2" xfId="23708" xr:uid="{3AED5196-1366-4DD7-B7B1-1A1D479D52BE}"/>
    <cellStyle name="Normal 4 3 2 2 2 2 7 2 3" xfId="15260" xr:uid="{CED8F6C8-61AB-4540-8FB4-7E0C465B8EE9}"/>
    <cellStyle name="Normal 4 3 2 2 2 2 7 3" xfId="19490" xr:uid="{E439C558-83B6-4FBC-AD4E-4F27E2FCF858}"/>
    <cellStyle name="Normal 4 3 2 2 2 2 7 4" xfId="11042" xr:uid="{FEC8623B-BAB1-4685-A38E-A8DCEF59FE9C}"/>
    <cellStyle name="Normal 4 3 2 2 2 2 8" xfId="4745" xr:uid="{00000000-0005-0000-0000-000032140000}"/>
    <cellStyle name="Normal 4 3 2 2 2 2 8 2" xfId="21643" xr:uid="{B98CA5CC-72A2-4241-BA72-76BC22BF8444}"/>
    <cellStyle name="Normal 4 3 2 2 2 2 8 3" xfId="13195" xr:uid="{55EDFDDE-F7FD-4F78-8741-393B9C487916}"/>
    <cellStyle name="Normal 4 3 2 2 2 2 9" xfId="17425" xr:uid="{E78CBBB5-8544-42C0-A476-78CE89B5F6DA}"/>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24203" xr:uid="{54122947-6075-457C-BF09-E500A393F78C}"/>
    <cellStyle name="Normal 4 3 2 2 2 3 2 2 2 3" xfId="15755" xr:uid="{872D1A1E-48A5-428F-8A77-00B2C459AE2F}"/>
    <cellStyle name="Normal 4 3 2 2 2 3 2 2 3" xfId="19985" xr:uid="{1C1D6E60-DE11-417F-A209-CE098BFFAA4F}"/>
    <cellStyle name="Normal 4 3 2 2 2 3 2 2 4" xfId="11537" xr:uid="{D055025E-13C8-42B4-9E70-BEB0CA26F645}"/>
    <cellStyle name="Normal 4 3 2 2 2 3 2 3" xfId="5160" xr:uid="{00000000-0005-0000-0000-000037140000}"/>
    <cellStyle name="Normal 4 3 2 2 2 3 2 3 2" xfId="22058" xr:uid="{88A349DC-5669-4969-A8E8-3CC74EAB09F5}"/>
    <cellStyle name="Normal 4 3 2 2 2 3 2 3 3" xfId="13610" xr:uid="{5230A340-825B-4051-B053-CA069B07ADD0}"/>
    <cellStyle name="Normal 4 3 2 2 2 3 2 4" xfId="17840" xr:uid="{958B3FC0-81B7-4794-9DBB-4771A7D71A5E}"/>
    <cellStyle name="Normal 4 3 2 2 2 3 2 5" xfId="9392" xr:uid="{5E8F9027-7074-46A0-8E10-F7D2F565BCE7}"/>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24616" xr:uid="{CE8FAB69-5D10-41B5-B90F-35FA7872A09D}"/>
    <cellStyle name="Normal 4 3 2 2 2 3 3 2 2 3" xfId="16168" xr:uid="{D8CEDBBA-3BCD-4680-9C65-03235EB0C2C0}"/>
    <cellStyle name="Normal 4 3 2 2 2 3 3 2 3" xfId="20398" xr:uid="{2D1A04B9-FF84-46A7-BEF3-B2A12B156FEB}"/>
    <cellStyle name="Normal 4 3 2 2 2 3 3 2 4" xfId="11950" xr:uid="{498C64A3-E4C9-4E45-A92F-63521C8C8BC2}"/>
    <cellStyle name="Normal 4 3 2 2 2 3 3 3" xfId="5573" xr:uid="{00000000-0005-0000-0000-00003B140000}"/>
    <cellStyle name="Normal 4 3 2 2 2 3 3 3 2" xfId="22471" xr:uid="{D67CDD95-0DD8-4264-A85B-D84B14CF22DD}"/>
    <cellStyle name="Normal 4 3 2 2 2 3 3 3 3" xfId="14023" xr:uid="{024B6E1D-172D-4CE3-85EA-401F2E9F94F7}"/>
    <cellStyle name="Normal 4 3 2 2 2 3 3 4" xfId="18253" xr:uid="{48BFD7FC-1E23-4B71-9D2F-1A301DC774CD}"/>
    <cellStyle name="Normal 4 3 2 2 2 3 3 5" xfId="9805" xr:uid="{89BC7AB7-7F56-4F86-BE8B-96440C69A878}"/>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25029" xr:uid="{3870B8DE-404C-4AE8-858A-7D5DAA1380B9}"/>
    <cellStyle name="Normal 4 3 2 2 2 3 4 2 2 3" xfId="16581" xr:uid="{D35FC6FA-5DAA-4B81-91D2-27CE604571BD}"/>
    <cellStyle name="Normal 4 3 2 2 2 3 4 2 3" xfId="20811" xr:uid="{0A364962-4EE3-4C63-8C5C-7F30582BECF7}"/>
    <cellStyle name="Normal 4 3 2 2 2 3 4 2 4" xfId="12363" xr:uid="{D9A88850-C259-41A9-9165-17FC1F1B0BA3}"/>
    <cellStyle name="Normal 4 3 2 2 2 3 4 3" xfId="5986" xr:uid="{00000000-0005-0000-0000-00003F140000}"/>
    <cellStyle name="Normal 4 3 2 2 2 3 4 3 2" xfId="22884" xr:uid="{912C1A00-DCC3-4E68-8C7B-21108E5533D7}"/>
    <cellStyle name="Normal 4 3 2 2 2 3 4 3 3" xfId="14436" xr:uid="{C12E66A8-D1B0-4CC7-8175-AE8835C25BDE}"/>
    <cellStyle name="Normal 4 3 2 2 2 3 4 4" xfId="18666" xr:uid="{4C0BDE4B-4D77-49CF-BD47-160C706BA79A}"/>
    <cellStyle name="Normal 4 3 2 2 2 3 4 5" xfId="10218" xr:uid="{B697C95C-3C4A-4E63-B96D-A86C7A4D8AF1}"/>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25442" xr:uid="{8C8F1E7C-6D76-4783-8430-100A0939EB72}"/>
    <cellStyle name="Normal 4 3 2 2 2 3 5 2 2 3" xfId="16994" xr:uid="{370952A4-EE4C-4B8F-A84E-5B19E0C9AF18}"/>
    <cellStyle name="Normal 4 3 2 2 2 3 5 2 3" xfId="21224" xr:uid="{ACAA8C0B-F340-40FE-9145-932CE023D500}"/>
    <cellStyle name="Normal 4 3 2 2 2 3 5 2 4" xfId="12776" xr:uid="{B90492B5-56CB-41FE-A72F-F6CA8E054671}"/>
    <cellStyle name="Normal 4 3 2 2 2 3 5 3" xfId="6399" xr:uid="{00000000-0005-0000-0000-000043140000}"/>
    <cellStyle name="Normal 4 3 2 2 2 3 5 3 2" xfId="23297" xr:uid="{3C840C8D-606F-42D1-8550-EE2DEB450287}"/>
    <cellStyle name="Normal 4 3 2 2 2 3 5 3 3" xfId="14849" xr:uid="{0A1F4D86-08E5-4D53-802A-213BE3AC374F}"/>
    <cellStyle name="Normal 4 3 2 2 2 3 5 4" xfId="19079" xr:uid="{6A7C3CBD-09F3-4AFB-84ED-1B8F533A840A}"/>
    <cellStyle name="Normal 4 3 2 2 2 3 5 5" xfId="10631" xr:uid="{51D82F62-C60A-4CC8-9E4A-9279C06F196E}"/>
    <cellStyle name="Normal 4 3 2 2 2 3 6" xfId="2529" xr:uid="{00000000-0005-0000-0000-000044140000}"/>
    <cellStyle name="Normal 4 3 2 2 2 3 6 2" xfId="6812" xr:uid="{00000000-0005-0000-0000-000045140000}"/>
    <cellStyle name="Normal 4 3 2 2 2 3 6 2 2" xfId="23710" xr:uid="{2547C7C7-8CAD-467F-ACA4-717C3CD9C7EE}"/>
    <cellStyle name="Normal 4 3 2 2 2 3 6 2 3" xfId="15262" xr:uid="{A9880EDA-E81B-42A6-98EA-20F748D50ED7}"/>
    <cellStyle name="Normal 4 3 2 2 2 3 6 3" xfId="19492" xr:uid="{EBA6A4F6-6594-460D-93FA-7A65A5EF412F}"/>
    <cellStyle name="Normal 4 3 2 2 2 3 6 4" xfId="11044" xr:uid="{8877D8EE-097F-4D14-8193-4ADBA85B65E3}"/>
    <cellStyle name="Normal 4 3 2 2 2 3 7" xfId="4747" xr:uid="{00000000-0005-0000-0000-000046140000}"/>
    <cellStyle name="Normal 4 3 2 2 2 3 7 2" xfId="21645" xr:uid="{437115A3-EFC2-4092-A7CF-4A193F92CE08}"/>
    <cellStyle name="Normal 4 3 2 2 2 3 7 3" xfId="13197" xr:uid="{93C98AA0-BF75-411D-9B7F-D8800836F8F0}"/>
    <cellStyle name="Normal 4 3 2 2 2 3 8" xfId="17427" xr:uid="{F85350CD-821F-4DA2-8673-6D065EE8A936}"/>
    <cellStyle name="Normal 4 3 2 2 2 3 9" xfId="8979" xr:uid="{CF318ECD-07BD-4294-A6F1-68B50B06E743}"/>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24200" xr:uid="{8EC32875-7101-42D6-AF2E-4BC64ABBACC9}"/>
    <cellStyle name="Normal 4 3 2 2 2 4 2 2 3" xfId="15752" xr:uid="{1F69B78B-6DE1-403B-AFFA-4F0699954075}"/>
    <cellStyle name="Normal 4 3 2 2 2 4 2 3" xfId="19982" xr:uid="{34F328AF-3505-41C4-97C6-1C4EAB238043}"/>
    <cellStyle name="Normal 4 3 2 2 2 4 2 4" xfId="11534" xr:uid="{F1E06EA7-F016-4A2D-8D5C-1929E913ECEF}"/>
    <cellStyle name="Normal 4 3 2 2 2 4 3" xfId="5157" xr:uid="{00000000-0005-0000-0000-00004A140000}"/>
    <cellStyle name="Normal 4 3 2 2 2 4 3 2" xfId="22055" xr:uid="{31E266C2-59B4-4C60-9CB1-EA8060463923}"/>
    <cellStyle name="Normal 4 3 2 2 2 4 3 3" xfId="13607" xr:uid="{37C10A92-821B-4660-8648-37689EB7D816}"/>
    <cellStyle name="Normal 4 3 2 2 2 4 4" xfId="17837" xr:uid="{4245AA0C-5621-4935-A0F6-CC6F2E38CFD8}"/>
    <cellStyle name="Normal 4 3 2 2 2 4 5" xfId="9389" xr:uid="{9AD7A0C6-8734-4FEB-AFA3-F7C84D2658EA}"/>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24613" xr:uid="{B359DE77-F17C-4385-A3A3-39B3F553B25E}"/>
    <cellStyle name="Normal 4 3 2 2 2 5 2 2 3" xfId="16165" xr:uid="{D12C2C3C-9A78-494C-B4EA-538AF95C6818}"/>
    <cellStyle name="Normal 4 3 2 2 2 5 2 3" xfId="20395" xr:uid="{D8DB1E44-A589-4BC8-A0AD-1299C961808C}"/>
    <cellStyle name="Normal 4 3 2 2 2 5 2 4" xfId="11947" xr:uid="{3B86FE44-0471-42C7-A26E-87186A7ED4CE}"/>
    <cellStyle name="Normal 4 3 2 2 2 5 3" xfId="5570" xr:uid="{00000000-0005-0000-0000-00004E140000}"/>
    <cellStyle name="Normal 4 3 2 2 2 5 3 2" xfId="22468" xr:uid="{F713C56E-7534-436F-B7FD-3B4D74C0A2D3}"/>
    <cellStyle name="Normal 4 3 2 2 2 5 3 3" xfId="14020" xr:uid="{D41529EF-9AB1-42E2-9441-1E4CB6D28282}"/>
    <cellStyle name="Normal 4 3 2 2 2 5 4" xfId="18250" xr:uid="{56A0572F-2937-4486-A1FC-281B55B469D6}"/>
    <cellStyle name="Normal 4 3 2 2 2 5 5" xfId="9802" xr:uid="{A7150E90-8F23-458C-9077-8D4EEFBAD5F4}"/>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25026" xr:uid="{F5270134-D412-4F9E-B30E-BDF020A5D221}"/>
    <cellStyle name="Normal 4 3 2 2 2 6 2 2 3" xfId="16578" xr:uid="{C19B7C86-86C3-418D-A980-ED78E4FC5BAF}"/>
    <cellStyle name="Normal 4 3 2 2 2 6 2 3" xfId="20808" xr:uid="{A5A081FA-8E09-4B9B-AD9D-D0EE56819041}"/>
    <cellStyle name="Normal 4 3 2 2 2 6 2 4" xfId="12360" xr:uid="{9D3C66E4-556F-42A4-85C8-E1A762EA8F33}"/>
    <cellStyle name="Normal 4 3 2 2 2 6 3" xfId="5983" xr:uid="{00000000-0005-0000-0000-000052140000}"/>
    <cellStyle name="Normal 4 3 2 2 2 6 3 2" xfId="22881" xr:uid="{1B293F88-013F-4A2D-AB96-D01F4E5A85DF}"/>
    <cellStyle name="Normal 4 3 2 2 2 6 3 3" xfId="14433" xr:uid="{EEDCAD64-8271-472C-84C4-7E232586CB5E}"/>
    <cellStyle name="Normal 4 3 2 2 2 6 4" xfId="18663" xr:uid="{1D8160A5-4649-4B11-A4DE-3C6D72CC55F2}"/>
    <cellStyle name="Normal 4 3 2 2 2 6 5" xfId="10215" xr:uid="{09BCA5CB-2E58-4864-A8D4-1CDECDCBE865}"/>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25439" xr:uid="{CEF196CA-480E-4FFD-A94C-F7FF4F5C8095}"/>
    <cellStyle name="Normal 4 3 2 2 2 7 2 2 3" xfId="16991" xr:uid="{CE345C9F-0A15-4E8A-B22C-50948D6CA710}"/>
    <cellStyle name="Normal 4 3 2 2 2 7 2 3" xfId="21221" xr:uid="{6E355F7A-0A00-4B2E-B44D-A48CB7D62336}"/>
    <cellStyle name="Normal 4 3 2 2 2 7 2 4" xfId="12773" xr:uid="{983EC5A3-C0F7-49C6-A1B8-7DE5E3EC77A2}"/>
    <cellStyle name="Normal 4 3 2 2 2 7 3" xfId="6396" xr:uid="{00000000-0005-0000-0000-000056140000}"/>
    <cellStyle name="Normal 4 3 2 2 2 7 3 2" xfId="23294" xr:uid="{5E1FE6C4-C6C7-4659-ADA1-DDD4CC90C969}"/>
    <cellStyle name="Normal 4 3 2 2 2 7 3 3" xfId="14846" xr:uid="{56286A5C-4EF2-4B9A-9CB4-F87999FDEADE}"/>
    <cellStyle name="Normal 4 3 2 2 2 7 4" xfId="19076" xr:uid="{4B60CC7C-A06E-47C3-AA1D-703DB1E46CC2}"/>
    <cellStyle name="Normal 4 3 2 2 2 7 5" xfId="10628" xr:uid="{82A1E6BC-C0EB-415E-AA79-3A1B2CE036C2}"/>
    <cellStyle name="Normal 4 3 2 2 2 8" xfId="2526" xr:uid="{00000000-0005-0000-0000-000057140000}"/>
    <cellStyle name="Normal 4 3 2 2 2 8 2" xfId="6809" xr:uid="{00000000-0005-0000-0000-000058140000}"/>
    <cellStyle name="Normal 4 3 2 2 2 8 2 2" xfId="23707" xr:uid="{3AD8528A-9B47-4889-AA93-615B816B82D8}"/>
    <cellStyle name="Normal 4 3 2 2 2 8 2 3" xfId="15259" xr:uid="{7370396D-2D60-493D-BB6A-2694209181CF}"/>
    <cellStyle name="Normal 4 3 2 2 2 8 3" xfId="19489" xr:uid="{232A8D1C-293B-448F-93BB-4F7A97E562C3}"/>
    <cellStyle name="Normal 4 3 2 2 2 8 4" xfId="11041" xr:uid="{20ED0411-DD00-4C36-A031-FB425BD657CA}"/>
    <cellStyle name="Normal 4 3 2 2 2 9" xfId="4744" xr:uid="{00000000-0005-0000-0000-000059140000}"/>
    <cellStyle name="Normal 4 3 2 2 2 9 2" xfId="21642" xr:uid="{9207728A-1A1C-43E2-8D64-A4A1E5DD634B}"/>
    <cellStyle name="Normal 4 3 2 2 2 9 3" xfId="13194" xr:uid="{3FE3E39E-09FA-42BB-99E4-ECBDBFF0B969}"/>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17428" xr:uid="{D43E549E-2640-4394-817E-5E66C7A1222E}"/>
    <cellStyle name="Normal 4 3 3 11" xfId="8980" xr:uid="{2B78CF56-0CDD-442C-BC42-A0A2706A8C29}"/>
    <cellStyle name="Normal 4 3 3 2" xfId="375" xr:uid="{00000000-0005-0000-0000-00005E140000}"/>
    <cellStyle name="Normal 4 3 3 2 10" xfId="8981" xr:uid="{17919503-9BFF-4DEF-B7C1-7FB9999F01F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24206" xr:uid="{F1F6A019-8BD5-4D42-9F70-F596CA7C801A}"/>
    <cellStyle name="Normal 4 3 3 2 2 2 2 2 3" xfId="15758" xr:uid="{FAFEF9BA-10B1-4DC4-88E8-9F6B9529106D}"/>
    <cellStyle name="Normal 4 3 3 2 2 2 2 3" xfId="19988" xr:uid="{9B377A91-6670-49DC-8A71-9D2AADAFEA90}"/>
    <cellStyle name="Normal 4 3 3 2 2 2 2 4" xfId="11540" xr:uid="{2F2274F4-6181-40B7-9F56-C78370177FD8}"/>
    <cellStyle name="Normal 4 3 3 2 2 2 3" xfId="5163" xr:uid="{00000000-0005-0000-0000-000063140000}"/>
    <cellStyle name="Normal 4 3 3 2 2 2 3 2" xfId="22061" xr:uid="{87283019-93C1-4C71-8104-55E5D21B9B2E}"/>
    <cellStyle name="Normal 4 3 3 2 2 2 3 3" xfId="13613" xr:uid="{262A2769-BB89-4C45-BE36-CDAEE21F267C}"/>
    <cellStyle name="Normal 4 3 3 2 2 2 4" xfId="17843" xr:uid="{F56AEC8E-F5CC-46BC-BF07-B0CD1B3F2DAA}"/>
    <cellStyle name="Normal 4 3 3 2 2 2 5" xfId="9395" xr:uid="{A60E47A3-B37E-4CB3-9BC8-5098DEF89A15}"/>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24619" xr:uid="{C63EDA28-414D-4682-9737-AFBF422A77DA}"/>
    <cellStyle name="Normal 4 3 3 2 2 3 2 2 3" xfId="16171" xr:uid="{C993E6E6-E29A-4B48-922B-B98D7FCA63F2}"/>
    <cellStyle name="Normal 4 3 3 2 2 3 2 3" xfId="20401" xr:uid="{5ABA26BB-05B2-40A6-9AA9-33C62C760EB1}"/>
    <cellStyle name="Normal 4 3 3 2 2 3 2 4" xfId="11953" xr:uid="{F66463BE-BDB3-4A5F-85FE-D101632F8E7C}"/>
    <cellStyle name="Normal 4 3 3 2 2 3 3" xfId="5576" xr:uid="{00000000-0005-0000-0000-000067140000}"/>
    <cellStyle name="Normal 4 3 3 2 2 3 3 2" xfId="22474" xr:uid="{16226C1B-0091-4FC5-9ACB-B1CD5CD6E945}"/>
    <cellStyle name="Normal 4 3 3 2 2 3 3 3" xfId="14026" xr:uid="{848823B1-31E5-426B-BA58-8102BFB903C8}"/>
    <cellStyle name="Normal 4 3 3 2 2 3 4" xfId="18256" xr:uid="{83903BFD-0C42-4D10-8CB9-AD2805FA7892}"/>
    <cellStyle name="Normal 4 3 3 2 2 3 5" xfId="9808" xr:uid="{92936AE6-83DD-4728-8482-774A5B4D144E}"/>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25032" xr:uid="{BB64C031-F291-4695-BB9A-494A591C2A1F}"/>
    <cellStyle name="Normal 4 3 3 2 2 4 2 2 3" xfId="16584" xr:uid="{13F36911-DF0E-4B18-A1F7-46094BB0D524}"/>
    <cellStyle name="Normal 4 3 3 2 2 4 2 3" xfId="20814" xr:uid="{57F1C9AC-EDE6-49ED-BC22-C992BC3F0B2D}"/>
    <cellStyle name="Normal 4 3 3 2 2 4 2 4" xfId="12366" xr:uid="{96CD177C-B6B0-4D39-9166-8F08E72581F2}"/>
    <cellStyle name="Normal 4 3 3 2 2 4 3" xfId="5989" xr:uid="{00000000-0005-0000-0000-00006B140000}"/>
    <cellStyle name="Normal 4 3 3 2 2 4 3 2" xfId="22887" xr:uid="{6957E9C6-5136-411E-998A-3A82131CBE9E}"/>
    <cellStyle name="Normal 4 3 3 2 2 4 3 3" xfId="14439" xr:uid="{EC82DB5F-A2C7-44FB-82CF-5971FCDD3CD9}"/>
    <cellStyle name="Normal 4 3 3 2 2 4 4" xfId="18669" xr:uid="{31A3E243-243C-40A4-8F71-10677123C0C1}"/>
    <cellStyle name="Normal 4 3 3 2 2 4 5" xfId="10221" xr:uid="{E33799E1-17C3-4CF0-9DC7-EC048821597D}"/>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25445" xr:uid="{C4372B2F-8283-439D-942C-9FBA12ACD662}"/>
    <cellStyle name="Normal 4 3 3 2 2 5 2 2 3" xfId="16997" xr:uid="{E1320018-1684-47B2-B6E6-216AE4471C56}"/>
    <cellStyle name="Normal 4 3 3 2 2 5 2 3" xfId="21227" xr:uid="{1217286C-45E4-4B69-8597-99F991536097}"/>
    <cellStyle name="Normal 4 3 3 2 2 5 2 4" xfId="12779" xr:uid="{50CD07BF-88FA-4862-9A30-5EA48FE7132C}"/>
    <cellStyle name="Normal 4 3 3 2 2 5 3" xfId="6402" xr:uid="{00000000-0005-0000-0000-00006F140000}"/>
    <cellStyle name="Normal 4 3 3 2 2 5 3 2" xfId="23300" xr:uid="{EC06100A-B59B-4168-8DAF-AA553B4B059D}"/>
    <cellStyle name="Normal 4 3 3 2 2 5 3 3" xfId="14852" xr:uid="{2F8998D2-5510-4728-B236-3BB893A6FCD8}"/>
    <cellStyle name="Normal 4 3 3 2 2 5 4" xfId="19082" xr:uid="{A7FF23DB-E526-46AC-97D9-80660221CFAB}"/>
    <cellStyle name="Normal 4 3 3 2 2 5 5" xfId="10634" xr:uid="{07C1851F-279C-45AF-97AB-5183680C266D}"/>
    <cellStyle name="Normal 4 3 3 2 2 6" xfId="2532" xr:uid="{00000000-0005-0000-0000-000070140000}"/>
    <cellStyle name="Normal 4 3 3 2 2 6 2" xfId="6815" xr:uid="{00000000-0005-0000-0000-000071140000}"/>
    <cellStyle name="Normal 4 3 3 2 2 6 2 2" xfId="23713" xr:uid="{74ABBEC4-BCBB-4B8E-9DC2-CE29DC39B8A1}"/>
    <cellStyle name="Normal 4 3 3 2 2 6 2 3" xfId="15265" xr:uid="{D122FA1B-D051-46F7-A1F1-F9E44CDAE5EB}"/>
    <cellStyle name="Normal 4 3 3 2 2 6 3" xfId="19495" xr:uid="{4500BE10-C20E-4ACE-8D0C-D6DCBD0FE645}"/>
    <cellStyle name="Normal 4 3 3 2 2 6 4" xfId="11047" xr:uid="{6FF056D8-8E43-4D06-929B-23B85D5ACC28}"/>
    <cellStyle name="Normal 4 3 3 2 2 7" xfId="4750" xr:uid="{00000000-0005-0000-0000-000072140000}"/>
    <cellStyle name="Normal 4 3 3 2 2 7 2" xfId="21648" xr:uid="{0E0A208C-D186-48E4-8369-171B4FC7FD03}"/>
    <cellStyle name="Normal 4 3 3 2 2 7 3" xfId="13200" xr:uid="{02CFCD66-BC48-4455-9650-E4A99774324B}"/>
    <cellStyle name="Normal 4 3 3 2 2 8" xfId="17430" xr:uid="{BEAFF293-18B6-4440-9973-7BF138FE5818}"/>
    <cellStyle name="Normal 4 3 3 2 2 9" xfId="8982" xr:uid="{1D9BD072-D3EE-4854-BB11-D6DDC3CA78C1}"/>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24205" xr:uid="{33ED2321-CDE3-499B-BD79-E894A03A9354}"/>
    <cellStyle name="Normal 4 3 3 2 3 2 2 3" xfId="15757" xr:uid="{F449A48E-2572-494B-A720-FD96BAC7968F}"/>
    <cellStyle name="Normal 4 3 3 2 3 2 3" xfId="19987" xr:uid="{0FB5173E-462B-4A49-AA3F-FCB707E2B8BE}"/>
    <cellStyle name="Normal 4 3 3 2 3 2 4" xfId="11539" xr:uid="{76A9DA74-485F-439A-8C4E-FD12064DE53E}"/>
    <cellStyle name="Normal 4 3 3 2 3 3" xfId="5162" xr:uid="{00000000-0005-0000-0000-000076140000}"/>
    <cellStyle name="Normal 4 3 3 2 3 3 2" xfId="22060" xr:uid="{D27B4DB2-4445-4DB4-B0A5-3C4ED5BF2C81}"/>
    <cellStyle name="Normal 4 3 3 2 3 3 3" xfId="13612" xr:uid="{FBCFE6A9-0E52-40C9-B804-A64DC90B6B45}"/>
    <cellStyle name="Normal 4 3 3 2 3 4" xfId="17842" xr:uid="{5F846B36-1DB5-4AB4-8E83-F15052C7F6C7}"/>
    <cellStyle name="Normal 4 3 3 2 3 5" xfId="9394" xr:uid="{D3E39902-6050-4E67-8F75-9B07954FA00E}"/>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24618" xr:uid="{EB1121CB-836A-4950-8F4D-16685AB121C9}"/>
    <cellStyle name="Normal 4 3 3 2 4 2 2 3" xfId="16170" xr:uid="{9F62889C-17AD-4872-9D45-8E76FF568739}"/>
    <cellStyle name="Normal 4 3 3 2 4 2 3" xfId="20400" xr:uid="{E8F91D36-5C3C-4747-BB81-4DBF9E4A3BD1}"/>
    <cellStyle name="Normal 4 3 3 2 4 2 4" xfId="11952" xr:uid="{ABF58389-C194-4B60-8448-3DEB50863D41}"/>
    <cellStyle name="Normal 4 3 3 2 4 3" xfId="5575" xr:uid="{00000000-0005-0000-0000-00007A140000}"/>
    <cellStyle name="Normal 4 3 3 2 4 3 2" xfId="22473" xr:uid="{8ACFE078-ED0D-4BB0-A226-E291AF75E6FC}"/>
    <cellStyle name="Normal 4 3 3 2 4 3 3" xfId="14025" xr:uid="{29F695EE-9700-40C0-9F33-6B32503DE109}"/>
    <cellStyle name="Normal 4 3 3 2 4 4" xfId="18255" xr:uid="{F8006037-B543-4583-AD57-4ECACD71BBC9}"/>
    <cellStyle name="Normal 4 3 3 2 4 5" xfId="9807" xr:uid="{B4AAA63D-B6AF-445C-A131-0D149FED2419}"/>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25031" xr:uid="{6DF53995-9078-4802-9C7A-B4616746CE9A}"/>
    <cellStyle name="Normal 4 3 3 2 5 2 2 3" xfId="16583" xr:uid="{F83261DF-EB77-4031-B1DC-FDAC5CC68E7B}"/>
    <cellStyle name="Normal 4 3 3 2 5 2 3" xfId="20813" xr:uid="{7ABB0CBD-F8FC-4D91-9194-AB911578965A}"/>
    <cellStyle name="Normal 4 3 3 2 5 2 4" xfId="12365" xr:uid="{9D6B384B-E963-4A1C-97AE-C5F4144A6585}"/>
    <cellStyle name="Normal 4 3 3 2 5 3" xfId="5988" xr:uid="{00000000-0005-0000-0000-00007E140000}"/>
    <cellStyle name="Normal 4 3 3 2 5 3 2" xfId="22886" xr:uid="{57998E03-70E3-4D84-B0CA-73C219082841}"/>
    <cellStyle name="Normal 4 3 3 2 5 3 3" xfId="14438" xr:uid="{C058A9E4-450D-408F-B27D-66C584D933CD}"/>
    <cellStyle name="Normal 4 3 3 2 5 4" xfId="18668" xr:uid="{5F990BE8-7996-4476-965F-16098F0E68DE}"/>
    <cellStyle name="Normal 4 3 3 2 5 5" xfId="10220" xr:uid="{2B49D3EB-F058-4B34-961E-2FFD8C94F452}"/>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25444" xr:uid="{ECD8BAB2-4709-4096-A3BD-F03C583F65CC}"/>
    <cellStyle name="Normal 4 3 3 2 6 2 2 3" xfId="16996" xr:uid="{AADEB170-03A3-4164-A8E0-79D92542300E}"/>
    <cellStyle name="Normal 4 3 3 2 6 2 3" xfId="21226" xr:uid="{E3291377-A7C5-491C-95DF-D4754B1B007F}"/>
    <cellStyle name="Normal 4 3 3 2 6 2 4" xfId="12778" xr:uid="{C0BBC530-27AB-4C16-A6C1-269062D33124}"/>
    <cellStyle name="Normal 4 3 3 2 6 3" xfId="6401" xr:uid="{00000000-0005-0000-0000-000082140000}"/>
    <cellStyle name="Normal 4 3 3 2 6 3 2" xfId="23299" xr:uid="{ECD926CC-3DBE-40F0-86DA-82E20C83CE4C}"/>
    <cellStyle name="Normal 4 3 3 2 6 3 3" xfId="14851" xr:uid="{488A6385-FF45-43B3-BE6C-5349A34A681A}"/>
    <cellStyle name="Normal 4 3 3 2 6 4" xfId="19081" xr:uid="{5ADA7640-E8CB-4956-B7E5-780AD1A8917F}"/>
    <cellStyle name="Normal 4 3 3 2 6 5" xfId="10633" xr:uid="{CA090195-99BF-4433-A346-48449824E685}"/>
    <cellStyle name="Normal 4 3 3 2 7" xfId="2531" xr:uid="{00000000-0005-0000-0000-000083140000}"/>
    <cellStyle name="Normal 4 3 3 2 7 2" xfId="6814" xr:uid="{00000000-0005-0000-0000-000084140000}"/>
    <cellStyle name="Normal 4 3 3 2 7 2 2" xfId="23712" xr:uid="{30FAD3F1-9FA0-4FC3-AA60-1FD666280A9A}"/>
    <cellStyle name="Normal 4 3 3 2 7 2 3" xfId="15264" xr:uid="{04D940C6-3264-4A1D-B27F-BD791F79609A}"/>
    <cellStyle name="Normal 4 3 3 2 7 3" xfId="19494" xr:uid="{416D5AAE-91F3-4868-985B-3A6CDD039E47}"/>
    <cellStyle name="Normal 4 3 3 2 7 4" xfId="11046" xr:uid="{702AA71D-47E9-48D1-A2AA-A0AB18DE3B76}"/>
    <cellStyle name="Normal 4 3 3 2 8" xfId="4749" xr:uid="{00000000-0005-0000-0000-000085140000}"/>
    <cellStyle name="Normal 4 3 3 2 8 2" xfId="21647" xr:uid="{CADB20DE-82D7-41DE-8DD1-BB8E66232E27}"/>
    <cellStyle name="Normal 4 3 3 2 8 3" xfId="13199" xr:uid="{AFB4B683-20BD-4DBB-83D8-7C95BB8CF556}"/>
    <cellStyle name="Normal 4 3 3 2 9" xfId="17429" xr:uid="{59B8E2E8-2C0E-435E-BC56-064D1EBA274E}"/>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24207" xr:uid="{F8A5BB8C-B2C2-4F3E-814C-4920FDD08C45}"/>
    <cellStyle name="Normal 4 3 3 3 2 2 2 3" xfId="15759" xr:uid="{CCC98277-74D6-492D-9216-4C55000EE14E}"/>
    <cellStyle name="Normal 4 3 3 3 2 2 3" xfId="19989" xr:uid="{388A6845-5C7A-4A4E-8659-606FB03AE927}"/>
    <cellStyle name="Normal 4 3 3 3 2 2 4" xfId="11541" xr:uid="{9E1A3B86-B9F4-4190-9AC2-8ED8D77BC416}"/>
    <cellStyle name="Normal 4 3 3 3 2 3" xfId="5164" xr:uid="{00000000-0005-0000-0000-00008A140000}"/>
    <cellStyle name="Normal 4 3 3 3 2 3 2" xfId="22062" xr:uid="{D9B50F01-729E-4F2B-864F-2DE24A6C9A76}"/>
    <cellStyle name="Normal 4 3 3 3 2 3 3" xfId="13614" xr:uid="{5BA70734-C858-499A-AC6B-39F32A8E53FD}"/>
    <cellStyle name="Normal 4 3 3 3 2 4" xfId="17844" xr:uid="{F1F580DD-8DDB-4FA8-98E7-8C850C8CF33B}"/>
    <cellStyle name="Normal 4 3 3 3 2 5" xfId="9396" xr:uid="{463CFA96-FD92-4551-B106-76F3D732F836}"/>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24620" xr:uid="{BBA75FFE-77A1-4657-8CE1-7D222F8CDFB0}"/>
    <cellStyle name="Normal 4 3 3 3 3 2 2 3" xfId="16172" xr:uid="{3DB0C77E-BAE9-43BA-849B-66FD222C2B65}"/>
    <cellStyle name="Normal 4 3 3 3 3 2 3" xfId="20402" xr:uid="{85071072-F748-4C2A-9DDF-9437A576AA4B}"/>
    <cellStyle name="Normal 4 3 3 3 3 2 4" xfId="11954" xr:uid="{C73E8879-A2EF-4A9F-896C-DD01E2C650CA}"/>
    <cellStyle name="Normal 4 3 3 3 3 3" xfId="5577" xr:uid="{00000000-0005-0000-0000-00008E140000}"/>
    <cellStyle name="Normal 4 3 3 3 3 3 2" xfId="22475" xr:uid="{0A3403F5-22B4-44ED-9D3A-2F747088B043}"/>
    <cellStyle name="Normal 4 3 3 3 3 3 3" xfId="14027" xr:uid="{C78A2572-291B-480E-88A4-78B7195A0923}"/>
    <cellStyle name="Normal 4 3 3 3 3 4" xfId="18257" xr:uid="{D660ED48-0C64-4C3A-9777-8CA93D96D919}"/>
    <cellStyle name="Normal 4 3 3 3 3 5" xfId="9809" xr:uid="{9A86DB90-9507-4635-8F1F-E03849642E3A}"/>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25033" xr:uid="{30DD0905-5B52-4294-B207-DB48B220AF7F}"/>
    <cellStyle name="Normal 4 3 3 3 4 2 2 3" xfId="16585" xr:uid="{00263DF1-26A1-4978-A63F-198ECA3216C4}"/>
    <cellStyle name="Normal 4 3 3 3 4 2 3" xfId="20815" xr:uid="{7DABD39E-539F-49B3-93CD-0CFA9A752A3A}"/>
    <cellStyle name="Normal 4 3 3 3 4 2 4" xfId="12367" xr:uid="{7D6B7381-C4A0-4853-B74C-C8BDA2350BBC}"/>
    <cellStyle name="Normal 4 3 3 3 4 3" xfId="5990" xr:uid="{00000000-0005-0000-0000-000092140000}"/>
    <cellStyle name="Normal 4 3 3 3 4 3 2" xfId="22888" xr:uid="{4BEE3553-E191-4D8C-AB5B-40DD2C6B5F32}"/>
    <cellStyle name="Normal 4 3 3 3 4 3 3" xfId="14440" xr:uid="{566BEA99-9C85-422A-A390-584FFFD65DA4}"/>
    <cellStyle name="Normal 4 3 3 3 4 4" xfId="18670" xr:uid="{7D717798-902B-4288-A9FF-3B89D0E1637D}"/>
    <cellStyle name="Normal 4 3 3 3 4 5" xfId="10222" xr:uid="{6E49AE56-A34A-4C9E-9970-24C6DA9B61B1}"/>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25446" xr:uid="{725507B6-D069-4D14-B03C-94CD405FC153}"/>
    <cellStyle name="Normal 4 3 3 3 5 2 2 3" xfId="16998" xr:uid="{64E53CDE-1050-42D3-B201-2FD039489DBE}"/>
    <cellStyle name="Normal 4 3 3 3 5 2 3" xfId="21228" xr:uid="{E6403A45-C450-4338-B507-B1B51DFDF1C4}"/>
    <cellStyle name="Normal 4 3 3 3 5 2 4" xfId="12780" xr:uid="{C98D0353-DE9C-4807-87B1-7D42D9A12EC1}"/>
    <cellStyle name="Normal 4 3 3 3 5 3" xfId="6403" xr:uid="{00000000-0005-0000-0000-000096140000}"/>
    <cellStyle name="Normal 4 3 3 3 5 3 2" xfId="23301" xr:uid="{1A2F719B-F33F-43CC-A3F7-7DC2F95D4266}"/>
    <cellStyle name="Normal 4 3 3 3 5 3 3" xfId="14853" xr:uid="{05354EF9-A371-4B6D-8158-CFC75ADC7221}"/>
    <cellStyle name="Normal 4 3 3 3 5 4" xfId="19083" xr:uid="{433249EB-B8F6-4FC9-86F1-7445F783FF08}"/>
    <cellStyle name="Normal 4 3 3 3 5 5" xfId="10635" xr:uid="{8A07F412-A0B4-40DB-94C4-8894F3FA9419}"/>
    <cellStyle name="Normal 4 3 3 3 6" xfId="2533" xr:uid="{00000000-0005-0000-0000-000097140000}"/>
    <cellStyle name="Normal 4 3 3 3 6 2" xfId="6816" xr:uid="{00000000-0005-0000-0000-000098140000}"/>
    <cellStyle name="Normal 4 3 3 3 6 2 2" xfId="23714" xr:uid="{3307CA71-4D2A-4830-B964-9768E5B678EE}"/>
    <cellStyle name="Normal 4 3 3 3 6 2 3" xfId="15266" xr:uid="{B005A19B-E7E8-4636-AAB0-7A4772A8B3C4}"/>
    <cellStyle name="Normal 4 3 3 3 6 3" xfId="19496" xr:uid="{520F97BC-DD72-4DCC-AB52-7EF3FB33A4BA}"/>
    <cellStyle name="Normal 4 3 3 3 6 4" xfId="11048" xr:uid="{7D1F2410-8A6E-49C2-AD27-BB24ED76D499}"/>
    <cellStyle name="Normal 4 3 3 3 7" xfId="4751" xr:uid="{00000000-0005-0000-0000-000099140000}"/>
    <cellStyle name="Normal 4 3 3 3 7 2" xfId="21649" xr:uid="{E08F6405-0792-4979-9E94-AC4DC22E82CC}"/>
    <cellStyle name="Normal 4 3 3 3 7 3" xfId="13201" xr:uid="{45C212E5-253D-451E-B404-D070378382D0}"/>
    <cellStyle name="Normal 4 3 3 3 8" xfId="17431" xr:uid="{BE5A2288-E505-4AF8-8A2E-271EA0B9113D}"/>
    <cellStyle name="Normal 4 3 3 3 9" xfId="8983" xr:uid="{AF6D88F6-0525-4A4D-8F01-BDC5207F0C9D}"/>
    <cellStyle name="Normal 4 3 3 4" xfId="849" xr:uid="{00000000-0005-0000-0000-00009A140000}"/>
    <cellStyle name="Normal 4 3 3 4 2" xfId="3084" xr:uid="{00000000-0005-0000-0000-00009B140000}"/>
    <cellStyle name="Normal 4 3 3 4 2 2" xfId="7306" xr:uid="{00000000-0005-0000-0000-00009C140000}"/>
    <cellStyle name="Normal 4 3 3 4 2 2 2" xfId="24204" xr:uid="{FF9691F5-0E1A-4002-8D22-767B46B1A9C1}"/>
    <cellStyle name="Normal 4 3 3 4 2 2 3" xfId="15756" xr:uid="{7065191F-6226-4D84-B44A-E38B3FA0B630}"/>
    <cellStyle name="Normal 4 3 3 4 2 3" xfId="19986" xr:uid="{6326A8EC-4882-427B-A4D7-2BFDFD2678E3}"/>
    <cellStyle name="Normal 4 3 3 4 2 4" xfId="11538" xr:uid="{89471967-8349-4A13-A6C4-8D168AE00F5D}"/>
    <cellStyle name="Normal 4 3 3 4 3" xfId="5161" xr:uid="{00000000-0005-0000-0000-00009D140000}"/>
    <cellStyle name="Normal 4 3 3 4 3 2" xfId="22059" xr:uid="{F0A1498B-2B36-4D1A-904A-74BA23B4965E}"/>
    <cellStyle name="Normal 4 3 3 4 3 3" xfId="13611" xr:uid="{9E1F9933-EB33-4351-9B58-494B239D28AD}"/>
    <cellStyle name="Normal 4 3 3 4 4" xfId="17841" xr:uid="{578056D3-80C2-44D0-98B9-6A71E1EDAFEA}"/>
    <cellStyle name="Normal 4 3 3 4 5" xfId="9393" xr:uid="{D9DFEC11-E653-4615-9724-0FC8A850134A}"/>
    <cellStyle name="Normal 4 3 3 5" xfId="1267" xr:uid="{00000000-0005-0000-0000-00009E140000}"/>
    <cellStyle name="Normal 4 3 3 5 2" xfId="3497" xr:uid="{00000000-0005-0000-0000-00009F140000}"/>
    <cellStyle name="Normal 4 3 3 5 2 2" xfId="7719" xr:uid="{00000000-0005-0000-0000-0000A0140000}"/>
    <cellStyle name="Normal 4 3 3 5 2 2 2" xfId="24617" xr:uid="{15DFC3E9-2C91-4F60-852E-FC5D1275AE03}"/>
    <cellStyle name="Normal 4 3 3 5 2 2 3" xfId="16169" xr:uid="{F464F0D0-1E6F-48EB-BB28-E12E2FCE9AD4}"/>
    <cellStyle name="Normal 4 3 3 5 2 3" xfId="20399" xr:uid="{8DEE45C7-5750-4F56-843C-EAC1A351AB97}"/>
    <cellStyle name="Normal 4 3 3 5 2 4" xfId="11951" xr:uid="{09EF2A8C-479A-4417-981C-15B7CDD42EF9}"/>
    <cellStyle name="Normal 4 3 3 5 3" xfId="5574" xr:uid="{00000000-0005-0000-0000-0000A1140000}"/>
    <cellStyle name="Normal 4 3 3 5 3 2" xfId="22472" xr:uid="{5E9F721A-2021-471C-840E-7E3533DD4E71}"/>
    <cellStyle name="Normal 4 3 3 5 3 3" xfId="14024" xr:uid="{3BD227D0-B51B-4DA1-8DCC-1D8CD955769F}"/>
    <cellStyle name="Normal 4 3 3 5 4" xfId="18254" xr:uid="{7B9616CC-2425-4EDC-9259-F49790094D26}"/>
    <cellStyle name="Normal 4 3 3 5 5" xfId="9806" xr:uid="{F82D0CB8-0C3E-4E55-ABBA-0A7EB86ABCD6}"/>
    <cellStyle name="Normal 4 3 3 6" xfId="1680" xr:uid="{00000000-0005-0000-0000-0000A2140000}"/>
    <cellStyle name="Normal 4 3 3 6 2" xfId="3910" xr:uid="{00000000-0005-0000-0000-0000A3140000}"/>
    <cellStyle name="Normal 4 3 3 6 2 2" xfId="8132" xr:uid="{00000000-0005-0000-0000-0000A4140000}"/>
    <cellStyle name="Normal 4 3 3 6 2 2 2" xfId="25030" xr:uid="{2C87552C-FDE3-4FA1-A6A5-CCE19D5D0F47}"/>
    <cellStyle name="Normal 4 3 3 6 2 2 3" xfId="16582" xr:uid="{384805E5-0174-476F-A387-DB6AAC622EBB}"/>
    <cellStyle name="Normal 4 3 3 6 2 3" xfId="20812" xr:uid="{1D21EB93-2A74-4525-A684-3BF69E2BF321}"/>
    <cellStyle name="Normal 4 3 3 6 2 4" xfId="12364" xr:uid="{C4436B51-99D5-4A48-AA90-AA350FA42FFE}"/>
    <cellStyle name="Normal 4 3 3 6 3" xfId="5987" xr:uid="{00000000-0005-0000-0000-0000A5140000}"/>
    <cellStyle name="Normal 4 3 3 6 3 2" xfId="22885" xr:uid="{6B384787-B971-46C9-9E94-B3B8298A1EE5}"/>
    <cellStyle name="Normal 4 3 3 6 3 3" xfId="14437" xr:uid="{CA62E80D-77EC-45AF-A8F8-0639EBB2A192}"/>
    <cellStyle name="Normal 4 3 3 6 4" xfId="18667" xr:uid="{6DBD2821-B048-48C8-B166-B98CB5C00625}"/>
    <cellStyle name="Normal 4 3 3 6 5" xfId="10219" xr:uid="{8E43E082-490F-4E46-B732-008AC486CE1C}"/>
    <cellStyle name="Normal 4 3 3 7" xfId="2094" xr:uid="{00000000-0005-0000-0000-0000A6140000}"/>
    <cellStyle name="Normal 4 3 3 7 2" xfId="4323" xr:uid="{00000000-0005-0000-0000-0000A7140000}"/>
    <cellStyle name="Normal 4 3 3 7 2 2" xfId="8545" xr:uid="{00000000-0005-0000-0000-0000A8140000}"/>
    <cellStyle name="Normal 4 3 3 7 2 2 2" xfId="25443" xr:uid="{2F3C5DA0-39F7-45EB-BE74-59DB0BCC9A37}"/>
    <cellStyle name="Normal 4 3 3 7 2 2 3" xfId="16995" xr:uid="{B1B74493-C237-4533-B0E4-D65C6C7F78D1}"/>
    <cellStyle name="Normal 4 3 3 7 2 3" xfId="21225" xr:uid="{2293A9FD-770D-4A5F-8082-20E1E09F94C9}"/>
    <cellStyle name="Normal 4 3 3 7 2 4" xfId="12777" xr:uid="{9E072C5B-106C-4035-9901-FB34E43AF5F1}"/>
    <cellStyle name="Normal 4 3 3 7 3" xfId="6400" xr:uid="{00000000-0005-0000-0000-0000A9140000}"/>
    <cellStyle name="Normal 4 3 3 7 3 2" xfId="23298" xr:uid="{D08445F1-175E-43E3-9494-5CC40E2FAD27}"/>
    <cellStyle name="Normal 4 3 3 7 3 3" xfId="14850" xr:uid="{7E580223-25ED-43C0-9722-FA8E145A6B14}"/>
    <cellStyle name="Normal 4 3 3 7 4" xfId="19080" xr:uid="{74E331AF-239A-4585-B15C-C417528A2C8D}"/>
    <cellStyle name="Normal 4 3 3 7 5" xfId="10632" xr:uid="{9DA20E55-623A-4B1F-A335-0D2D7BFFD652}"/>
    <cellStyle name="Normal 4 3 3 8" xfId="2530" xr:uid="{00000000-0005-0000-0000-0000AA140000}"/>
    <cellStyle name="Normal 4 3 3 8 2" xfId="6813" xr:uid="{00000000-0005-0000-0000-0000AB140000}"/>
    <cellStyle name="Normal 4 3 3 8 2 2" xfId="23711" xr:uid="{DC586B13-9279-4AE2-8B6E-CA0BE6B0A82F}"/>
    <cellStyle name="Normal 4 3 3 8 2 3" xfId="15263" xr:uid="{F75F648C-7C4A-4719-B527-ACE9FE5DF9FD}"/>
    <cellStyle name="Normal 4 3 3 8 3" xfId="19493" xr:uid="{17C805D1-D677-496D-8CBE-664F79EEAF2F}"/>
    <cellStyle name="Normal 4 3 3 8 4" xfId="11045" xr:uid="{63F474C0-21B6-4BB0-AECE-7793800A4C9F}"/>
    <cellStyle name="Normal 4 3 3 9" xfId="4748" xr:uid="{00000000-0005-0000-0000-0000AC140000}"/>
    <cellStyle name="Normal 4 3 3 9 2" xfId="21646" xr:uid="{E9073E9D-6AC2-4ED9-A3D2-86D1FE61EC27}"/>
    <cellStyle name="Normal 4 3 3 9 3" xfId="13198" xr:uid="{79FE2FC7-DEC5-4674-8AFD-294B3D75B14F}"/>
    <cellStyle name="Normal 4 3 4" xfId="842" xr:uid="{00000000-0005-0000-0000-0000AD140000}"/>
    <cellStyle name="Normal 4 3 4 2" xfId="3079" xr:uid="{00000000-0005-0000-0000-0000AE140000}"/>
    <cellStyle name="Normal 4 3 4 2 2" xfId="7301" xr:uid="{00000000-0005-0000-0000-0000AF140000}"/>
    <cellStyle name="Normal 4 3 4 2 2 2" xfId="24199" xr:uid="{34875251-FFE8-4FA7-896D-B8E09F38F7B3}"/>
    <cellStyle name="Normal 4 3 4 2 2 3" xfId="15751" xr:uid="{05BFD588-243B-4A49-BDE2-9E09973DF215}"/>
    <cellStyle name="Normal 4 3 4 2 3" xfId="19981" xr:uid="{D142F7DD-C72B-43E1-9273-4D0CF2DE4C0E}"/>
    <cellStyle name="Normal 4 3 4 2 4" xfId="11533" xr:uid="{856DEDEA-564B-4E40-8278-A12E0B2EADF9}"/>
    <cellStyle name="Normal 4 3 4 3" xfId="5156" xr:uid="{00000000-0005-0000-0000-0000B0140000}"/>
    <cellStyle name="Normal 4 3 4 3 2" xfId="22054" xr:uid="{1BD08744-673F-4EF2-964E-7CDD5C4C8B6E}"/>
    <cellStyle name="Normal 4 3 4 3 3" xfId="13606" xr:uid="{0BF5923A-478C-4DC4-8840-5B1FFB3D43A6}"/>
    <cellStyle name="Normal 4 3 4 4" xfId="17836" xr:uid="{B3A687DE-1F36-4C5B-A6C3-CF83DCDD486C}"/>
    <cellStyle name="Normal 4 3 4 5" xfId="9388" xr:uid="{A2B367FA-8775-4076-B799-7DB29175444B}"/>
    <cellStyle name="Normal 4 3 5" xfId="1262" xr:uid="{00000000-0005-0000-0000-0000B1140000}"/>
    <cellStyle name="Normal 4 3 5 2" xfId="3492" xr:uid="{00000000-0005-0000-0000-0000B2140000}"/>
    <cellStyle name="Normal 4 3 5 2 2" xfId="7714" xr:uid="{00000000-0005-0000-0000-0000B3140000}"/>
    <cellStyle name="Normal 4 3 5 2 2 2" xfId="24612" xr:uid="{24579877-10DA-45DC-98DF-C28651469183}"/>
    <cellStyle name="Normal 4 3 5 2 2 3" xfId="16164" xr:uid="{B55A4A62-5437-43CA-A73E-E735894E2233}"/>
    <cellStyle name="Normal 4 3 5 2 3" xfId="20394" xr:uid="{E508B479-D84C-4B73-A500-9150B76E2ED5}"/>
    <cellStyle name="Normal 4 3 5 2 4" xfId="11946" xr:uid="{C090E76F-1958-4508-AC77-FA38AA37F03D}"/>
    <cellStyle name="Normal 4 3 5 3" xfId="5569" xr:uid="{00000000-0005-0000-0000-0000B4140000}"/>
    <cellStyle name="Normal 4 3 5 3 2" xfId="22467" xr:uid="{F961BA00-31AD-4BE9-90D8-B6A5A6514BA0}"/>
    <cellStyle name="Normal 4 3 5 3 3" xfId="14019" xr:uid="{DCBE2DA3-9087-4450-927C-10AB0E5C653C}"/>
    <cellStyle name="Normal 4 3 5 4" xfId="18249" xr:uid="{5DDEEF9D-CE19-47FD-B3F3-CB53C5BEC5CE}"/>
    <cellStyle name="Normal 4 3 5 5" xfId="9801" xr:uid="{A86E28BF-F7B7-489C-8D6E-196A40BEE1A4}"/>
    <cellStyle name="Normal 4 3 6" xfId="1675" xr:uid="{00000000-0005-0000-0000-0000B5140000}"/>
    <cellStyle name="Normal 4 3 6 2" xfId="3905" xr:uid="{00000000-0005-0000-0000-0000B6140000}"/>
    <cellStyle name="Normal 4 3 6 2 2" xfId="8127" xr:uid="{00000000-0005-0000-0000-0000B7140000}"/>
    <cellStyle name="Normal 4 3 6 2 2 2" xfId="25025" xr:uid="{6D7CC9F8-20BE-4823-919B-E89E5DB0BAE6}"/>
    <cellStyle name="Normal 4 3 6 2 2 3" xfId="16577" xr:uid="{DDE89093-D949-4847-A6DA-A3B0633B255F}"/>
    <cellStyle name="Normal 4 3 6 2 3" xfId="20807" xr:uid="{D4C417BD-4E9A-46B7-8B71-BD52D0B0370B}"/>
    <cellStyle name="Normal 4 3 6 2 4" xfId="12359" xr:uid="{8B524498-3FB2-45A4-B868-2D2982DD02DD}"/>
    <cellStyle name="Normal 4 3 6 3" xfId="5982" xr:uid="{00000000-0005-0000-0000-0000B8140000}"/>
    <cellStyle name="Normal 4 3 6 3 2" xfId="22880" xr:uid="{677EA3D4-4CE2-4528-A750-D462B17A8122}"/>
    <cellStyle name="Normal 4 3 6 3 3" xfId="14432" xr:uid="{E6ED6EC1-9182-4622-8F0A-DF9320630525}"/>
    <cellStyle name="Normal 4 3 6 4" xfId="18662" xr:uid="{420C7CAD-0869-4FB7-891E-B89630768D6E}"/>
    <cellStyle name="Normal 4 3 6 5" xfId="10214" xr:uid="{54CE013F-242C-4EC1-93AE-CE7A748732E9}"/>
    <cellStyle name="Normal 4 3 7" xfId="2089" xr:uid="{00000000-0005-0000-0000-0000B9140000}"/>
    <cellStyle name="Normal 4 3 7 2" xfId="4318" xr:uid="{00000000-0005-0000-0000-0000BA140000}"/>
    <cellStyle name="Normal 4 3 7 2 2" xfId="8540" xr:uid="{00000000-0005-0000-0000-0000BB140000}"/>
    <cellStyle name="Normal 4 3 7 2 2 2" xfId="25438" xr:uid="{BBDD45B6-C2FB-493D-ABF7-EB2BCA864233}"/>
    <cellStyle name="Normal 4 3 7 2 2 3" xfId="16990" xr:uid="{9A9502AE-621E-43DA-9F27-B0A8754348F7}"/>
    <cellStyle name="Normal 4 3 7 2 3" xfId="21220" xr:uid="{92D7BB22-C2F5-4A76-8E50-78E57A29D9DE}"/>
    <cellStyle name="Normal 4 3 7 2 4" xfId="12772" xr:uid="{7DDC5533-59F6-4416-B949-C486D0E4ECCC}"/>
    <cellStyle name="Normal 4 3 7 3" xfId="6395" xr:uid="{00000000-0005-0000-0000-0000BC140000}"/>
    <cellStyle name="Normal 4 3 7 3 2" xfId="23293" xr:uid="{FA101740-FACC-43F0-A212-7FCFC50F2896}"/>
    <cellStyle name="Normal 4 3 7 3 3" xfId="14845" xr:uid="{165F2731-6B25-49A6-86FE-02044F5761DA}"/>
    <cellStyle name="Normal 4 3 7 4" xfId="19075" xr:uid="{1E32DFE8-8245-4112-BA35-603C431F289A}"/>
    <cellStyle name="Normal 4 3 7 5" xfId="10627" xr:uid="{F7C6664D-EA6B-4BFB-A0DE-F745AF7420CD}"/>
    <cellStyle name="Normal 4 3 8" xfId="2525" xr:uid="{00000000-0005-0000-0000-0000BD140000}"/>
    <cellStyle name="Normal 4 3 8 2" xfId="6808" xr:uid="{00000000-0005-0000-0000-0000BE140000}"/>
    <cellStyle name="Normal 4 3 8 2 2" xfId="23706" xr:uid="{41EC1A03-375D-4500-BDB2-D222FC05B47E}"/>
    <cellStyle name="Normal 4 3 8 2 3" xfId="15258" xr:uid="{E5968057-78D8-4A3C-B1DC-6527FEE99448}"/>
    <cellStyle name="Normal 4 3 8 3" xfId="19488" xr:uid="{AEF2FB2C-6876-4136-92FF-07986D6DECC9}"/>
    <cellStyle name="Normal 4 3 8 4" xfId="11040" xr:uid="{78D38CAA-DC82-4D28-B13C-8EC156395270}"/>
    <cellStyle name="Normal 4 3 9" xfId="4743" xr:uid="{00000000-0005-0000-0000-0000BF140000}"/>
    <cellStyle name="Normal 4 3 9 2" xfId="21641" xr:uid="{A5485BDD-8D4C-448D-BCF2-6B52C0541B96}"/>
    <cellStyle name="Normal 4 3 9 3" xfId="13193" xr:uid="{A461FC66-C23D-4D97-B49C-0B2F9812F9EA}"/>
    <cellStyle name="Normal 4 4" xfId="378" xr:uid="{00000000-0005-0000-0000-0000C0140000}"/>
    <cellStyle name="Normal 4 4 10" xfId="2534" xr:uid="{00000000-0005-0000-0000-0000C1140000}"/>
    <cellStyle name="Normal 4 4 10 2" xfId="6817" xr:uid="{00000000-0005-0000-0000-0000C2140000}"/>
    <cellStyle name="Normal 4 4 10 2 2" xfId="23715" xr:uid="{B64B050B-D3DC-425E-A256-9503215BC8E2}"/>
    <cellStyle name="Normal 4 4 10 2 3" xfId="15267" xr:uid="{97F03CA1-7756-48BA-9F42-78B5D3ECEA82}"/>
    <cellStyle name="Normal 4 4 10 3" xfId="19497" xr:uid="{4FA2A156-C367-49DB-BCC7-805C4675CB84}"/>
    <cellStyle name="Normal 4 4 10 4" xfId="11049" xr:uid="{B8A543F2-1B8C-411F-8CB2-32DECD636F64}"/>
    <cellStyle name="Normal 4 4 11" xfId="4752" xr:uid="{00000000-0005-0000-0000-0000C3140000}"/>
    <cellStyle name="Normal 4 4 11 2" xfId="21650" xr:uid="{2044DE56-E5B9-4267-AD6E-CFEB060CB548}"/>
    <cellStyle name="Normal 4 4 11 3" xfId="13202" xr:uid="{733E4FF2-2671-4C55-B1E7-10FA6A15B822}"/>
    <cellStyle name="Normal 4 4 12" xfId="17432" xr:uid="{83DC0CD2-B1DC-47B7-99E2-3DAFECA7D818}"/>
    <cellStyle name="Normal 4 4 13" xfId="8984" xr:uid="{ECC9CC3D-91F5-42F8-9266-B2B6F5752FDB}"/>
    <cellStyle name="Normal 4 4 2" xfId="379" xr:uid="{00000000-0005-0000-0000-0000C4140000}"/>
    <cellStyle name="Normal 4 4 2 10" xfId="4753" xr:uid="{00000000-0005-0000-0000-0000C5140000}"/>
    <cellStyle name="Normal 4 4 2 10 2" xfId="21651" xr:uid="{1E1258D1-4AFC-4B2A-941E-DE0FD137CB3B}"/>
    <cellStyle name="Normal 4 4 2 10 3" xfId="13203" xr:uid="{A30484A6-73C3-4EF9-B08C-9C9A8F58BDA3}"/>
    <cellStyle name="Normal 4 4 2 11" xfId="17433" xr:uid="{0F9A05AE-7316-4587-B0CA-C762683783B1}"/>
    <cellStyle name="Normal 4 4 2 12" xfId="8985" xr:uid="{5E951B21-7122-4C79-91F4-5EB128E54FEF}"/>
    <cellStyle name="Normal 4 4 2 2" xfId="380" xr:uid="{00000000-0005-0000-0000-0000C6140000}"/>
    <cellStyle name="Normal 4 4 2 2 10" xfId="17434" xr:uid="{7BAEA9E8-7731-436C-A556-417B4E6AF10F}"/>
    <cellStyle name="Normal 4 4 2 2 11" xfId="8986" xr:uid="{8798B956-3465-48C8-9BE0-8E9A90681D7A}"/>
    <cellStyle name="Normal 4 4 2 2 2" xfId="381" xr:uid="{00000000-0005-0000-0000-0000C7140000}"/>
    <cellStyle name="Normal 4 4 2 2 2 10" xfId="8987" xr:uid="{B7124F0D-8F79-4DBA-8588-890279B8E7A6}"/>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24212" xr:uid="{F154A360-F27D-4EF5-9BE6-FFE8C1EDF58A}"/>
    <cellStyle name="Normal 4 4 2 2 2 2 2 2 2 3" xfId="15764" xr:uid="{EEA6A201-C01A-4446-9A61-7F24DCB526A9}"/>
    <cellStyle name="Normal 4 4 2 2 2 2 2 2 3" xfId="19994" xr:uid="{AA7E30D2-9FB5-4259-B052-914F0FE892DB}"/>
    <cellStyle name="Normal 4 4 2 2 2 2 2 2 4" xfId="11546" xr:uid="{EEB5A5DC-8172-4043-8C0E-639AA4A9CA4D}"/>
    <cellStyle name="Normal 4 4 2 2 2 2 2 3" xfId="5169" xr:uid="{00000000-0005-0000-0000-0000CC140000}"/>
    <cellStyle name="Normal 4 4 2 2 2 2 2 3 2" xfId="22067" xr:uid="{6A5D4A91-D3A1-40ED-917A-0122BE4C5F5A}"/>
    <cellStyle name="Normal 4 4 2 2 2 2 2 3 3" xfId="13619" xr:uid="{C7B2E710-D06E-4FF2-9B9A-9CA6BE2D89E6}"/>
    <cellStyle name="Normal 4 4 2 2 2 2 2 4" xfId="17849" xr:uid="{D895D851-2E5C-41C7-AF1B-22DA4EBDC9DE}"/>
    <cellStyle name="Normal 4 4 2 2 2 2 2 5" xfId="9401" xr:uid="{466DA37E-41C3-4489-946F-5C891CDA95AF}"/>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24625" xr:uid="{93F90C6F-67BD-46CB-A6F1-81C04FE3AF42}"/>
    <cellStyle name="Normal 4 4 2 2 2 2 3 2 2 3" xfId="16177" xr:uid="{1AAED966-E1CD-4D6C-8190-3B3D4696FC28}"/>
    <cellStyle name="Normal 4 4 2 2 2 2 3 2 3" xfId="20407" xr:uid="{C964396C-6C3D-4230-9D08-E4B4F7F49A02}"/>
    <cellStyle name="Normal 4 4 2 2 2 2 3 2 4" xfId="11959" xr:uid="{7C99F2AB-96A1-47DE-BE58-8B76941542EA}"/>
    <cellStyle name="Normal 4 4 2 2 2 2 3 3" xfId="5582" xr:uid="{00000000-0005-0000-0000-0000D0140000}"/>
    <cellStyle name="Normal 4 4 2 2 2 2 3 3 2" xfId="22480" xr:uid="{5230B935-5BC9-484B-AF82-63EF306D7A39}"/>
    <cellStyle name="Normal 4 4 2 2 2 2 3 3 3" xfId="14032" xr:uid="{44A89AC9-2FE4-4881-AC9F-1D327C1A7DB6}"/>
    <cellStyle name="Normal 4 4 2 2 2 2 3 4" xfId="18262" xr:uid="{F3BBD85F-4739-4099-868E-9516A5018A7D}"/>
    <cellStyle name="Normal 4 4 2 2 2 2 3 5" xfId="9814" xr:uid="{AFC4D6F0-4265-4F18-A02E-580CC54608D3}"/>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25038" xr:uid="{F654982A-9E99-44B6-A915-13CCD8ECAF7C}"/>
    <cellStyle name="Normal 4 4 2 2 2 2 4 2 2 3" xfId="16590" xr:uid="{936FBA8C-DA0F-49D4-B155-7CC90A42378E}"/>
    <cellStyle name="Normal 4 4 2 2 2 2 4 2 3" xfId="20820" xr:uid="{E2FFBB35-07B0-476C-A456-B14BAE6691E5}"/>
    <cellStyle name="Normal 4 4 2 2 2 2 4 2 4" xfId="12372" xr:uid="{7C52B128-BA16-485C-863E-611A8F5EB4A2}"/>
    <cellStyle name="Normal 4 4 2 2 2 2 4 3" xfId="5995" xr:uid="{00000000-0005-0000-0000-0000D4140000}"/>
    <cellStyle name="Normal 4 4 2 2 2 2 4 3 2" xfId="22893" xr:uid="{2093F590-3732-43EE-A65B-750E30365053}"/>
    <cellStyle name="Normal 4 4 2 2 2 2 4 3 3" xfId="14445" xr:uid="{0036923F-997C-4E89-81EE-2B9CB4307283}"/>
    <cellStyle name="Normal 4 4 2 2 2 2 4 4" xfId="18675" xr:uid="{12A60A6D-7AE6-48D2-B122-C8C3177C52DA}"/>
    <cellStyle name="Normal 4 4 2 2 2 2 4 5" xfId="10227" xr:uid="{F04227DE-53FF-47EB-9C0B-68983ACD49BB}"/>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25451" xr:uid="{708A53BE-9308-4727-A837-BA9C2F4C339D}"/>
    <cellStyle name="Normal 4 4 2 2 2 2 5 2 2 3" xfId="17003" xr:uid="{C531A82A-C700-4B9E-BEA8-B3687B9F40D9}"/>
    <cellStyle name="Normal 4 4 2 2 2 2 5 2 3" xfId="21233" xr:uid="{953CEF7A-32F7-469F-9127-EE51C975E889}"/>
    <cellStyle name="Normal 4 4 2 2 2 2 5 2 4" xfId="12785" xr:uid="{EBEDC716-2179-401A-BC62-FDC37BAD9A55}"/>
    <cellStyle name="Normal 4 4 2 2 2 2 5 3" xfId="6408" xr:uid="{00000000-0005-0000-0000-0000D8140000}"/>
    <cellStyle name="Normal 4 4 2 2 2 2 5 3 2" xfId="23306" xr:uid="{17567189-0AB9-46FB-B11D-2A8D54C34659}"/>
    <cellStyle name="Normal 4 4 2 2 2 2 5 3 3" xfId="14858" xr:uid="{9EC043D0-43FD-4DAF-B10F-C3C5ECD948EA}"/>
    <cellStyle name="Normal 4 4 2 2 2 2 5 4" xfId="19088" xr:uid="{75849246-2844-4634-8B51-C57187748729}"/>
    <cellStyle name="Normal 4 4 2 2 2 2 5 5" xfId="10640" xr:uid="{BEB04735-BFA2-4712-93F6-A3866DC7CDAE}"/>
    <cellStyle name="Normal 4 4 2 2 2 2 6" xfId="2538" xr:uid="{00000000-0005-0000-0000-0000D9140000}"/>
    <cellStyle name="Normal 4 4 2 2 2 2 6 2" xfId="6821" xr:uid="{00000000-0005-0000-0000-0000DA140000}"/>
    <cellStyle name="Normal 4 4 2 2 2 2 6 2 2" xfId="23719" xr:uid="{95E30641-13D4-46FB-B46E-B5A45DFFC050}"/>
    <cellStyle name="Normal 4 4 2 2 2 2 6 2 3" xfId="15271" xr:uid="{393E48F7-3644-4D8A-A3B0-9214365424CB}"/>
    <cellStyle name="Normal 4 4 2 2 2 2 6 3" xfId="19501" xr:uid="{B058135E-CB63-4BBD-8539-F950FEB0C91C}"/>
    <cellStyle name="Normal 4 4 2 2 2 2 6 4" xfId="11053" xr:uid="{124DF809-22D2-44F8-8FC4-6F5F111F7159}"/>
    <cellStyle name="Normal 4 4 2 2 2 2 7" xfId="4756" xr:uid="{00000000-0005-0000-0000-0000DB140000}"/>
    <cellStyle name="Normal 4 4 2 2 2 2 7 2" xfId="21654" xr:uid="{57872170-3516-4229-8BE8-2C80681B9B55}"/>
    <cellStyle name="Normal 4 4 2 2 2 2 7 3" xfId="13206" xr:uid="{6DB78FF8-AE86-45B1-BCE9-AC4DD1A37FE2}"/>
    <cellStyle name="Normal 4 4 2 2 2 2 8" xfId="17436" xr:uid="{57377D6F-EE5D-40EA-9F88-81FA6A2C0AC4}"/>
    <cellStyle name="Normal 4 4 2 2 2 2 9" xfId="8988" xr:uid="{B5B08BD8-E382-4890-92A2-038333462911}"/>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24211" xr:uid="{BF9A894A-4CE0-4097-9D63-37508F1AEB24}"/>
    <cellStyle name="Normal 4 4 2 2 2 3 2 2 3" xfId="15763" xr:uid="{594642C1-47C5-4E32-BD11-0430481DC069}"/>
    <cellStyle name="Normal 4 4 2 2 2 3 2 3" xfId="19993" xr:uid="{49AEFDA3-73FE-43C4-B049-08A55C451D2A}"/>
    <cellStyle name="Normal 4 4 2 2 2 3 2 4" xfId="11545" xr:uid="{8065D8A1-C874-433A-8746-BD799B981C06}"/>
    <cellStyle name="Normal 4 4 2 2 2 3 3" xfId="5168" xr:uid="{00000000-0005-0000-0000-0000DF140000}"/>
    <cellStyle name="Normal 4 4 2 2 2 3 3 2" xfId="22066" xr:uid="{A4124397-779F-4DAB-A44D-D59B32170556}"/>
    <cellStyle name="Normal 4 4 2 2 2 3 3 3" xfId="13618" xr:uid="{4A9AF74A-50EA-41EC-AA9E-ED4A87AB59BE}"/>
    <cellStyle name="Normal 4 4 2 2 2 3 4" xfId="17848" xr:uid="{4CF4BEFE-00D1-46A5-BD67-D724D8A5A4A6}"/>
    <cellStyle name="Normal 4 4 2 2 2 3 5" xfId="9400" xr:uid="{B0453A6C-DD8A-495E-B670-9F253229C021}"/>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24624" xr:uid="{FF39BC19-9CFF-4B55-B7FC-314D524E8F6D}"/>
    <cellStyle name="Normal 4 4 2 2 2 4 2 2 3" xfId="16176" xr:uid="{54096251-CFFB-42E1-A425-6F1848E4321A}"/>
    <cellStyle name="Normal 4 4 2 2 2 4 2 3" xfId="20406" xr:uid="{8FF3BAAA-0006-4C06-BBC7-6A99806E3348}"/>
    <cellStyle name="Normal 4 4 2 2 2 4 2 4" xfId="11958" xr:uid="{81C0D1BB-EAF3-4FBA-8288-6572943D993C}"/>
    <cellStyle name="Normal 4 4 2 2 2 4 3" xfId="5581" xr:uid="{00000000-0005-0000-0000-0000E3140000}"/>
    <cellStyle name="Normal 4 4 2 2 2 4 3 2" xfId="22479" xr:uid="{5F3AED4B-8E64-493D-A5DC-6EF40C99D08F}"/>
    <cellStyle name="Normal 4 4 2 2 2 4 3 3" xfId="14031" xr:uid="{4A77FA76-3D9F-4172-AECB-4C5A39ECB91A}"/>
    <cellStyle name="Normal 4 4 2 2 2 4 4" xfId="18261" xr:uid="{2A6226CA-C72C-4917-BCED-A031D99A1E3B}"/>
    <cellStyle name="Normal 4 4 2 2 2 4 5" xfId="9813" xr:uid="{52696538-3756-4473-89E9-0069725F4A7B}"/>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25037" xr:uid="{33234CB7-6FEC-4AAF-A2FB-CC6F8BD28948}"/>
    <cellStyle name="Normal 4 4 2 2 2 5 2 2 3" xfId="16589" xr:uid="{9D7FF20B-333D-4E10-92E0-17C5F7594250}"/>
    <cellStyle name="Normal 4 4 2 2 2 5 2 3" xfId="20819" xr:uid="{F72A7DB4-6602-4AE2-8EC3-E729E32D7206}"/>
    <cellStyle name="Normal 4 4 2 2 2 5 2 4" xfId="12371" xr:uid="{47D8030F-FF1E-4936-9C7D-FF3DCF5C788E}"/>
    <cellStyle name="Normal 4 4 2 2 2 5 3" xfId="5994" xr:uid="{00000000-0005-0000-0000-0000E7140000}"/>
    <cellStyle name="Normal 4 4 2 2 2 5 3 2" xfId="22892" xr:uid="{80B96BE4-365D-4DF6-9FFB-71562936E97F}"/>
    <cellStyle name="Normal 4 4 2 2 2 5 3 3" xfId="14444" xr:uid="{C492E77B-C146-4EBC-8273-0F286D2B3AF5}"/>
    <cellStyle name="Normal 4 4 2 2 2 5 4" xfId="18674" xr:uid="{7243C486-0CFD-4E0D-BEB4-4471704BF259}"/>
    <cellStyle name="Normal 4 4 2 2 2 5 5" xfId="10226" xr:uid="{4691C806-5F10-445A-A1DC-73174BB230BB}"/>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25450" xr:uid="{B5C53A23-DB8C-4AAE-B1D0-55805532AA6B}"/>
    <cellStyle name="Normal 4 4 2 2 2 6 2 2 3" xfId="17002" xr:uid="{85F5531A-87A3-4F6A-8FB5-50A8644C9CA3}"/>
    <cellStyle name="Normal 4 4 2 2 2 6 2 3" xfId="21232" xr:uid="{51A41C7C-3A3E-4F1C-A811-19CC4A7D7403}"/>
    <cellStyle name="Normal 4 4 2 2 2 6 2 4" xfId="12784" xr:uid="{BE658B82-0620-4A15-B5E8-1AD50AD3A0A7}"/>
    <cellStyle name="Normal 4 4 2 2 2 6 3" xfId="6407" xr:uid="{00000000-0005-0000-0000-0000EB140000}"/>
    <cellStyle name="Normal 4 4 2 2 2 6 3 2" xfId="23305" xr:uid="{A3F32E21-56A5-420D-B7DA-C6B40B0C1D96}"/>
    <cellStyle name="Normal 4 4 2 2 2 6 3 3" xfId="14857" xr:uid="{284DE96E-17A9-4929-A10C-34CF503B02C7}"/>
    <cellStyle name="Normal 4 4 2 2 2 6 4" xfId="19087" xr:uid="{CC7BEDD7-3162-4787-932A-53B42A3C0751}"/>
    <cellStyle name="Normal 4 4 2 2 2 6 5" xfId="10639" xr:uid="{D9DEDD42-EC44-4337-AB9A-24BAB32EB063}"/>
    <cellStyle name="Normal 4 4 2 2 2 7" xfId="2537" xr:uid="{00000000-0005-0000-0000-0000EC140000}"/>
    <cellStyle name="Normal 4 4 2 2 2 7 2" xfId="6820" xr:uid="{00000000-0005-0000-0000-0000ED140000}"/>
    <cellStyle name="Normal 4 4 2 2 2 7 2 2" xfId="23718" xr:uid="{7F893AF4-F5B1-4ABE-89D0-917860096D4E}"/>
    <cellStyle name="Normal 4 4 2 2 2 7 2 3" xfId="15270" xr:uid="{406F1113-186E-4C8C-A762-449255E6CD81}"/>
    <cellStyle name="Normal 4 4 2 2 2 7 3" xfId="19500" xr:uid="{85C0C197-22B5-4BFB-B9A0-8EB11DCDBF27}"/>
    <cellStyle name="Normal 4 4 2 2 2 7 4" xfId="11052" xr:uid="{E846039F-CA12-48F7-AD73-5EF0751DDF88}"/>
    <cellStyle name="Normal 4 4 2 2 2 8" xfId="4755" xr:uid="{00000000-0005-0000-0000-0000EE140000}"/>
    <cellStyle name="Normal 4 4 2 2 2 8 2" xfId="21653" xr:uid="{593EA45F-3B70-42BB-8308-78F7C01BA8F4}"/>
    <cellStyle name="Normal 4 4 2 2 2 8 3" xfId="13205" xr:uid="{77BE6A41-A191-417D-953C-DABB615F3D6C}"/>
    <cellStyle name="Normal 4 4 2 2 2 9" xfId="17435" xr:uid="{EAADA66D-D21C-43F8-8C5A-BF9832FCD88A}"/>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24213" xr:uid="{D6EE18FD-4501-4AEE-9746-920020C1AD3B}"/>
    <cellStyle name="Normal 4 4 2 2 3 2 2 2 3" xfId="15765" xr:uid="{5157AB07-6DB1-4EDC-BE59-573ADDE4DA89}"/>
    <cellStyle name="Normal 4 4 2 2 3 2 2 3" xfId="19995" xr:uid="{870200DA-7260-4723-9E76-6B4D350486EB}"/>
    <cellStyle name="Normal 4 4 2 2 3 2 2 4" xfId="11547" xr:uid="{62B21584-A022-4E34-BC1D-1CE059B13539}"/>
    <cellStyle name="Normal 4 4 2 2 3 2 3" xfId="5170" xr:uid="{00000000-0005-0000-0000-0000F3140000}"/>
    <cellStyle name="Normal 4 4 2 2 3 2 3 2" xfId="22068" xr:uid="{3FAA7CE8-7803-41EC-B8C9-F9C817AB642C}"/>
    <cellStyle name="Normal 4 4 2 2 3 2 3 3" xfId="13620" xr:uid="{B38196DC-F93E-4158-915C-B366357400AC}"/>
    <cellStyle name="Normal 4 4 2 2 3 2 4" xfId="17850" xr:uid="{A65C943B-BA1A-4D4F-8AD4-FC371BD72022}"/>
    <cellStyle name="Normal 4 4 2 2 3 2 5" xfId="9402" xr:uid="{EC8A756C-6063-495C-B30A-ACCBBF0ACECC}"/>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24626" xr:uid="{3D101C7E-C40C-41B6-A38E-50C7787A55BF}"/>
    <cellStyle name="Normal 4 4 2 2 3 3 2 2 3" xfId="16178" xr:uid="{FBD1B14B-108E-409F-8A66-DF8741A64AC9}"/>
    <cellStyle name="Normal 4 4 2 2 3 3 2 3" xfId="20408" xr:uid="{BDF570A2-8CB6-4F25-B844-4A084BA2383A}"/>
    <cellStyle name="Normal 4 4 2 2 3 3 2 4" xfId="11960" xr:uid="{637F090A-13C2-4D2E-87EA-0460DE8EA6A7}"/>
    <cellStyle name="Normal 4 4 2 2 3 3 3" xfId="5583" xr:uid="{00000000-0005-0000-0000-0000F7140000}"/>
    <cellStyle name="Normal 4 4 2 2 3 3 3 2" xfId="22481" xr:uid="{04469A60-DA6C-4997-A92C-FB0BE88BF174}"/>
    <cellStyle name="Normal 4 4 2 2 3 3 3 3" xfId="14033" xr:uid="{52362A81-38A5-4F34-96B8-32F225316E3D}"/>
    <cellStyle name="Normal 4 4 2 2 3 3 4" xfId="18263" xr:uid="{C7F593FD-00FB-4499-85D5-5B1CCAD11A99}"/>
    <cellStyle name="Normal 4 4 2 2 3 3 5" xfId="9815" xr:uid="{C1197BB9-733E-4595-B32F-82645C540652}"/>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25039" xr:uid="{C94F0C07-347D-4C2A-8F47-F8B538530C5C}"/>
    <cellStyle name="Normal 4 4 2 2 3 4 2 2 3" xfId="16591" xr:uid="{D49C0E9A-F3DF-4E96-AEA3-95F97C3D8ED2}"/>
    <cellStyle name="Normal 4 4 2 2 3 4 2 3" xfId="20821" xr:uid="{CF6BD9BD-717A-4023-88EF-2F8C1E9FD329}"/>
    <cellStyle name="Normal 4 4 2 2 3 4 2 4" xfId="12373" xr:uid="{753BA4AD-4183-4E43-A630-FDB62B52FD18}"/>
    <cellStyle name="Normal 4 4 2 2 3 4 3" xfId="5996" xr:uid="{00000000-0005-0000-0000-0000FB140000}"/>
    <cellStyle name="Normal 4 4 2 2 3 4 3 2" xfId="22894" xr:uid="{521E288C-CC1A-4AA1-9169-457897EF1DDA}"/>
    <cellStyle name="Normal 4 4 2 2 3 4 3 3" xfId="14446" xr:uid="{6F59CD8E-78CB-40E0-B346-62305A590AF9}"/>
    <cellStyle name="Normal 4 4 2 2 3 4 4" xfId="18676" xr:uid="{2DD805B1-A8E5-4B94-A70C-F3615F4D5C57}"/>
    <cellStyle name="Normal 4 4 2 2 3 4 5" xfId="10228" xr:uid="{B3C55912-92B1-47DB-AF6C-0EE16B90A73D}"/>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25452" xr:uid="{2DA6C9CB-6B2D-44FA-88A3-7E20F554297E}"/>
    <cellStyle name="Normal 4 4 2 2 3 5 2 2 3" xfId="17004" xr:uid="{267DE06A-D9A9-4A28-BEF0-BD43800B4975}"/>
    <cellStyle name="Normal 4 4 2 2 3 5 2 3" xfId="21234" xr:uid="{68A258BC-5612-497C-88BB-C288C1A95EF8}"/>
    <cellStyle name="Normal 4 4 2 2 3 5 2 4" xfId="12786" xr:uid="{BE41B479-0806-464D-A388-1696B73160DC}"/>
    <cellStyle name="Normal 4 4 2 2 3 5 3" xfId="6409" xr:uid="{00000000-0005-0000-0000-0000FF140000}"/>
    <cellStyle name="Normal 4 4 2 2 3 5 3 2" xfId="23307" xr:uid="{9E42AE12-783F-476D-8316-F8ACF2615856}"/>
    <cellStyle name="Normal 4 4 2 2 3 5 3 3" xfId="14859" xr:uid="{48F6DDF7-179B-4A3B-BDFA-2DF8054400F1}"/>
    <cellStyle name="Normal 4 4 2 2 3 5 4" xfId="19089" xr:uid="{D0D08D71-391A-4680-A2AA-AF65932F8E86}"/>
    <cellStyle name="Normal 4 4 2 2 3 5 5" xfId="10641" xr:uid="{098D3C1E-6756-4F66-A0B0-C16170C71C26}"/>
    <cellStyle name="Normal 4 4 2 2 3 6" xfId="2539" xr:uid="{00000000-0005-0000-0000-000000150000}"/>
    <cellStyle name="Normal 4 4 2 2 3 6 2" xfId="6822" xr:uid="{00000000-0005-0000-0000-000001150000}"/>
    <cellStyle name="Normal 4 4 2 2 3 6 2 2" xfId="23720" xr:uid="{40ADD579-6F3C-4F4A-A696-EC4180040412}"/>
    <cellStyle name="Normal 4 4 2 2 3 6 2 3" xfId="15272" xr:uid="{BEF1BB3E-AD30-4EFD-89A7-D521753C8452}"/>
    <cellStyle name="Normal 4 4 2 2 3 6 3" xfId="19502" xr:uid="{42B72602-792A-4201-96C7-32AE3DC6A2EE}"/>
    <cellStyle name="Normal 4 4 2 2 3 6 4" xfId="11054" xr:uid="{1F7C59B4-EE19-4C51-9FC6-6E9256AF3450}"/>
    <cellStyle name="Normal 4 4 2 2 3 7" xfId="4757" xr:uid="{00000000-0005-0000-0000-000002150000}"/>
    <cellStyle name="Normal 4 4 2 2 3 7 2" xfId="21655" xr:uid="{25EFC7BA-FD37-403E-B004-85A86E1C2760}"/>
    <cellStyle name="Normal 4 4 2 2 3 7 3" xfId="13207" xr:uid="{D203BCE4-1D8C-444E-A24B-5336534F7055}"/>
    <cellStyle name="Normal 4 4 2 2 3 8" xfId="17437" xr:uid="{4CD28AC2-E3F7-4F82-AE6D-4EDB8399CE4C}"/>
    <cellStyle name="Normal 4 4 2 2 3 9" xfId="8989" xr:uid="{F2839BCB-94FD-4FDE-B682-9E797015E4C4}"/>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24210" xr:uid="{D0654D1A-0406-44C3-961D-844AA7673F17}"/>
    <cellStyle name="Normal 4 4 2 2 4 2 2 3" xfId="15762" xr:uid="{BF16D5AB-934B-44B5-ABA9-B54EA42D9DF1}"/>
    <cellStyle name="Normal 4 4 2 2 4 2 3" xfId="19992" xr:uid="{BABF23C4-CE2E-4791-A571-88E1097DB54C}"/>
    <cellStyle name="Normal 4 4 2 2 4 2 4" xfId="11544" xr:uid="{F37C41AB-A02B-45BA-A621-86CFE5458165}"/>
    <cellStyle name="Normal 4 4 2 2 4 3" xfId="5167" xr:uid="{00000000-0005-0000-0000-000006150000}"/>
    <cellStyle name="Normal 4 4 2 2 4 3 2" xfId="22065" xr:uid="{EB82A6E4-0094-48A4-99AE-8F9AFFF64DF0}"/>
    <cellStyle name="Normal 4 4 2 2 4 3 3" xfId="13617" xr:uid="{3201BB5E-F4E3-42B6-AA7C-FE133AF84F97}"/>
    <cellStyle name="Normal 4 4 2 2 4 4" xfId="17847" xr:uid="{46A9CC79-9DDA-4B89-B914-5DE65D9B6397}"/>
    <cellStyle name="Normal 4 4 2 2 4 5" xfId="9399" xr:uid="{104955DF-5B24-4D4E-B934-AE4AB91EFEE5}"/>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24623" xr:uid="{0C6030A1-4A0D-4620-8AB0-D3AE3A3D293D}"/>
    <cellStyle name="Normal 4 4 2 2 5 2 2 3" xfId="16175" xr:uid="{170BF1B9-1584-4D7E-881E-8ED129FD1094}"/>
    <cellStyle name="Normal 4 4 2 2 5 2 3" xfId="20405" xr:uid="{24B2F4BC-72B4-4568-A7D4-CBF6243B21AC}"/>
    <cellStyle name="Normal 4 4 2 2 5 2 4" xfId="11957" xr:uid="{CF1E5BE9-45F6-481C-BDBF-08CD0EC7D7DC}"/>
    <cellStyle name="Normal 4 4 2 2 5 3" xfId="5580" xr:uid="{00000000-0005-0000-0000-00000A150000}"/>
    <cellStyle name="Normal 4 4 2 2 5 3 2" xfId="22478" xr:uid="{45CAEE27-3D9F-4BEB-880A-A9B0ECDE5E6A}"/>
    <cellStyle name="Normal 4 4 2 2 5 3 3" xfId="14030" xr:uid="{D2486212-8E8C-4147-BD35-8ED67D0B2205}"/>
    <cellStyle name="Normal 4 4 2 2 5 4" xfId="18260" xr:uid="{A48CEC64-1773-4BA6-899F-FB85FEE9A134}"/>
    <cellStyle name="Normal 4 4 2 2 5 5" xfId="9812" xr:uid="{67758E40-D1CF-44E6-A0EA-AE3281348887}"/>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25036" xr:uid="{CBB4248D-F4DF-456F-BAA7-F7CCFBF0516E}"/>
    <cellStyle name="Normal 4 4 2 2 6 2 2 3" xfId="16588" xr:uid="{A2A694F9-7B0F-4B54-AA2F-91579A82502B}"/>
    <cellStyle name="Normal 4 4 2 2 6 2 3" xfId="20818" xr:uid="{4C52EB5D-2B9C-4B7D-B2FF-78CF36F281E4}"/>
    <cellStyle name="Normal 4 4 2 2 6 2 4" xfId="12370" xr:uid="{57457176-F1F3-4D88-B814-9604242F037D}"/>
    <cellStyle name="Normal 4 4 2 2 6 3" xfId="5993" xr:uid="{00000000-0005-0000-0000-00000E150000}"/>
    <cellStyle name="Normal 4 4 2 2 6 3 2" xfId="22891" xr:uid="{D8E865CD-C899-4EA5-ACF5-91C0B0925E46}"/>
    <cellStyle name="Normal 4 4 2 2 6 3 3" xfId="14443" xr:uid="{0F4DFEEA-DF3F-4000-A6E5-331B7A0E6724}"/>
    <cellStyle name="Normal 4 4 2 2 6 4" xfId="18673" xr:uid="{770E287D-4824-464B-B7AE-0246B74ABD62}"/>
    <cellStyle name="Normal 4 4 2 2 6 5" xfId="10225" xr:uid="{1961BAF9-F80B-4065-AB2F-5466C2E4A533}"/>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25449" xr:uid="{F2D1208F-E9D2-42C2-A57C-7897E43FBFB1}"/>
    <cellStyle name="Normal 4 4 2 2 7 2 2 3" xfId="17001" xr:uid="{7FD7C603-AC34-42CE-B657-5A2B3E6F5FB0}"/>
    <cellStyle name="Normal 4 4 2 2 7 2 3" xfId="21231" xr:uid="{8032FBCD-BC78-4E7A-8631-B91F5B244D75}"/>
    <cellStyle name="Normal 4 4 2 2 7 2 4" xfId="12783" xr:uid="{9AF29107-3189-42DE-894F-C83D722AD4D2}"/>
    <cellStyle name="Normal 4 4 2 2 7 3" xfId="6406" xr:uid="{00000000-0005-0000-0000-000012150000}"/>
    <cellStyle name="Normal 4 4 2 2 7 3 2" xfId="23304" xr:uid="{AC5CA256-09FE-4BC7-8368-CC38067AE53D}"/>
    <cellStyle name="Normal 4 4 2 2 7 3 3" xfId="14856" xr:uid="{9B42878D-E02E-4521-A2C2-EE841A705889}"/>
    <cellStyle name="Normal 4 4 2 2 7 4" xfId="19086" xr:uid="{4071093E-EEED-4EA8-B83E-18D156DD2473}"/>
    <cellStyle name="Normal 4 4 2 2 7 5" xfId="10638" xr:uid="{38477670-9618-47DE-88CE-3B831BB553EF}"/>
    <cellStyle name="Normal 4 4 2 2 8" xfId="2536" xr:uid="{00000000-0005-0000-0000-000013150000}"/>
    <cellStyle name="Normal 4 4 2 2 8 2" xfId="6819" xr:uid="{00000000-0005-0000-0000-000014150000}"/>
    <cellStyle name="Normal 4 4 2 2 8 2 2" xfId="23717" xr:uid="{94AAA141-D47D-488E-BB08-739E9E9C7978}"/>
    <cellStyle name="Normal 4 4 2 2 8 2 3" xfId="15269" xr:uid="{B93FFA3E-D289-402F-A1D2-59BEE8EFCEB7}"/>
    <cellStyle name="Normal 4 4 2 2 8 3" xfId="19499" xr:uid="{A914C09E-42C8-43C1-A436-F9E8AED7E52E}"/>
    <cellStyle name="Normal 4 4 2 2 8 4" xfId="11051" xr:uid="{E1478F2F-21FC-4ED5-BA1D-9954516E3D2E}"/>
    <cellStyle name="Normal 4 4 2 2 9" xfId="4754" xr:uid="{00000000-0005-0000-0000-000015150000}"/>
    <cellStyle name="Normal 4 4 2 2 9 2" xfId="21652" xr:uid="{872DD24A-5EDB-4281-A47F-5F4FB9C164B6}"/>
    <cellStyle name="Normal 4 4 2 2 9 3" xfId="13204" xr:uid="{FB0EA1D6-6C17-45B8-AE45-389C1C51CB38}"/>
    <cellStyle name="Normal 4 4 2 3" xfId="384" xr:uid="{00000000-0005-0000-0000-000016150000}"/>
    <cellStyle name="Normal 4 4 2 3 10" xfId="8990" xr:uid="{19A19B51-1A1D-4CB0-BE37-E4DC0013EDB7}"/>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24215" xr:uid="{7C0E7AF9-8C46-4A75-B934-3733030A35FF}"/>
    <cellStyle name="Normal 4 4 2 3 2 2 2 2 3" xfId="15767" xr:uid="{6A012F36-C391-4E57-A48C-2597F2B0802F}"/>
    <cellStyle name="Normal 4 4 2 3 2 2 2 3" xfId="19997" xr:uid="{7DA394A4-3D11-4FC0-A51C-106762974DEC}"/>
    <cellStyle name="Normal 4 4 2 3 2 2 2 4" xfId="11549" xr:uid="{CDE7C93A-D726-4173-83DC-E5C84DD8218A}"/>
    <cellStyle name="Normal 4 4 2 3 2 2 3" xfId="5172" xr:uid="{00000000-0005-0000-0000-00001B150000}"/>
    <cellStyle name="Normal 4 4 2 3 2 2 3 2" xfId="22070" xr:uid="{B00CE3EB-C124-4974-969D-DC17A876FA34}"/>
    <cellStyle name="Normal 4 4 2 3 2 2 3 3" xfId="13622" xr:uid="{5D2847F2-A114-41DD-8372-7C2468ECB2AC}"/>
    <cellStyle name="Normal 4 4 2 3 2 2 4" xfId="17852" xr:uid="{0FE4ABF3-1F6E-493A-B163-0EAD74EA952C}"/>
    <cellStyle name="Normal 4 4 2 3 2 2 5" xfId="9404" xr:uid="{C71F5392-C46E-4086-8A06-489AA8884202}"/>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24628" xr:uid="{CCAD47F0-78AF-4B93-83BF-ED533B1469FF}"/>
    <cellStyle name="Normal 4 4 2 3 2 3 2 2 3" xfId="16180" xr:uid="{19385944-2ACE-4932-A869-37680A345CA6}"/>
    <cellStyle name="Normal 4 4 2 3 2 3 2 3" xfId="20410" xr:uid="{31DB6025-6CD9-49FD-B9E4-F41633E300DF}"/>
    <cellStyle name="Normal 4 4 2 3 2 3 2 4" xfId="11962" xr:uid="{87BA0B34-E05D-4A89-AC49-CA85AA2513F5}"/>
    <cellStyle name="Normal 4 4 2 3 2 3 3" xfId="5585" xr:uid="{00000000-0005-0000-0000-00001F150000}"/>
    <cellStyle name="Normal 4 4 2 3 2 3 3 2" xfId="22483" xr:uid="{71D41181-9036-4149-B815-67F8FF4612E0}"/>
    <cellStyle name="Normal 4 4 2 3 2 3 3 3" xfId="14035" xr:uid="{91BD647E-C4E8-4658-92E8-3D95BC43A7C9}"/>
    <cellStyle name="Normal 4 4 2 3 2 3 4" xfId="18265" xr:uid="{C11DE21E-B20E-4308-838C-B522D2F280A0}"/>
    <cellStyle name="Normal 4 4 2 3 2 3 5" xfId="9817" xr:uid="{0646B8A6-A7D2-4505-9521-ED2F2B31D6EB}"/>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25041" xr:uid="{CDDE7591-2BB1-40CE-A178-2B4901F0905A}"/>
    <cellStyle name="Normal 4 4 2 3 2 4 2 2 3" xfId="16593" xr:uid="{71D6BEE5-40D4-473E-A818-CB24CD745193}"/>
    <cellStyle name="Normal 4 4 2 3 2 4 2 3" xfId="20823" xr:uid="{D6372A5F-DFFF-45E7-8C7F-62FCAAFD9FDC}"/>
    <cellStyle name="Normal 4 4 2 3 2 4 2 4" xfId="12375" xr:uid="{E7D44391-75D7-4745-8832-044A5A89BB4E}"/>
    <cellStyle name="Normal 4 4 2 3 2 4 3" xfId="5998" xr:uid="{00000000-0005-0000-0000-000023150000}"/>
    <cellStyle name="Normal 4 4 2 3 2 4 3 2" xfId="22896" xr:uid="{23F2398E-3FE6-4FD4-B051-EA2C4122FAE5}"/>
    <cellStyle name="Normal 4 4 2 3 2 4 3 3" xfId="14448" xr:uid="{8F5FBFE5-9147-42DA-B899-9E0F5331370D}"/>
    <cellStyle name="Normal 4 4 2 3 2 4 4" xfId="18678" xr:uid="{BED65C42-E3E1-417D-A941-9154882BC3EF}"/>
    <cellStyle name="Normal 4 4 2 3 2 4 5" xfId="10230" xr:uid="{3AA9DFCD-459C-4908-A7B1-DE1A868D9C75}"/>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25454" xr:uid="{DD09F193-C403-4A3D-B3A6-76408C704E23}"/>
    <cellStyle name="Normal 4 4 2 3 2 5 2 2 3" xfId="17006" xr:uid="{EB16FBB6-0C5C-4DF0-9926-A39F4339E98F}"/>
    <cellStyle name="Normal 4 4 2 3 2 5 2 3" xfId="21236" xr:uid="{AC84F6B2-4AE7-4B92-8577-549072D48C6C}"/>
    <cellStyle name="Normal 4 4 2 3 2 5 2 4" xfId="12788" xr:uid="{6ACD7CBB-5ACB-4851-900B-D460D99F9A1C}"/>
    <cellStyle name="Normal 4 4 2 3 2 5 3" xfId="6411" xr:uid="{00000000-0005-0000-0000-000027150000}"/>
    <cellStyle name="Normal 4 4 2 3 2 5 3 2" xfId="23309" xr:uid="{1FC7B6C5-3C66-47B7-960B-31BE4C095E5C}"/>
    <cellStyle name="Normal 4 4 2 3 2 5 3 3" xfId="14861" xr:uid="{D021E835-6470-424F-97FB-B5CDC883E85A}"/>
    <cellStyle name="Normal 4 4 2 3 2 5 4" xfId="19091" xr:uid="{49C244C1-0F95-40B5-B9AF-BA76FAD5A84A}"/>
    <cellStyle name="Normal 4 4 2 3 2 5 5" xfId="10643" xr:uid="{7EF3C867-6918-4695-97E9-F3C846AC7AE2}"/>
    <cellStyle name="Normal 4 4 2 3 2 6" xfId="2541" xr:uid="{00000000-0005-0000-0000-000028150000}"/>
    <cellStyle name="Normal 4 4 2 3 2 6 2" xfId="6824" xr:uid="{00000000-0005-0000-0000-000029150000}"/>
    <cellStyle name="Normal 4 4 2 3 2 6 2 2" xfId="23722" xr:uid="{6AB70633-2D0C-4F0C-B545-FE0AEFC9901C}"/>
    <cellStyle name="Normal 4 4 2 3 2 6 2 3" xfId="15274" xr:uid="{B409026C-2DCE-4C0B-8A9E-CF3B9B85B90E}"/>
    <cellStyle name="Normal 4 4 2 3 2 6 3" xfId="19504" xr:uid="{945083D6-C4FE-4ABB-B3F9-D03BA74C229D}"/>
    <cellStyle name="Normal 4 4 2 3 2 6 4" xfId="11056" xr:uid="{1C3616EF-621C-49DF-9164-8E8621D7CF37}"/>
    <cellStyle name="Normal 4 4 2 3 2 7" xfId="4759" xr:uid="{00000000-0005-0000-0000-00002A150000}"/>
    <cellStyle name="Normal 4 4 2 3 2 7 2" xfId="21657" xr:uid="{2E30249B-4484-4178-9092-2A2F59B6262E}"/>
    <cellStyle name="Normal 4 4 2 3 2 7 3" xfId="13209" xr:uid="{5E751037-F242-4E2A-9BF2-A6436DF6B088}"/>
    <cellStyle name="Normal 4 4 2 3 2 8" xfId="17439" xr:uid="{30048D9B-AB07-4494-8A88-8E2BBB5517B6}"/>
    <cellStyle name="Normal 4 4 2 3 2 9" xfId="8991" xr:uid="{E9F0BE0B-5E6B-4EF6-87D9-701F13F4C43B}"/>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24214" xr:uid="{E1F6A424-6D64-4EA3-B856-007116EE6F62}"/>
    <cellStyle name="Normal 4 4 2 3 3 2 2 3" xfId="15766" xr:uid="{E597FB26-B55E-4976-A1C8-C1C0244693A9}"/>
    <cellStyle name="Normal 4 4 2 3 3 2 3" xfId="19996" xr:uid="{9D17F8AC-23CF-4513-B86D-7C2FD1E579B3}"/>
    <cellStyle name="Normal 4 4 2 3 3 2 4" xfId="11548" xr:uid="{FE06DC26-FCC2-4812-A3F7-AA58CAA0F617}"/>
    <cellStyle name="Normal 4 4 2 3 3 3" xfId="5171" xr:uid="{00000000-0005-0000-0000-00002E150000}"/>
    <cellStyle name="Normal 4 4 2 3 3 3 2" xfId="22069" xr:uid="{4E8D0A60-FCB7-4991-9871-DE7CDAB67019}"/>
    <cellStyle name="Normal 4 4 2 3 3 3 3" xfId="13621" xr:uid="{50958F10-A00F-490C-9604-3FAE49D49684}"/>
    <cellStyle name="Normal 4 4 2 3 3 4" xfId="17851" xr:uid="{4DEF1D78-C491-463B-BCD7-C873B61D2BD8}"/>
    <cellStyle name="Normal 4 4 2 3 3 5" xfId="9403" xr:uid="{600BCE79-E792-41FB-9988-66D0EEFDD010}"/>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24627" xr:uid="{E51AC695-6F76-4C69-A9DD-8263728A1894}"/>
    <cellStyle name="Normal 4 4 2 3 4 2 2 3" xfId="16179" xr:uid="{D491EB94-EC6E-43FC-AAAD-DFE585731460}"/>
    <cellStyle name="Normal 4 4 2 3 4 2 3" xfId="20409" xr:uid="{E5FDF3AD-B047-4DD4-A176-D2D8F01E1253}"/>
    <cellStyle name="Normal 4 4 2 3 4 2 4" xfId="11961" xr:uid="{FB2677EB-01A3-46B6-8B6D-EFB44603027B}"/>
    <cellStyle name="Normal 4 4 2 3 4 3" xfId="5584" xr:uid="{00000000-0005-0000-0000-000032150000}"/>
    <cellStyle name="Normal 4 4 2 3 4 3 2" xfId="22482" xr:uid="{F6F4D888-9A31-45DC-9D63-77B23E07AE79}"/>
    <cellStyle name="Normal 4 4 2 3 4 3 3" xfId="14034" xr:uid="{8A038EE6-B472-4690-8EE0-EB98A203BA1C}"/>
    <cellStyle name="Normal 4 4 2 3 4 4" xfId="18264" xr:uid="{1FF4CE3A-91FD-4DB0-8311-536AE5AC5F8B}"/>
    <cellStyle name="Normal 4 4 2 3 4 5" xfId="9816" xr:uid="{B0C8F46C-8DDA-4CF2-8DE7-DF335F85EBD4}"/>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25040" xr:uid="{227248CF-C133-4222-86BB-ABF730863178}"/>
    <cellStyle name="Normal 4 4 2 3 5 2 2 3" xfId="16592" xr:uid="{83FD3526-FAFD-47D7-B5B7-0CD029F3F9BF}"/>
    <cellStyle name="Normal 4 4 2 3 5 2 3" xfId="20822" xr:uid="{22AC34DF-6367-4190-911B-99F0C90E9BBC}"/>
    <cellStyle name="Normal 4 4 2 3 5 2 4" xfId="12374" xr:uid="{636502FE-E19C-4E91-8530-B9A7210D97C4}"/>
    <cellStyle name="Normal 4 4 2 3 5 3" xfId="5997" xr:uid="{00000000-0005-0000-0000-000036150000}"/>
    <cellStyle name="Normal 4 4 2 3 5 3 2" xfId="22895" xr:uid="{479D9109-C1A6-4446-9CF3-27B493D1706E}"/>
    <cellStyle name="Normal 4 4 2 3 5 3 3" xfId="14447" xr:uid="{EB380B91-F644-4B3E-8116-A5942A8529ED}"/>
    <cellStyle name="Normal 4 4 2 3 5 4" xfId="18677" xr:uid="{8DA21EF2-72B1-403B-94DA-ED3444544AAC}"/>
    <cellStyle name="Normal 4 4 2 3 5 5" xfId="10229" xr:uid="{55CA26E9-5B76-443D-863E-AC7476AF1C90}"/>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25453" xr:uid="{653DF728-62EC-4CB7-B08E-0B871B5B5AAA}"/>
    <cellStyle name="Normal 4 4 2 3 6 2 2 3" xfId="17005" xr:uid="{CF8FF09E-1E51-40B2-8BF8-C11AD4F0FF61}"/>
    <cellStyle name="Normal 4 4 2 3 6 2 3" xfId="21235" xr:uid="{2678E75E-6591-4996-9791-71547FF69173}"/>
    <cellStyle name="Normal 4 4 2 3 6 2 4" xfId="12787" xr:uid="{FAC693F8-51F9-4F5B-8045-EE4BEC1466C6}"/>
    <cellStyle name="Normal 4 4 2 3 6 3" xfId="6410" xr:uid="{00000000-0005-0000-0000-00003A150000}"/>
    <cellStyle name="Normal 4 4 2 3 6 3 2" xfId="23308" xr:uid="{7DA22F63-DD63-46CA-92B4-F3D5F15E5C2F}"/>
    <cellStyle name="Normal 4 4 2 3 6 3 3" xfId="14860" xr:uid="{BF1F8B0C-5E05-4A3B-A0C2-278977D50EDE}"/>
    <cellStyle name="Normal 4 4 2 3 6 4" xfId="19090" xr:uid="{E0B4DCD8-AEE5-4347-A332-079974308DA2}"/>
    <cellStyle name="Normal 4 4 2 3 6 5" xfId="10642" xr:uid="{95058315-4FED-40B7-9646-B7E9461C1794}"/>
    <cellStyle name="Normal 4 4 2 3 7" xfId="2540" xr:uid="{00000000-0005-0000-0000-00003B150000}"/>
    <cellStyle name="Normal 4 4 2 3 7 2" xfId="6823" xr:uid="{00000000-0005-0000-0000-00003C150000}"/>
    <cellStyle name="Normal 4 4 2 3 7 2 2" xfId="23721" xr:uid="{750E89B3-602A-4691-9F11-30DA71DEEB63}"/>
    <cellStyle name="Normal 4 4 2 3 7 2 3" xfId="15273" xr:uid="{CEFD2656-F8C8-4652-8B88-891E9E844D94}"/>
    <cellStyle name="Normal 4 4 2 3 7 3" xfId="19503" xr:uid="{E7784EBE-F811-462A-8964-07B04AFE9792}"/>
    <cellStyle name="Normal 4 4 2 3 7 4" xfId="11055" xr:uid="{AFC11C43-33DD-4E03-8576-F2EE4DB63BEA}"/>
    <cellStyle name="Normal 4 4 2 3 8" xfId="4758" xr:uid="{00000000-0005-0000-0000-00003D150000}"/>
    <cellStyle name="Normal 4 4 2 3 8 2" xfId="21656" xr:uid="{03A911BF-C8BC-47CB-A6A6-D86C673D63ED}"/>
    <cellStyle name="Normal 4 4 2 3 8 3" xfId="13208" xr:uid="{0E508542-8AF8-41EF-883B-9DD17BEEF8CC}"/>
    <cellStyle name="Normal 4 4 2 3 9" xfId="17438" xr:uid="{36E7C4EA-801D-4D9E-A9F0-C2CE7BFFC627}"/>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24216" xr:uid="{568149F5-BA98-4B2D-B945-F9719BA5AB7C}"/>
    <cellStyle name="Normal 4 4 2 4 2 2 2 3" xfId="15768" xr:uid="{6415A4E9-D337-4991-82D4-D82AB64C8515}"/>
    <cellStyle name="Normal 4 4 2 4 2 2 3" xfId="19998" xr:uid="{F99FB8BA-7A95-4CF3-8507-DEC8A6AFD633}"/>
    <cellStyle name="Normal 4 4 2 4 2 2 4" xfId="11550" xr:uid="{DD89FCE5-B632-4B62-8B05-07D7482C4CEE}"/>
    <cellStyle name="Normal 4 4 2 4 2 3" xfId="5173" xr:uid="{00000000-0005-0000-0000-000042150000}"/>
    <cellStyle name="Normal 4 4 2 4 2 3 2" xfId="22071" xr:uid="{CD5503A4-ECA1-45DC-9463-58A35B81446C}"/>
    <cellStyle name="Normal 4 4 2 4 2 3 3" xfId="13623" xr:uid="{FB2EAFB9-B071-4E83-86C4-FA2C86DEB37E}"/>
    <cellStyle name="Normal 4 4 2 4 2 4" xfId="17853" xr:uid="{BAEC6BC4-E4B9-49B7-8567-121B46B9C224}"/>
    <cellStyle name="Normal 4 4 2 4 2 5" xfId="9405" xr:uid="{4CBC7FAD-6550-4225-A23C-B9E8DBE28A96}"/>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24629" xr:uid="{1C6DEA07-1EF7-4651-88BC-6DBC89482328}"/>
    <cellStyle name="Normal 4 4 2 4 3 2 2 3" xfId="16181" xr:uid="{8E749B48-4D33-4B75-B545-71C20F210352}"/>
    <cellStyle name="Normal 4 4 2 4 3 2 3" xfId="20411" xr:uid="{E5233D58-13D0-4524-B9C3-39718F05A269}"/>
    <cellStyle name="Normal 4 4 2 4 3 2 4" xfId="11963" xr:uid="{D68A1F91-5C81-4ED9-9F73-0D156920FB04}"/>
    <cellStyle name="Normal 4 4 2 4 3 3" xfId="5586" xr:uid="{00000000-0005-0000-0000-000046150000}"/>
    <cellStyle name="Normal 4 4 2 4 3 3 2" xfId="22484" xr:uid="{000114CB-29D3-4B94-8DF6-D5E465E0B6AC}"/>
    <cellStyle name="Normal 4 4 2 4 3 3 3" xfId="14036" xr:uid="{F639F93B-958E-48B5-9C79-1C74D3462AAD}"/>
    <cellStyle name="Normal 4 4 2 4 3 4" xfId="18266" xr:uid="{2CBA684D-EE9D-4773-86BD-EBDB65192C01}"/>
    <cellStyle name="Normal 4 4 2 4 3 5" xfId="9818" xr:uid="{B9E2221D-FDB5-4658-8B7C-D475F44D210E}"/>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25042" xr:uid="{C1CAB6EE-4E95-400C-9A24-08DB09CFB634}"/>
    <cellStyle name="Normal 4 4 2 4 4 2 2 3" xfId="16594" xr:uid="{8705E82E-EAF9-470F-87AB-5611EA0C6353}"/>
    <cellStyle name="Normal 4 4 2 4 4 2 3" xfId="20824" xr:uid="{BC8647D3-5B6F-4E75-9D02-E2D52EAA7E6C}"/>
    <cellStyle name="Normal 4 4 2 4 4 2 4" xfId="12376" xr:uid="{F238D9C6-7E22-4BA7-B701-22A28889B8E7}"/>
    <cellStyle name="Normal 4 4 2 4 4 3" xfId="5999" xr:uid="{00000000-0005-0000-0000-00004A150000}"/>
    <cellStyle name="Normal 4 4 2 4 4 3 2" xfId="22897" xr:uid="{9712E4D4-35A1-449A-9CA9-7A43A3463594}"/>
    <cellStyle name="Normal 4 4 2 4 4 3 3" xfId="14449" xr:uid="{245AE1E8-F216-4D85-BCDD-E0E2A3222A40}"/>
    <cellStyle name="Normal 4 4 2 4 4 4" xfId="18679" xr:uid="{91268464-5CE9-44A0-8E0D-B8F984D0CA3C}"/>
    <cellStyle name="Normal 4 4 2 4 4 5" xfId="10231" xr:uid="{234AF969-FCC7-4647-93FE-CB61C091842C}"/>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25455" xr:uid="{D400A309-FC65-4629-A4CA-96982B8A0CBF}"/>
    <cellStyle name="Normal 4 4 2 4 5 2 2 3" xfId="17007" xr:uid="{3F0251DA-3185-439C-842F-B063059D6DC0}"/>
    <cellStyle name="Normal 4 4 2 4 5 2 3" xfId="21237" xr:uid="{376A2E93-3098-49C7-8374-CEF498C7E909}"/>
    <cellStyle name="Normal 4 4 2 4 5 2 4" xfId="12789" xr:uid="{627A0BC5-45CE-4A61-A6EE-1D95927FEBD9}"/>
    <cellStyle name="Normal 4 4 2 4 5 3" xfId="6412" xr:uid="{00000000-0005-0000-0000-00004E150000}"/>
    <cellStyle name="Normal 4 4 2 4 5 3 2" xfId="23310" xr:uid="{0974CEFE-8A52-4B88-8CE8-D8B6196A1CAD}"/>
    <cellStyle name="Normal 4 4 2 4 5 3 3" xfId="14862" xr:uid="{4916E697-596C-4F5E-867F-F66A971214FF}"/>
    <cellStyle name="Normal 4 4 2 4 5 4" xfId="19092" xr:uid="{7607C202-FFBA-423C-9BAC-C70070707C3A}"/>
    <cellStyle name="Normal 4 4 2 4 5 5" xfId="10644" xr:uid="{FCA708BA-3CAC-4074-88F4-0A1413AB8CF8}"/>
    <cellStyle name="Normal 4 4 2 4 6" xfId="2542" xr:uid="{00000000-0005-0000-0000-00004F150000}"/>
    <cellStyle name="Normal 4 4 2 4 6 2" xfId="6825" xr:uid="{00000000-0005-0000-0000-000050150000}"/>
    <cellStyle name="Normal 4 4 2 4 6 2 2" xfId="23723" xr:uid="{9E845C94-B137-4017-9DCA-94B75FDBD269}"/>
    <cellStyle name="Normal 4 4 2 4 6 2 3" xfId="15275" xr:uid="{C5ABC5B9-6D2C-43CB-B950-F33CD73956C2}"/>
    <cellStyle name="Normal 4 4 2 4 6 3" xfId="19505" xr:uid="{2A92A94A-5A67-4F0A-8526-54C1F6F292C4}"/>
    <cellStyle name="Normal 4 4 2 4 6 4" xfId="11057" xr:uid="{E5E91582-EE4C-4669-90CB-58B8CE450BA7}"/>
    <cellStyle name="Normal 4 4 2 4 7" xfId="4760" xr:uid="{00000000-0005-0000-0000-000051150000}"/>
    <cellStyle name="Normal 4 4 2 4 7 2" xfId="21658" xr:uid="{77DC198F-9804-46E9-AFB9-7ED4291403F7}"/>
    <cellStyle name="Normal 4 4 2 4 7 3" xfId="13210" xr:uid="{8ACCFE7A-E2E4-442B-9010-9031DEB02902}"/>
    <cellStyle name="Normal 4 4 2 4 8" xfId="17440" xr:uid="{7C8DAD81-E5BF-48BE-8A7D-1B4BB0BE85C9}"/>
    <cellStyle name="Normal 4 4 2 4 9" xfId="8992" xr:uid="{13826BD0-07AD-4A26-9783-FC378052094C}"/>
    <cellStyle name="Normal 4 4 2 5" xfId="854" xr:uid="{00000000-0005-0000-0000-000052150000}"/>
    <cellStyle name="Normal 4 4 2 5 2" xfId="3089" xr:uid="{00000000-0005-0000-0000-000053150000}"/>
    <cellStyle name="Normal 4 4 2 5 2 2" xfId="7311" xr:uid="{00000000-0005-0000-0000-000054150000}"/>
    <cellStyle name="Normal 4 4 2 5 2 2 2" xfId="24209" xr:uid="{C5CC7F60-4AF8-46C9-83E1-DBDB9907554F}"/>
    <cellStyle name="Normal 4 4 2 5 2 2 3" xfId="15761" xr:uid="{75B95AA8-BC5F-463A-A14F-FBB3C052E9AF}"/>
    <cellStyle name="Normal 4 4 2 5 2 3" xfId="19991" xr:uid="{83EFA13E-37A7-4FD8-B11C-27669AD27F8C}"/>
    <cellStyle name="Normal 4 4 2 5 2 4" xfId="11543" xr:uid="{402927C8-9338-46B8-A0AE-1CDF1A42B84E}"/>
    <cellStyle name="Normal 4 4 2 5 3" xfId="5166" xr:uid="{00000000-0005-0000-0000-000055150000}"/>
    <cellStyle name="Normal 4 4 2 5 3 2" xfId="22064" xr:uid="{8CD8E60C-2538-4ED5-8104-47811B3AF90F}"/>
    <cellStyle name="Normal 4 4 2 5 3 3" xfId="13616" xr:uid="{6C926E07-05F9-4B24-81BB-1C70477B074C}"/>
    <cellStyle name="Normal 4 4 2 5 4" xfId="17846" xr:uid="{FE8D6FAF-3AFD-4C01-B6D3-C7CF9BA9AA3A}"/>
    <cellStyle name="Normal 4 4 2 5 5" xfId="9398" xr:uid="{F2DDCB6D-B1F0-4120-9559-86BD6DF1A5E9}"/>
    <cellStyle name="Normal 4 4 2 6" xfId="1272" xr:uid="{00000000-0005-0000-0000-000056150000}"/>
    <cellStyle name="Normal 4 4 2 6 2" xfId="3502" xr:uid="{00000000-0005-0000-0000-000057150000}"/>
    <cellStyle name="Normal 4 4 2 6 2 2" xfId="7724" xr:uid="{00000000-0005-0000-0000-000058150000}"/>
    <cellStyle name="Normal 4 4 2 6 2 2 2" xfId="24622" xr:uid="{038D1D43-D029-4918-AFDF-E54EA1AB3850}"/>
    <cellStyle name="Normal 4 4 2 6 2 2 3" xfId="16174" xr:uid="{0F7110C0-2602-4120-A84D-4EE342B5BB0A}"/>
    <cellStyle name="Normal 4 4 2 6 2 3" xfId="20404" xr:uid="{83B1CBEF-B5AB-44F6-A05A-1AE820886769}"/>
    <cellStyle name="Normal 4 4 2 6 2 4" xfId="11956" xr:uid="{E1A72F45-2F5C-485F-BA9A-FE6B64368798}"/>
    <cellStyle name="Normal 4 4 2 6 3" xfId="5579" xr:uid="{00000000-0005-0000-0000-000059150000}"/>
    <cellStyle name="Normal 4 4 2 6 3 2" xfId="22477" xr:uid="{9509F9F8-266B-4386-B5C4-9357DCA396F6}"/>
    <cellStyle name="Normal 4 4 2 6 3 3" xfId="14029" xr:uid="{54E153F6-9669-454A-AD8A-271DDECE22F1}"/>
    <cellStyle name="Normal 4 4 2 6 4" xfId="18259" xr:uid="{432111F6-4C9E-4079-8778-B42267BB206F}"/>
    <cellStyle name="Normal 4 4 2 6 5" xfId="9811" xr:uid="{1EB88F94-0D0C-4802-8EBA-BB35482B21EA}"/>
    <cellStyle name="Normal 4 4 2 7" xfId="1685" xr:uid="{00000000-0005-0000-0000-00005A150000}"/>
    <cellStyle name="Normal 4 4 2 7 2" xfId="3915" xr:uid="{00000000-0005-0000-0000-00005B150000}"/>
    <cellStyle name="Normal 4 4 2 7 2 2" xfId="8137" xr:uid="{00000000-0005-0000-0000-00005C150000}"/>
    <cellStyle name="Normal 4 4 2 7 2 2 2" xfId="25035" xr:uid="{F7D1E51F-8BF8-4684-BCE4-02276FC69335}"/>
    <cellStyle name="Normal 4 4 2 7 2 2 3" xfId="16587" xr:uid="{4979CF53-3CE1-476D-B307-F479B1AD90A6}"/>
    <cellStyle name="Normal 4 4 2 7 2 3" xfId="20817" xr:uid="{1F99AFCC-1231-4447-BD31-8903B31E011D}"/>
    <cellStyle name="Normal 4 4 2 7 2 4" xfId="12369" xr:uid="{35910ADA-AF9E-48D4-9130-B0E18FDE1CC5}"/>
    <cellStyle name="Normal 4 4 2 7 3" xfId="5992" xr:uid="{00000000-0005-0000-0000-00005D150000}"/>
    <cellStyle name="Normal 4 4 2 7 3 2" xfId="22890" xr:uid="{0B47913E-389A-476A-99AC-F0B542FF0E2F}"/>
    <cellStyle name="Normal 4 4 2 7 3 3" xfId="14442" xr:uid="{61DD3C67-293B-4031-A592-FF9C49FE8994}"/>
    <cellStyle name="Normal 4 4 2 7 4" xfId="18672" xr:uid="{3BA57F21-4F00-45DF-BC11-7A3AF5D80AC6}"/>
    <cellStyle name="Normal 4 4 2 7 5" xfId="10224" xr:uid="{C6DFBF76-FF46-454C-807F-27C399FD41CE}"/>
    <cellStyle name="Normal 4 4 2 8" xfId="2099" xr:uid="{00000000-0005-0000-0000-00005E150000}"/>
    <cellStyle name="Normal 4 4 2 8 2" xfId="4328" xr:uid="{00000000-0005-0000-0000-00005F150000}"/>
    <cellStyle name="Normal 4 4 2 8 2 2" xfId="8550" xr:uid="{00000000-0005-0000-0000-000060150000}"/>
    <cellStyle name="Normal 4 4 2 8 2 2 2" xfId="25448" xr:uid="{85ED0DAA-610F-4A6E-8F32-BD8E65326F9A}"/>
    <cellStyle name="Normal 4 4 2 8 2 2 3" xfId="17000" xr:uid="{93CF1AE5-71FD-4714-98C4-5F0D882A330D}"/>
    <cellStyle name="Normal 4 4 2 8 2 3" xfId="21230" xr:uid="{D568F53E-6444-4D19-A32A-F9200AAB21EF}"/>
    <cellStyle name="Normal 4 4 2 8 2 4" xfId="12782" xr:uid="{3CB24C88-2DA9-479F-AA5C-93F6F2E526C7}"/>
    <cellStyle name="Normal 4 4 2 8 3" xfId="6405" xr:uid="{00000000-0005-0000-0000-000061150000}"/>
    <cellStyle name="Normal 4 4 2 8 3 2" xfId="23303" xr:uid="{F929CFD1-8473-4DB7-B14E-A91547FC8959}"/>
    <cellStyle name="Normal 4 4 2 8 3 3" xfId="14855" xr:uid="{3ECFB18C-7727-44D3-9E67-F192EDCE5BA5}"/>
    <cellStyle name="Normal 4 4 2 8 4" xfId="19085" xr:uid="{3FA02D11-E1F2-4C34-9AA5-BD54B31C3974}"/>
    <cellStyle name="Normal 4 4 2 8 5" xfId="10637" xr:uid="{645BA508-9324-48A0-9C6A-BDEEE3C61D2F}"/>
    <cellStyle name="Normal 4 4 2 9" xfId="2535" xr:uid="{00000000-0005-0000-0000-000062150000}"/>
    <cellStyle name="Normal 4 4 2 9 2" xfId="6818" xr:uid="{00000000-0005-0000-0000-000063150000}"/>
    <cellStyle name="Normal 4 4 2 9 2 2" xfId="23716" xr:uid="{5256B697-CEB5-4CD0-95C9-0B849BAEDC4C}"/>
    <cellStyle name="Normal 4 4 2 9 2 3" xfId="15268" xr:uid="{3634E0A1-7F45-4F6E-8363-6169F7F55AC4}"/>
    <cellStyle name="Normal 4 4 2 9 3" xfId="19498" xr:uid="{0FA82826-230C-4C19-9490-13556FE41365}"/>
    <cellStyle name="Normal 4 4 2 9 4" xfId="11050" xr:uid="{54AF007C-B4CB-4665-8AB9-049D889B9960}"/>
    <cellStyle name="Normal 4 4 3" xfId="387" xr:uid="{00000000-0005-0000-0000-000064150000}"/>
    <cellStyle name="Normal 4 4 3 10" xfId="17441" xr:uid="{77758DAA-A66D-4B8A-B3AA-5B9D49A060BA}"/>
    <cellStyle name="Normal 4 4 3 11" xfId="8993" xr:uid="{D2088A1C-3906-49AB-AFCD-B02BCBBB2079}"/>
    <cellStyle name="Normal 4 4 3 2" xfId="388" xr:uid="{00000000-0005-0000-0000-000065150000}"/>
    <cellStyle name="Normal 4 4 3 2 10" xfId="8994" xr:uid="{2E01EE74-90C2-455F-AE55-C5F5FBCAEBF9}"/>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24219" xr:uid="{30AB3B45-7C0E-426C-9332-3033E4FA9E0D}"/>
    <cellStyle name="Normal 4 4 3 2 2 2 2 2 3" xfId="15771" xr:uid="{5C15E8F7-8791-4658-A3E4-CC5D23CBC218}"/>
    <cellStyle name="Normal 4 4 3 2 2 2 2 3" xfId="20001" xr:uid="{A627CB72-2E18-49E8-9282-3A562665CBFA}"/>
    <cellStyle name="Normal 4 4 3 2 2 2 2 4" xfId="11553" xr:uid="{A191F139-2C8E-473B-9A45-42AD52244C9B}"/>
    <cellStyle name="Normal 4 4 3 2 2 2 3" xfId="5176" xr:uid="{00000000-0005-0000-0000-00006A150000}"/>
    <cellStyle name="Normal 4 4 3 2 2 2 3 2" xfId="22074" xr:uid="{F6ED55D9-C0C9-48F2-B46F-11E54A35B82E}"/>
    <cellStyle name="Normal 4 4 3 2 2 2 3 3" xfId="13626" xr:uid="{DFD1D5E0-501C-49FB-B27F-9CC9B464C171}"/>
    <cellStyle name="Normal 4 4 3 2 2 2 4" xfId="17856" xr:uid="{2DEBF0C8-7137-4103-832E-56F8D8AED5E2}"/>
    <cellStyle name="Normal 4 4 3 2 2 2 5" xfId="9408" xr:uid="{1F86C305-C963-4CD3-BC52-8FF1DDCCBBBB}"/>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24632" xr:uid="{D0615031-9F41-4F1B-963C-506E830FD0FA}"/>
    <cellStyle name="Normal 4 4 3 2 2 3 2 2 3" xfId="16184" xr:uid="{86618E52-048F-4359-9EFB-DC363C849ACA}"/>
    <cellStyle name="Normal 4 4 3 2 2 3 2 3" xfId="20414" xr:uid="{D0B06055-2053-4A3F-B9F9-B66E1978016C}"/>
    <cellStyle name="Normal 4 4 3 2 2 3 2 4" xfId="11966" xr:uid="{E5860453-B1EE-455F-85A8-BEE38F70391D}"/>
    <cellStyle name="Normal 4 4 3 2 2 3 3" xfId="5589" xr:uid="{00000000-0005-0000-0000-00006E150000}"/>
    <cellStyle name="Normal 4 4 3 2 2 3 3 2" xfId="22487" xr:uid="{9EDD0ED9-8F40-42D4-9DF2-D7478CDA5375}"/>
    <cellStyle name="Normal 4 4 3 2 2 3 3 3" xfId="14039" xr:uid="{8AD38006-2DE0-4348-A7A8-EE0FD305AFD5}"/>
    <cellStyle name="Normal 4 4 3 2 2 3 4" xfId="18269" xr:uid="{B93ED3C1-BE55-4F6E-AA20-BC52BBC936BF}"/>
    <cellStyle name="Normal 4 4 3 2 2 3 5" xfId="9821" xr:uid="{6B1CCCEB-EE09-4D64-AEAF-4583EFA26E34}"/>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25045" xr:uid="{BC48435C-878C-4207-B327-FEC6D7D49430}"/>
    <cellStyle name="Normal 4 4 3 2 2 4 2 2 3" xfId="16597" xr:uid="{4785C7C8-712E-46DF-8D04-1BFBA985601C}"/>
    <cellStyle name="Normal 4 4 3 2 2 4 2 3" xfId="20827" xr:uid="{5BEB9124-FA93-4FFF-84AF-3CC434FDE174}"/>
    <cellStyle name="Normal 4 4 3 2 2 4 2 4" xfId="12379" xr:uid="{E3B4A518-6DE3-41C2-9D0B-F98AE8A405CE}"/>
    <cellStyle name="Normal 4 4 3 2 2 4 3" xfId="6002" xr:uid="{00000000-0005-0000-0000-000072150000}"/>
    <cellStyle name="Normal 4 4 3 2 2 4 3 2" xfId="22900" xr:uid="{07D715F5-718D-4B08-9F77-FF9965E50F83}"/>
    <cellStyle name="Normal 4 4 3 2 2 4 3 3" xfId="14452" xr:uid="{DD3C0925-AC7A-48DE-98D4-202C12AE4E2B}"/>
    <cellStyle name="Normal 4 4 3 2 2 4 4" xfId="18682" xr:uid="{9EC9C544-57C9-4775-9AAA-ECA6B7CD1EA9}"/>
    <cellStyle name="Normal 4 4 3 2 2 4 5" xfId="10234" xr:uid="{E4BF42A2-3F28-427D-89CC-663A24C2F397}"/>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25458" xr:uid="{82DCFE8B-D25B-4809-9BAA-6478848B62B1}"/>
    <cellStyle name="Normal 4 4 3 2 2 5 2 2 3" xfId="17010" xr:uid="{7C981B9A-A47F-4276-8790-3180E4D318E8}"/>
    <cellStyle name="Normal 4 4 3 2 2 5 2 3" xfId="21240" xr:uid="{AF5DFA55-8D61-4CAB-88F8-B462E49E7BE5}"/>
    <cellStyle name="Normal 4 4 3 2 2 5 2 4" xfId="12792" xr:uid="{699BBC27-ED47-4906-A394-07DB6852BDCA}"/>
    <cellStyle name="Normal 4 4 3 2 2 5 3" xfId="6415" xr:uid="{00000000-0005-0000-0000-000076150000}"/>
    <cellStyle name="Normal 4 4 3 2 2 5 3 2" xfId="23313" xr:uid="{8D347C31-83C8-4B95-8D37-C027401FBC5E}"/>
    <cellStyle name="Normal 4 4 3 2 2 5 3 3" xfId="14865" xr:uid="{FB06CDCA-8D54-4BBD-9DA7-58166289C7C5}"/>
    <cellStyle name="Normal 4 4 3 2 2 5 4" xfId="19095" xr:uid="{88F1958F-1841-44BA-8C41-989B1ED57E8B}"/>
    <cellStyle name="Normal 4 4 3 2 2 5 5" xfId="10647" xr:uid="{A8D426E2-9AF3-489C-992D-7E57A2D9965A}"/>
    <cellStyle name="Normal 4 4 3 2 2 6" xfId="2545" xr:uid="{00000000-0005-0000-0000-000077150000}"/>
    <cellStyle name="Normal 4 4 3 2 2 6 2" xfId="6828" xr:uid="{00000000-0005-0000-0000-000078150000}"/>
    <cellStyle name="Normal 4 4 3 2 2 6 2 2" xfId="23726" xr:uid="{D5645A6E-909B-4E6C-A4EC-CE2BABB35294}"/>
    <cellStyle name="Normal 4 4 3 2 2 6 2 3" xfId="15278" xr:uid="{4ECB2C38-B06F-4128-BD74-5E53F7BF61E2}"/>
    <cellStyle name="Normal 4 4 3 2 2 6 3" xfId="19508" xr:uid="{E0287191-01F1-41D9-AEAA-944FB09D33A5}"/>
    <cellStyle name="Normal 4 4 3 2 2 6 4" xfId="11060" xr:uid="{428DD5BD-8904-47F3-A1D5-4B4CAB6B6FE3}"/>
    <cellStyle name="Normal 4 4 3 2 2 7" xfId="4763" xr:uid="{00000000-0005-0000-0000-000079150000}"/>
    <cellStyle name="Normal 4 4 3 2 2 7 2" xfId="21661" xr:uid="{9533F181-633E-4768-A029-6436A4E69689}"/>
    <cellStyle name="Normal 4 4 3 2 2 7 3" xfId="13213" xr:uid="{CFB1BDB3-D6F1-454F-8CB4-69F1FE312627}"/>
    <cellStyle name="Normal 4 4 3 2 2 8" xfId="17443" xr:uid="{41E5FD64-7775-47D2-9BD1-CA0AEDBDA1D8}"/>
    <cellStyle name="Normal 4 4 3 2 2 9" xfId="8995" xr:uid="{F333A94E-70A0-44C2-89D5-FF5933CD6B78}"/>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24218" xr:uid="{C0BF1698-BD83-459E-B11B-49C139324D40}"/>
    <cellStyle name="Normal 4 4 3 2 3 2 2 3" xfId="15770" xr:uid="{C90F268D-68F3-4F6B-BBE4-43FF7B706D1C}"/>
    <cellStyle name="Normal 4 4 3 2 3 2 3" xfId="20000" xr:uid="{4BDF2AAF-B207-42D3-BA7B-22C7C15F08C8}"/>
    <cellStyle name="Normal 4 4 3 2 3 2 4" xfId="11552" xr:uid="{4EB14937-5207-433C-AB12-99052E24D379}"/>
    <cellStyle name="Normal 4 4 3 2 3 3" xfId="5175" xr:uid="{00000000-0005-0000-0000-00007D150000}"/>
    <cellStyle name="Normal 4 4 3 2 3 3 2" xfId="22073" xr:uid="{88C4F7C1-BE5C-4E8E-8CF4-D634D2F7013C}"/>
    <cellStyle name="Normal 4 4 3 2 3 3 3" xfId="13625" xr:uid="{3D47EB34-A4D4-40CC-95AE-331BB2AD18CA}"/>
    <cellStyle name="Normal 4 4 3 2 3 4" xfId="17855" xr:uid="{20E4E6EE-9543-4578-8574-A61CBEB172E0}"/>
    <cellStyle name="Normal 4 4 3 2 3 5" xfId="9407" xr:uid="{0049587D-FC4E-4FD8-92CA-FA781EC18629}"/>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24631" xr:uid="{63211E04-17D6-4CFB-8762-CBA1D0074433}"/>
    <cellStyle name="Normal 4 4 3 2 4 2 2 3" xfId="16183" xr:uid="{E245D080-FE55-41F2-AF4B-38C8CA1B6D1F}"/>
    <cellStyle name="Normal 4 4 3 2 4 2 3" xfId="20413" xr:uid="{AEBB5421-CDE0-402E-A1E9-55FFA06D52C7}"/>
    <cellStyle name="Normal 4 4 3 2 4 2 4" xfId="11965" xr:uid="{0C0135A0-923D-4562-9B32-7A3F47F40E20}"/>
    <cellStyle name="Normal 4 4 3 2 4 3" xfId="5588" xr:uid="{00000000-0005-0000-0000-000081150000}"/>
    <cellStyle name="Normal 4 4 3 2 4 3 2" xfId="22486" xr:uid="{7147201B-0605-40C0-9F09-94086D4DA35C}"/>
    <cellStyle name="Normal 4 4 3 2 4 3 3" xfId="14038" xr:uid="{9F7780A4-E781-474B-A527-83238F481903}"/>
    <cellStyle name="Normal 4 4 3 2 4 4" xfId="18268" xr:uid="{96275D0C-9346-4E58-93D9-12BFFCE8F269}"/>
    <cellStyle name="Normal 4 4 3 2 4 5" xfId="9820" xr:uid="{D06CBCBF-1B47-4A67-8B07-42565774F07C}"/>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25044" xr:uid="{9968AA05-EA13-4098-B98B-51893EDD6A14}"/>
    <cellStyle name="Normal 4 4 3 2 5 2 2 3" xfId="16596" xr:uid="{632DEAF0-1B4D-48A0-8E4D-9620FA992B86}"/>
    <cellStyle name="Normal 4 4 3 2 5 2 3" xfId="20826" xr:uid="{9CC24F27-EEEC-488C-AEE5-91749C8138F3}"/>
    <cellStyle name="Normal 4 4 3 2 5 2 4" xfId="12378" xr:uid="{D9B04BFB-E176-4727-AB5A-0F067AA2C83F}"/>
    <cellStyle name="Normal 4 4 3 2 5 3" xfId="6001" xr:uid="{00000000-0005-0000-0000-000085150000}"/>
    <cellStyle name="Normal 4 4 3 2 5 3 2" xfId="22899" xr:uid="{E3AEE188-3936-4357-AE75-2D778280BACC}"/>
    <cellStyle name="Normal 4 4 3 2 5 3 3" xfId="14451" xr:uid="{CC8C39E2-56B2-4431-B8C8-EAAABEAAB57B}"/>
    <cellStyle name="Normal 4 4 3 2 5 4" xfId="18681" xr:uid="{DD461398-DEAD-4AE1-9A1C-E264DBBF18BF}"/>
    <cellStyle name="Normal 4 4 3 2 5 5" xfId="10233" xr:uid="{346BA9D7-EBE0-4BD1-AFEF-66D826039625}"/>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25457" xr:uid="{F2B3F7E1-9604-4EEC-8E0B-F5F4D6CBA677}"/>
    <cellStyle name="Normal 4 4 3 2 6 2 2 3" xfId="17009" xr:uid="{46F73C6C-D7D3-4C4C-AA18-F3B6A6F92715}"/>
    <cellStyle name="Normal 4 4 3 2 6 2 3" xfId="21239" xr:uid="{B6D7FC04-F306-48F7-BA98-7971F80309AC}"/>
    <cellStyle name="Normal 4 4 3 2 6 2 4" xfId="12791" xr:uid="{B84699FA-D10C-4824-A8C1-043FB3BC984A}"/>
    <cellStyle name="Normal 4 4 3 2 6 3" xfId="6414" xr:uid="{00000000-0005-0000-0000-000089150000}"/>
    <cellStyle name="Normal 4 4 3 2 6 3 2" xfId="23312" xr:uid="{EF78D89F-3906-42F2-BAF2-4EB6546F3DFE}"/>
    <cellStyle name="Normal 4 4 3 2 6 3 3" xfId="14864" xr:uid="{1018F8E4-53AB-4399-83A1-676D7D9FD292}"/>
    <cellStyle name="Normal 4 4 3 2 6 4" xfId="19094" xr:uid="{6E6B6A5F-A6AF-4281-A64E-BA456B1C8CAA}"/>
    <cellStyle name="Normal 4 4 3 2 6 5" xfId="10646" xr:uid="{8EB93F88-4CC6-4AEB-A896-16C73B9D1968}"/>
    <cellStyle name="Normal 4 4 3 2 7" xfId="2544" xr:uid="{00000000-0005-0000-0000-00008A150000}"/>
    <cellStyle name="Normal 4 4 3 2 7 2" xfId="6827" xr:uid="{00000000-0005-0000-0000-00008B150000}"/>
    <cellStyle name="Normal 4 4 3 2 7 2 2" xfId="23725" xr:uid="{1EBCAA2A-AEDB-4146-A4D1-7C86AA41C091}"/>
    <cellStyle name="Normal 4 4 3 2 7 2 3" xfId="15277" xr:uid="{A49133A5-41B4-42ED-8DCF-16EB77A66551}"/>
    <cellStyle name="Normal 4 4 3 2 7 3" xfId="19507" xr:uid="{5633B151-BEFC-47CD-B984-9B78EFCD7BE2}"/>
    <cellStyle name="Normal 4 4 3 2 7 4" xfId="11059" xr:uid="{92A563B9-8195-4594-91EE-6A8E46DC5BCC}"/>
    <cellStyle name="Normal 4 4 3 2 8" xfId="4762" xr:uid="{00000000-0005-0000-0000-00008C150000}"/>
    <cellStyle name="Normal 4 4 3 2 8 2" xfId="21660" xr:uid="{57D0BA05-0B41-4E00-9B59-FECDB60310EF}"/>
    <cellStyle name="Normal 4 4 3 2 8 3" xfId="13212" xr:uid="{A7B680CB-CEB5-438D-B012-9BCF9E975211}"/>
    <cellStyle name="Normal 4 4 3 2 9" xfId="17442" xr:uid="{B0AD3F48-B251-4A4F-B3B6-75EF86398C3B}"/>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24220" xr:uid="{875827C9-1504-4F04-B461-D23FAA102962}"/>
    <cellStyle name="Normal 4 4 3 3 2 2 2 3" xfId="15772" xr:uid="{00B79583-C6EF-420E-9D78-0CB83F9FEA8F}"/>
    <cellStyle name="Normal 4 4 3 3 2 2 3" xfId="20002" xr:uid="{A096BB79-E522-4EE6-AE90-4FD2AC76BFF0}"/>
    <cellStyle name="Normal 4 4 3 3 2 2 4" xfId="11554" xr:uid="{E5483F8C-3197-4EEE-8CF1-40D8499D250C}"/>
    <cellStyle name="Normal 4 4 3 3 2 3" xfId="5177" xr:uid="{00000000-0005-0000-0000-000091150000}"/>
    <cellStyle name="Normal 4 4 3 3 2 3 2" xfId="22075" xr:uid="{A464C7DD-32B3-43FC-AC0C-B1C61AA7A03C}"/>
    <cellStyle name="Normal 4 4 3 3 2 3 3" xfId="13627" xr:uid="{670EB98F-63C1-4F99-91FE-76784D5D9278}"/>
    <cellStyle name="Normal 4 4 3 3 2 4" xfId="17857" xr:uid="{D786BFE7-0567-4918-A9DF-EDB0D655E989}"/>
    <cellStyle name="Normal 4 4 3 3 2 5" xfId="9409" xr:uid="{97045098-8E7B-46B3-9FCF-2C3EA9C8AAA5}"/>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24633" xr:uid="{E2162ABE-7930-4782-8A3C-C0C2C0804851}"/>
    <cellStyle name="Normal 4 4 3 3 3 2 2 3" xfId="16185" xr:uid="{20E9BA70-C1CF-482C-998B-0376D6935606}"/>
    <cellStyle name="Normal 4 4 3 3 3 2 3" xfId="20415" xr:uid="{9C7E2F0C-F976-48DB-8A21-16F86A4E54EE}"/>
    <cellStyle name="Normal 4 4 3 3 3 2 4" xfId="11967" xr:uid="{BEE3C982-955D-4A2C-92C2-2AD67FD2E2CC}"/>
    <cellStyle name="Normal 4 4 3 3 3 3" xfId="5590" xr:uid="{00000000-0005-0000-0000-000095150000}"/>
    <cellStyle name="Normal 4 4 3 3 3 3 2" xfId="22488" xr:uid="{C1DCEC4D-0DB6-44D7-B5C8-D43F5CB6DFA7}"/>
    <cellStyle name="Normal 4 4 3 3 3 3 3" xfId="14040" xr:uid="{4C137416-211C-44C8-9F53-96F234F14242}"/>
    <cellStyle name="Normal 4 4 3 3 3 4" xfId="18270" xr:uid="{32825B54-4C7F-454D-9E1A-692D32C940E5}"/>
    <cellStyle name="Normal 4 4 3 3 3 5" xfId="9822" xr:uid="{18E27946-381E-4CFB-BE76-9E3622F88274}"/>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25046" xr:uid="{F3103D52-3B83-4A3B-AD14-98DED99AE6B7}"/>
    <cellStyle name="Normal 4 4 3 3 4 2 2 3" xfId="16598" xr:uid="{26C6FAD4-ACA5-4605-B8FF-A97383CCA547}"/>
    <cellStyle name="Normal 4 4 3 3 4 2 3" xfId="20828" xr:uid="{663F9D63-D4C6-4926-A661-0E7957172A4E}"/>
    <cellStyle name="Normal 4 4 3 3 4 2 4" xfId="12380" xr:uid="{42FEB7FD-30EF-4EDE-88A3-21AE98174C8D}"/>
    <cellStyle name="Normal 4 4 3 3 4 3" xfId="6003" xr:uid="{00000000-0005-0000-0000-000099150000}"/>
    <cellStyle name="Normal 4 4 3 3 4 3 2" xfId="22901" xr:uid="{AEE48AE4-6131-4947-8E62-016292F732E8}"/>
    <cellStyle name="Normal 4 4 3 3 4 3 3" xfId="14453" xr:uid="{192E1BBD-C40B-4A1A-AD90-40F13A871720}"/>
    <cellStyle name="Normal 4 4 3 3 4 4" xfId="18683" xr:uid="{5D3C6818-5C1C-4413-B67F-D099E96C6CD1}"/>
    <cellStyle name="Normal 4 4 3 3 4 5" xfId="10235" xr:uid="{D435867A-D486-4CF3-9A4D-D6AF45021CB9}"/>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25459" xr:uid="{53E7E56E-9B93-4820-B953-E7A219348327}"/>
    <cellStyle name="Normal 4 4 3 3 5 2 2 3" xfId="17011" xr:uid="{EFB3E43B-5529-4BE7-BE02-38B45CD9D913}"/>
    <cellStyle name="Normal 4 4 3 3 5 2 3" xfId="21241" xr:uid="{9C371DD2-7E99-4920-85D4-DE31311FB193}"/>
    <cellStyle name="Normal 4 4 3 3 5 2 4" xfId="12793" xr:uid="{5F7AD81B-2001-4959-8C23-EB77BE4FF1F5}"/>
    <cellStyle name="Normal 4 4 3 3 5 3" xfId="6416" xr:uid="{00000000-0005-0000-0000-00009D150000}"/>
    <cellStyle name="Normal 4 4 3 3 5 3 2" xfId="23314" xr:uid="{0043D03F-9995-4D3C-A926-40066F748EFF}"/>
    <cellStyle name="Normal 4 4 3 3 5 3 3" xfId="14866" xr:uid="{A0E11D6F-1EDC-4F94-BB89-B26D4264700F}"/>
    <cellStyle name="Normal 4 4 3 3 5 4" xfId="19096" xr:uid="{E5532EE4-DA37-41DA-AB31-A3452D60ECF5}"/>
    <cellStyle name="Normal 4 4 3 3 5 5" xfId="10648" xr:uid="{DF9D6F3A-50EB-4085-991E-A9EB630F0AA5}"/>
    <cellStyle name="Normal 4 4 3 3 6" xfId="2546" xr:uid="{00000000-0005-0000-0000-00009E150000}"/>
    <cellStyle name="Normal 4 4 3 3 6 2" xfId="6829" xr:uid="{00000000-0005-0000-0000-00009F150000}"/>
    <cellStyle name="Normal 4 4 3 3 6 2 2" xfId="23727" xr:uid="{6773382D-F017-4919-A06B-445795B476F2}"/>
    <cellStyle name="Normal 4 4 3 3 6 2 3" xfId="15279" xr:uid="{B00D7FA8-9A08-4678-A55C-DF74A47FC9BC}"/>
    <cellStyle name="Normal 4 4 3 3 6 3" xfId="19509" xr:uid="{CF526642-82AF-45BA-AF35-8815DC018CC5}"/>
    <cellStyle name="Normal 4 4 3 3 6 4" xfId="11061" xr:uid="{246EBDCA-8AAA-49FD-9BA4-BD970DF50484}"/>
    <cellStyle name="Normal 4 4 3 3 7" xfId="4764" xr:uid="{00000000-0005-0000-0000-0000A0150000}"/>
    <cellStyle name="Normal 4 4 3 3 7 2" xfId="21662" xr:uid="{405A5B18-3E7C-4723-BCA1-6757D2009E61}"/>
    <cellStyle name="Normal 4 4 3 3 7 3" xfId="13214" xr:uid="{2E2DCA36-68AB-4966-8286-4432B87D35DC}"/>
    <cellStyle name="Normal 4 4 3 3 8" xfId="17444" xr:uid="{AA85B42E-704A-43E6-AA82-A84C895332FD}"/>
    <cellStyle name="Normal 4 4 3 3 9" xfId="8996" xr:uid="{A819E491-5806-4763-8F21-CDDDDEF03AC0}"/>
    <cellStyle name="Normal 4 4 3 4" xfId="862" xr:uid="{00000000-0005-0000-0000-0000A1150000}"/>
    <cellStyle name="Normal 4 4 3 4 2" xfId="3097" xr:uid="{00000000-0005-0000-0000-0000A2150000}"/>
    <cellStyle name="Normal 4 4 3 4 2 2" xfId="7319" xr:uid="{00000000-0005-0000-0000-0000A3150000}"/>
    <cellStyle name="Normal 4 4 3 4 2 2 2" xfId="24217" xr:uid="{6D206AEA-3E18-43BA-9685-B43BDB4A5B9D}"/>
    <cellStyle name="Normal 4 4 3 4 2 2 3" xfId="15769" xr:uid="{E547105D-26DB-4056-853A-B562A4AD02B6}"/>
    <cellStyle name="Normal 4 4 3 4 2 3" xfId="19999" xr:uid="{072D9E1B-F116-46CE-B63F-9837A966C901}"/>
    <cellStyle name="Normal 4 4 3 4 2 4" xfId="11551" xr:uid="{1F5DFAD7-46D2-43C7-BDB5-92EE86B862B9}"/>
    <cellStyle name="Normal 4 4 3 4 3" xfId="5174" xr:uid="{00000000-0005-0000-0000-0000A4150000}"/>
    <cellStyle name="Normal 4 4 3 4 3 2" xfId="22072" xr:uid="{9718FB7E-5DF9-4C98-B79C-561E84A814DA}"/>
    <cellStyle name="Normal 4 4 3 4 3 3" xfId="13624" xr:uid="{5D93FD69-F798-4909-9E52-69D8CFA8E242}"/>
    <cellStyle name="Normal 4 4 3 4 4" xfId="17854" xr:uid="{B6847487-116D-4E5C-9CC3-EDF273DA5377}"/>
    <cellStyle name="Normal 4 4 3 4 5" xfId="9406" xr:uid="{C1D74B2F-6E54-4449-9E1A-717ECFF3B18E}"/>
    <cellStyle name="Normal 4 4 3 5" xfId="1280" xr:uid="{00000000-0005-0000-0000-0000A5150000}"/>
    <cellStyle name="Normal 4 4 3 5 2" xfId="3510" xr:uid="{00000000-0005-0000-0000-0000A6150000}"/>
    <cellStyle name="Normal 4 4 3 5 2 2" xfId="7732" xr:uid="{00000000-0005-0000-0000-0000A7150000}"/>
    <cellStyle name="Normal 4 4 3 5 2 2 2" xfId="24630" xr:uid="{0EE31CFB-E988-4D78-95E3-F94159D059C4}"/>
    <cellStyle name="Normal 4 4 3 5 2 2 3" xfId="16182" xr:uid="{61C7F144-D8BE-4630-8A53-17093CA0B42E}"/>
    <cellStyle name="Normal 4 4 3 5 2 3" xfId="20412" xr:uid="{A6076E1F-6FAC-4BB7-AC7F-58A546726E95}"/>
    <cellStyle name="Normal 4 4 3 5 2 4" xfId="11964" xr:uid="{F3000F58-04A0-4471-9EFC-AF3CDA2C233E}"/>
    <cellStyle name="Normal 4 4 3 5 3" xfId="5587" xr:uid="{00000000-0005-0000-0000-0000A8150000}"/>
    <cellStyle name="Normal 4 4 3 5 3 2" xfId="22485" xr:uid="{DEC86C31-7294-4BF1-8ACD-68A00129A3AB}"/>
    <cellStyle name="Normal 4 4 3 5 3 3" xfId="14037" xr:uid="{DB5DAC2F-0918-49C3-BBA3-C902AB2801A1}"/>
    <cellStyle name="Normal 4 4 3 5 4" xfId="18267" xr:uid="{AF9D90C6-37FA-47F4-9A0A-22ED0198F9D5}"/>
    <cellStyle name="Normal 4 4 3 5 5" xfId="9819" xr:uid="{46117F2C-271E-431D-A516-77435BCD7864}"/>
    <cellStyle name="Normal 4 4 3 6" xfId="1693" xr:uid="{00000000-0005-0000-0000-0000A9150000}"/>
    <cellStyle name="Normal 4 4 3 6 2" xfId="3923" xr:uid="{00000000-0005-0000-0000-0000AA150000}"/>
    <cellStyle name="Normal 4 4 3 6 2 2" xfId="8145" xr:uid="{00000000-0005-0000-0000-0000AB150000}"/>
    <cellStyle name="Normal 4 4 3 6 2 2 2" xfId="25043" xr:uid="{A77B52D1-3A3A-4D36-9169-D656B45F2B82}"/>
    <cellStyle name="Normal 4 4 3 6 2 2 3" xfId="16595" xr:uid="{E49BBAEA-1ECC-4619-BC9A-05197789979E}"/>
    <cellStyle name="Normal 4 4 3 6 2 3" xfId="20825" xr:uid="{BE58E35D-D11A-4781-857C-2C3FDC471812}"/>
    <cellStyle name="Normal 4 4 3 6 2 4" xfId="12377" xr:uid="{2BD394E2-0BBC-41F0-AC8B-720531A2C219}"/>
    <cellStyle name="Normal 4 4 3 6 3" xfId="6000" xr:uid="{00000000-0005-0000-0000-0000AC150000}"/>
    <cellStyle name="Normal 4 4 3 6 3 2" xfId="22898" xr:uid="{D6F042DA-DC68-4BFC-BAB7-53FAE1BD7BBE}"/>
    <cellStyle name="Normal 4 4 3 6 3 3" xfId="14450" xr:uid="{B92850EA-A423-410F-8BB3-CC93BCC587E1}"/>
    <cellStyle name="Normal 4 4 3 6 4" xfId="18680" xr:uid="{65FC7267-3936-4C2D-8969-2E352BDD1EB2}"/>
    <cellStyle name="Normal 4 4 3 6 5" xfId="10232" xr:uid="{52349FCC-848F-4719-868D-297105718FFB}"/>
    <cellStyle name="Normal 4 4 3 7" xfId="2107" xr:uid="{00000000-0005-0000-0000-0000AD150000}"/>
    <cellStyle name="Normal 4 4 3 7 2" xfId="4336" xr:uid="{00000000-0005-0000-0000-0000AE150000}"/>
    <cellStyle name="Normal 4 4 3 7 2 2" xfId="8558" xr:uid="{00000000-0005-0000-0000-0000AF150000}"/>
    <cellStyle name="Normal 4 4 3 7 2 2 2" xfId="25456" xr:uid="{6F05ACC7-86E2-4333-A536-25390964B060}"/>
    <cellStyle name="Normal 4 4 3 7 2 2 3" xfId="17008" xr:uid="{635B8627-31E4-45DC-93D2-B7A77F89EB1C}"/>
    <cellStyle name="Normal 4 4 3 7 2 3" xfId="21238" xr:uid="{BB60A11C-7390-4442-A0DD-1E81D62F58BF}"/>
    <cellStyle name="Normal 4 4 3 7 2 4" xfId="12790" xr:uid="{B284FAE1-8902-43E3-B622-606F71AA087D}"/>
    <cellStyle name="Normal 4 4 3 7 3" xfId="6413" xr:uid="{00000000-0005-0000-0000-0000B0150000}"/>
    <cellStyle name="Normal 4 4 3 7 3 2" xfId="23311" xr:uid="{B7299056-97C5-496D-A12F-33D240363D17}"/>
    <cellStyle name="Normal 4 4 3 7 3 3" xfId="14863" xr:uid="{BA25D5EC-0794-4EBA-B65D-A372DABA11A1}"/>
    <cellStyle name="Normal 4 4 3 7 4" xfId="19093" xr:uid="{210B340D-2695-4984-9DA7-7110336984C3}"/>
    <cellStyle name="Normal 4 4 3 7 5" xfId="10645" xr:uid="{52566F3A-2978-46E4-9AC1-63864E44F2CA}"/>
    <cellStyle name="Normal 4 4 3 8" xfId="2543" xr:uid="{00000000-0005-0000-0000-0000B1150000}"/>
    <cellStyle name="Normal 4 4 3 8 2" xfId="6826" xr:uid="{00000000-0005-0000-0000-0000B2150000}"/>
    <cellStyle name="Normal 4 4 3 8 2 2" xfId="23724" xr:uid="{F51F878D-2E02-41EE-A605-55008328F9A1}"/>
    <cellStyle name="Normal 4 4 3 8 2 3" xfId="15276" xr:uid="{B0FF327B-8BF3-4B05-987B-166674FEBC97}"/>
    <cellStyle name="Normal 4 4 3 8 3" xfId="19506" xr:uid="{893BD1CB-3DFA-4B6A-BE72-C1E8A8EB6448}"/>
    <cellStyle name="Normal 4 4 3 8 4" xfId="11058" xr:uid="{15E6C7AB-2130-4D5F-B152-9E5A92A4C007}"/>
    <cellStyle name="Normal 4 4 3 9" xfId="4761" xr:uid="{00000000-0005-0000-0000-0000B3150000}"/>
    <cellStyle name="Normal 4 4 3 9 2" xfId="21659" xr:uid="{A3C930E7-87C5-4927-841A-26270204D4C6}"/>
    <cellStyle name="Normal 4 4 3 9 3" xfId="13211" xr:uid="{8B518E19-6CDE-4F03-B8C5-8D9C37689CD4}"/>
    <cellStyle name="Normal 4 4 4" xfId="391" xr:uid="{00000000-0005-0000-0000-0000B4150000}"/>
    <cellStyle name="Normal 4 4 4 10" xfId="8997" xr:uid="{8138D0EB-523B-44CC-B661-80F6B3355C3D}"/>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24222" xr:uid="{306CE6ED-9CFF-4442-9D74-731C667592A6}"/>
    <cellStyle name="Normal 4 4 4 2 2 2 2 3" xfId="15774" xr:uid="{1748BD25-6113-41C4-AC9B-0FC73415B57F}"/>
    <cellStyle name="Normal 4 4 4 2 2 2 3" xfId="20004" xr:uid="{2FDC8C60-3084-4CC6-9D3F-DA1C0701A2AF}"/>
    <cellStyle name="Normal 4 4 4 2 2 2 4" xfId="11556" xr:uid="{9EF0E22C-7555-49F2-AE40-342CEFD66CF6}"/>
    <cellStyle name="Normal 4 4 4 2 2 3" xfId="5179" xr:uid="{00000000-0005-0000-0000-0000B9150000}"/>
    <cellStyle name="Normal 4 4 4 2 2 3 2" xfId="22077" xr:uid="{CF20056A-018C-4459-8A7D-B22951103F34}"/>
    <cellStyle name="Normal 4 4 4 2 2 3 3" xfId="13629" xr:uid="{047296C5-AE9E-4D35-9E9A-C39BF1B83AF4}"/>
    <cellStyle name="Normal 4 4 4 2 2 4" xfId="17859" xr:uid="{7CA74B08-0F0E-4C29-B67A-755E8DE973B5}"/>
    <cellStyle name="Normal 4 4 4 2 2 5" xfId="9411" xr:uid="{0A97A321-8F4F-49E6-9829-614C4B82F8B6}"/>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24635" xr:uid="{D1FA7347-BA71-40C9-AEBE-532D6869529E}"/>
    <cellStyle name="Normal 4 4 4 2 3 2 2 3" xfId="16187" xr:uid="{B3F06694-0A7C-45D3-9C05-66A5C5DA8D38}"/>
    <cellStyle name="Normal 4 4 4 2 3 2 3" xfId="20417" xr:uid="{52FCDC1E-7589-4BBC-9DC0-6671DCAFADE3}"/>
    <cellStyle name="Normal 4 4 4 2 3 2 4" xfId="11969" xr:uid="{445B9674-1D84-4899-A4FE-DBC4B5F334E5}"/>
    <cellStyle name="Normal 4 4 4 2 3 3" xfId="5592" xr:uid="{00000000-0005-0000-0000-0000BD150000}"/>
    <cellStyle name="Normal 4 4 4 2 3 3 2" xfId="22490" xr:uid="{B96A1DBA-FBB6-412E-9059-2B752F3303B7}"/>
    <cellStyle name="Normal 4 4 4 2 3 3 3" xfId="14042" xr:uid="{F62E0703-7D65-46DB-A761-CEA826E64CE7}"/>
    <cellStyle name="Normal 4 4 4 2 3 4" xfId="18272" xr:uid="{7EAC886C-4F07-4D1F-8F1E-EAB9433AB40D}"/>
    <cellStyle name="Normal 4 4 4 2 3 5" xfId="9824" xr:uid="{43B28D33-F8AE-46DC-A3EF-6FA6D26AF1FD}"/>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25048" xr:uid="{D0692B96-61F2-4A6F-A480-2CBC847E786E}"/>
    <cellStyle name="Normal 4 4 4 2 4 2 2 3" xfId="16600" xr:uid="{0DD9DCCE-B929-4A00-B02E-2BDA3C8CD199}"/>
    <cellStyle name="Normal 4 4 4 2 4 2 3" xfId="20830" xr:uid="{33F7B30E-B05D-4ADB-B2D0-C408313D95B3}"/>
    <cellStyle name="Normal 4 4 4 2 4 2 4" xfId="12382" xr:uid="{89B317F3-D416-4494-BC97-F63704DBE8FA}"/>
    <cellStyle name="Normal 4 4 4 2 4 3" xfId="6005" xr:uid="{00000000-0005-0000-0000-0000C1150000}"/>
    <cellStyle name="Normal 4 4 4 2 4 3 2" xfId="22903" xr:uid="{A0C2EFBF-3A88-47FD-92C5-D8E7F5A44508}"/>
    <cellStyle name="Normal 4 4 4 2 4 3 3" xfId="14455" xr:uid="{207338F3-86E7-4F05-8526-22D530A16343}"/>
    <cellStyle name="Normal 4 4 4 2 4 4" xfId="18685" xr:uid="{541B7B8E-C913-4262-A2F4-5172843D15AD}"/>
    <cellStyle name="Normal 4 4 4 2 4 5" xfId="10237" xr:uid="{443187B2-789D-4B13-8DE5-E4CA3EDE6DF0}"/>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25461" xr:uid="{37536703-7CE2-4C12-AF2C-A2D1695F55C9}"/>
    <cellStyle name="Normal 4 4 4 2 5 2 2 3" xfId="17013" xr:uid="{EEC3F472-FDA3-4AA8-8AD2-CA31B3CACD39}"/>
    <cellStyle name="Normal 4 4 4 2 5 2 3" xfId="21243" xr:uid="{568F25DE-E2BD-4A65-8696-D969A3C67FB7}"/>
    <cellStyle name="Normal 4 4 4 2 5 2 4" xfId="12795" xr:uid="{B74729C3-D469-4D33-8415-99D2CDD6464C}"/>
    <cellStyle name="Normal 4 4 4 2 5 3" xfId="6418" xr:uid="{00000000-0005-0000-0000-0000C5150000}"/>
    <cellStyle name="Normal 4 4 4 2 5 3 2" xfId="23316" xr:uid="{D29D9BCC-2FEC-4C11-8A7C-4B58E82D6AC7}"/>
    <cellStyle name="Normal 4 4 4 2 5 3 3" xfId="14868" xr:uid="{89E7D0ED-FA97-4103-ACE3-4B1B22622418}"/>
    <cellStyle name="Normal 4 4 4 2 5 4" xfId="19098" xr:uid="{8720FDC1-0667-4967-AC25-4A38383195E9}"/>
    <cellStyle name="Normal 4 4 4 2 5 5" xfId="10650" xr:uid="{EB7859A1-C000-4B9A-84EF-9CDAFEDDE2DB}"/>
    <cellStyle name="Normal 4 4 4 2 6" xfId="2548" xr:uid="{00000000-0005-0000-0000-0000C6150000}"/>
    <cellStyle name="Normal 4 4 4 2 6 2" xfId="6831" xr:uid="{00000000-0005-0000-0000-0000C7150000}"/>
    <cellStyle name="Normal 4 4 4 2 6 2 2" xfId="23729" xr:uid="{042887E2-4B42-4179-B62B-396EB1046F4E}"/>
    <cellStyle name="Normal 4 4 4 2 6 2 3" xfId="15281" xr:uid="{7EF063C2-99D4-4FF9-B5C4-F1700DF7A277}"/>
    <cellStyle name="Normal 4 4 4 2 6 3" xfId="19511" xr:uid="{C9E3A4D0-63FA-4D44-A963-007F90A3595E}"/>
    <cellStyle name="Normal 4 4 4 2 6 4" xfId="11063" xr:uid="{ACA969EE-E363-425A-BD43-8EE578F44A93}"/>
    <cellStyle name="Normal 4 4 4 2 7" xfId="4766" xr:uid="{00000000-0005-0000-0000-0000C8150000}"/>
    <cellStyle name="Normal 4 4 4 2 7 2" xfId="21664" xr:uid="{C9423D72-0D90-490D-BE89-6C3741CC3ADB}"/>
    <cellStyle name="Normal 4 4 4 2 7 3" xfId="13216" xr:uid="{391E0EFB-822B-4202-B79D-6D4599361ADC}"/>
    <cellStyle name="Normal 4 4 4 2 8" xfId="17446" xr:uid="{69D614D5-6A95-45BB-9B90-AE2E1C755397}"/>
    <cellStyle name="Normal 4 4 4 2 9" xfId="8998" xr:uid="{18238507-BDD3-4CEA-9123-9EF27E5BC398}"/>
    <cellStyle name="Normal 4 4 4 3" xfId="866" xr:uid="{00000000-0005-0000-0000-0000C9150000}"/>
    <cellStyle name="Normal 4 4 4 3 2" xfId="3101" xr:uid="{00000000-0005-0000-0000-0000CA150000}"/>
    <cellStyle name="Normal 4 4 4 3 2 2" xfId="7323" xr:uid="{00000000-0005-0000-0000-0000CB150000}"/>
    <cellStyle name="Normal 4 4 4 3 2 2 2" xfId="24221" xr:uid="{625AC52A-F264-4255-81B0-13613B1B11EB}"/>
    <cellStyle name="Normal 4 4 4 3 2 2 3" xfId="15773" xr:uid="{1D2CC41C-2C38-4A6B-AC1F-7647F6995CFC}"/>
    <cellStyle name="Normal 4 4 4 3 2 3" xfId="20003" xr:uid="{46EFDAC5-1B73-494C-B0A2-01AD8E3D33F4}"/>
    <cellStyle name="Normal 4 4 4 3 2 4" xfId="11555" xr:uid="{77ABFEB2-8672-4CDB-B63E-9A960043E886}"/>
    <cellStyle name="Normal 4 4 4 3 3" xfId="5178" xr:uid="{00000000-0005-0000-0000-0000CC150000}"/>
    <cellStyle name="Normal 4 4 4 3 3 2" xfId="22076" xr:uid="{B3075FF6-D75D-4F0B-ACD5-254425B18846}"/>
    <cellStyle name="Normal 4 4 4 3 3 3" xfId="13628" xr:uid="{637A2AD4-BCA6-4AD1-9E27-79BFB148ABC7}"/>
    <cellStyle name="Normal 4 4 4 3 4" xfId="17858" xr:uid="{088AF689-AFAB-4579-822A-96686CFB2C97}"/>
    <cellStyle name="Normal 4 4 4 3 5" xfId="9410" xr:uid="{AF208429-09AE-4F98-AF66-C5BB97A094CF}"/>
    <cellStyle name="Normal 4 4 4 4" xfId="1284" xr:uid="{00000000-0005-0000-0000-0000CD150000}"/>
    <cellStyle name="Normal 4 4 4 4 2" xfId="3514" xr:uid="{00000000-0005-0000-0000-0000CE150000}"/>
    <cellStyle name="Normal 4 4 4 4 2 2" xfId="7736" xr:uid="{00000000-0005-0000-0000-0000CF150000}"/>
    <cellStyle name="Normal 4 4 4 4 2 2 2" xfId="24634" xr:uid="{D638D781-C312-4CC7-9DE0-457B5265F497}"/>
    <cellStyle name="Normal 4 4 4 4 2 2 3" xfId="16186" xr:uid="{1852D42E-D285-4585-A010-9FB3404658FB}"/>
    <cellStyle name="Normal 4 4 4 4 2 3" xfId="20416" xr:uid="{4049AC10-1FE2-43E4-AEC8-CF8707626658}"/>
    <cellStyle name="Normal 4 4 4 4 2 4" xfId="11968" xr:uid="{D8011A98-0D35-469F-98C0-CA2908E50FF1}"/>
    <cellStyle name="Normal 4 4 4 4 3" xfId="5591" xr:uid="{00000000-0005-0000-0000-0000D0150000}"/>
    <cellStyle name="Normal 4 4 4 4 3 2" xfId="22489" xr:uid="{6F7D0DAB-9DC9-4E99-9B39-30088F2B8E05}"/>
    <cellStyle name="Normal 4 4 4 4 3 3" xfId="14041" xr:uid="{C655A6D1-B1EE-4705-9266-B6706873C136}"/>
    <cellStyle name="Normal 4 4 4 4 4" xfId="18271" xr:uid="{49325C9B-931D-42A3-9264-6C7A037518DF}"/>
    <cellStyle name="Normal 4 4 4 4 5" xfId="9823" xr:uid="{9E6F0B0E-D16F-4A0E-AFDC-BE7E42CE6A0F}"/>
    <cellStyle name="Normal 4 4 4 5" xfId="1697" xr:uid="{00000000-0005-0000-0000-0000D1150000}"/>
    <cellStyle name="Normal 4 4 4 5 2" xfId="3927" xr:uid="{00000000-0005-0000-0000-0000D2150000}"/>
    <cellStyle name="Normal 4 4 4 5 2 2" xfId="8149" xr:uid="{00000000-0005-0000-0000-0000D3150000}"/>
    <cellStyle name="Normal 4 4 4 5 2 2 2" xfId="25047" xr:uid="{FA955F3A-55A8-4DAE-AB23-78B317960DE4}"/>
    <cellStyle name="Normal 4 4 4 5 2 2 3" xfId="16599" xr:uid="{A9CBF619-A9FB-4421-B1DB-2E4A44F98C98}"/>
    <cellStyle name="Normal 4 4 4 5 2 3" xfId="20829" xr:uid="{69C087B7-58CF-4C78-8566-48B2F9DEA33F}"/>
    <cellStyle name="Normal 4 4 4 5 2 4" xfId="12381" xr:uid="{CB26DF05-2B00-446B-B32E-9F8143D6D8FF}"/>
    <cellStyle name="Normal 4 4 4 5 3" xfId="6004" xr:uid="{00000000-0005-0000-0000-0000D4150000}"/>
    <cellStyle name="Normal 4 4 4 5 3 2" xfId="22902" xr:uid="{E501864A-89A1-4476-B50D-DED5CE6C373A}"/>
    <cellStyle name="Normal 4 4 4 5 3 3" xfId="14454" xr:uid="{03698F36-37B4-4217-9B9B-88A65012D4C4}"/>
    <cellStyle name="Normal 4 4 4 5 4" xfId="18684" xr:uid="{A4AB139C-7238-42B4-A96D-4137A486C98F}"/>
    <cellStyle name="Normal 4 4 4 5 5" xfId="10236" xr:uid="{041292A9-7870-452C-A613-50FC8AD9361D}"/>
    <cellStyle name="Normal 4 4 4 6" xfId="2111" xr:uid="{00000000-0005-0000-0000-0000D5150000}"/>
    <cellStyle name="Normal 4 4 4 6 2" xfId="4340" xr:uid="{00000000-0005-0000-0000-0000D6150000}"/>
    <cellStyle name="Normal 4 4 4 6 2 2" xfId="8562" xr:uid="{00000000-0005-0000-0000-0000D7150000}"/>
    <cellStyle name="Normal 4 4 4 6 2 2 2" xfId="25460" xr:uid="{A0FD888F-7BB7-45A4-ADF1-913CA50EFC97}"/>
    <cellStyle name="Normal 4 4 4 6 2 2 3" xfId="17012" xr:uid="{BE827E8C-C1EA-4217-8A16-E5F6FAFD1C93}"/>
    <cellStyle name="Normal 4 4 4 6 2 3" xfId="21242" xr:uid="{BBA6F1FD-BA04-42CA-A4A9-5161F34132DD}"/>
    <cellStyle name="Normal 4 4 4 6 2 4" xfId="12794" xr:uid="{64EE7FCC-4CDD-411B-AC7C-800D25943692}"/>
    <cellStyle name="Normal 4 4 4 6 3" xfId="6417" xr:uid="{00000000-0005-0000-0000-0000D8150000}"/>
    <cellStyle name="Normal 4 4 4 6 3 2" xfId="23315" xr:uid="{106FD450-46F2-4E8A-9572-24C56ACBD117}"/>
    <cellStyle name="Normal 4 4 4 6 3 3" xfId="14867" xr:uid="{2BE082E6-68A0-4543-BA86-185514445BD8}"/>
    <cellStyle name="Normal 4 4 4 6 4" xfId="19097" xr:uid="{F32A193D-862B-4E12-B9CD-342823E6F22F}"/>
    <cellStyle name="Normal 4 4 4 6 5" xfId="10649" xr:uid="{54598844-192D-4EAF-B795-34D6C17760DB}"/>
    <cellStyle name="Normal 4 4 4 7" xfId="2547" xr:uid="{00000000-0005-0000-0000-0000D9150000}"/>
    <cellStyle name="Normal 4 4 4 7 2" xfId="6830" xr:uid="{00000000-0005-0000-0000-0000DA150000}"/>
    <cellStyle name="Normal 4 4 4 7 2 2" xfId="23728" xr:uid="{D95E1DA1-E3E2-47D3-A678-073456B2656D}"/>
    <cellStyle name="Normal 4 4 4 7 2 3" xfId="15280" xr:uid="{2C329F93-566B-41B7-A075-6E70E2CDE927}"/>
    <cellStyle name="Normal 4 4 4 7 3" xfId="19510" xr:uid="{B40C14D5-61D4-4C80-8C78-19025D38790D}"/>
    <cellStyle name="Normal 4 4 4 7 4" xfId="11062" xr:uid="{46A7CEEF-2F5A-436A-B4F3-344A58304C15}"/>
    <cellStyle name="Normal 4 4 4 8" xfId="4765" xr:uid="{00000000-0005-0000-0000-0000DB150000}"/>
    <cellStyle name="Normal 4 4 4 8 2" xfId="21663" xr:uid="{66CCCEFF-8075-4674-8E57-5E7DDB8F8AA1}"/>
    <cellStyle name="Normal 4 4 4 8 3" xfId="13215" xr:uid="{CF1CF098-0299-4BBF-950D-C3DFECB51E76}"/>
    <cellStyle name="Normal 4 4 4 9" xfId="17445" xr:uid="{D9859FD5-6371-4E7C-9E5D-4F1E2396431A}"/>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2 2 2" xfId="24223" xr:uid="{156008EE-1970-40E1-A670-8C6A13D7DF14}"/>
    <cellStyle name="Normal 4 4 5 2 2 2 3" xfId="15775" xr:uid="{E48ADFA3-1826-4689-8E72-4804189A0DC3}"/>
    <cellStyle name="Normal 4 4 5 2 2 3" xfId="20005" xr:uid="{6451AD56-AFC5-4003-B380-0B33B27D88D3}"/>
    <cellStyle name="Normal 4 4 5 2 2 4" xfId="11557" xr:uid="{9621B006-FCF5-4272-B598-C788B8F3DABA}"/>
    <cellStyle name="Normal 4 4 5 2 3" xfId="5180" xr:uid="{00000000-0005-0000-0000-0000E0150000}"/>
    <cellStyle name="Normal 4 4 5 2 3 2" xfId="22078" xr:uid="{CCD39745-D33D-4550-B91A-37055C246B74}"/>
    <cellStyle name="Normal 4 4 5 2 3 3" xfId="13630" xr:uid="{110DB274-21FD-4EF8-ADAF-233BB401EBC5}"/>
    <cellStyle name="Normal 4 4 5 2 4" xfId="17860" xr:uid="{0B99DC52-670E-4733-A456-9F04B66892FC}"/>
    <cellStyle name="Normal 4 4 5 2 5" xfId="9412" xr:uid="{F2307104-9933-4EB2-866B-9F564598186F}"/>
    <cellStyle name="Normal 4 4 5 3" xfId="1286" xr:uid="{00000000-0005-0000-0000-0000E1150000}"/>
    <cellStyle name="Normal 4 4 5 3 2" xfId="3516" xr:uid="{00000000-0005-0000-0000-0000E2150000}"/>
    <cellStyle name="Normal 4 4 5 3 2 2" xfId="7738" xr:uid="{00000000-0005-0000-0000-0000E3150000}"/>
    <cellStyle name="Normal 4 4 5 3 2 2 2" xfId="24636" xr:uid="{E63712DC-89DF-4A56-A493-A0C5F86287E8}"/>
    <cellStyle name="Normal 4 4 5 3 2 2 3" xfId="16188" xr:uid="{23DB17AF-C258-4F0B-B400-0DED5A9981BB}"/>
    <cellStyle name="Normal 4 4 5 3 2 3" xfId="20418" xr:uid="{F4F120B2-42F4-4F23-B85D-C220876E91C3}"/>
    <cellStyle name="Normal 4 4 5 3 2 4" xfId="11970" xr:uid="{79A1EFB1-B9E7-40EE-AA20-20658FFF33D8}"/>
    <cellStyle name="Normal 4 4 5 3 3" xfId="5593" xr:uid="{00000000-0005-0000-0000-0000E4150000}"/>
    <cellStyle name="Normal 4 4 5 3 3 2" xfId="22491" xr:uid="{02665DBB-3F46-4CD3-BD20-8A32A6E3CC40}"/>
    <cellStyle name="Normal 4 4 5 3 3 3" xfId="14043" xr:uid="{CF8FC6D7-157E-481D-BB39-1946BDAB619A}"/>
    <cellStyle name="Normal 4 4 5 3 4" xfId="18273" xr:uid="{B615ADDE-D05B-4742-9F4D-11AC8D55F20C}"/>
    <cellStyle name="Normal 4 4 5 3 5" xfId="9825" xr:uid="{AC1957FB-2AD9-42C3-A290-9337CE573B4C}"/>
    <cellStyle name="Normal 4 4 5 4" xfId="1699" xr:uid="{00000000-0005-0000-0000-0000E5150000}"/>
    <cellStyle name="Normal 4 4 5 4 2" xfId="3929" xr:uid="{00000000-0005-0000-0000-0000E6150000}"/>
    <cellStyle name="Normal 4 4 5 4 2 2" xfId="8151" xr:uid="{00000000-0005-0000-0000-0000E7150000}"/>
    <cellStyle name="Normal 4 4 5 4 2 2 2" xfId="25049" xr:uid="{26804EDB-E9DA-4597-AD7D-892A341B3092}"/>
    <cellStyle name="Normal 4 4 5 4 2 2 3" xfId="16601" xr:uid="{77C0AB5A-6969-4758-A743-D27405F6555A}"/>
    <cellStyle name="Normal 4 4 5 4 2 3" xfId="20831" xr:uid="{EBB0F47E-A8FB-4E70-9B23-B1DF89B69D5C}"/>
    <cellStyle name="Normal 4 4 5 4 2 4" xfId="12383" xr:uid="{3E21B0B9-EF59-4438-B637-D901EDA18AFF}"/>
    <cellStyle name="Normal 4 4 5 4 3" xfId="6006" xr:uid="{00000000-0005-0000-0000-0000E8150000}"/>
    <cellStyle name="Normal 4 4 5 4 3 2" xfId="22904" xr:uid="{12A13788-43C9-46B6-AD79-F6A8257C6442}"/>
    <cellStyle name="Normal 4 4 5 4 3 3" xfId="14456" xr:uid="{4C33F5EE-FD6D-4AA0-99DB-04E3DA935967}"/>
    <cellStyle name="Normal 4 4 5 4 4" xfId="18686" xr:uid="{31853906-A8C2-4C6F-9469-0E6D1A6DFDF8}"/>
    <cellStyle name="Normal 4 4 5 4 5" xfId="10238" xr:uid="{764F9FF1-A938-4E22-AB56-70BFD61E9610}"/>
    <cellStyle name="Normal 4 4 5 5" xfId="2113" xr:uid="{00000000-0005-0000-0000-0000E9150000}"/>
    <cellStyle name="Normal 4 4 5 5 2" xfId="4342" xr:uid="{00000000-0005-0000-0000-0000EA150000}"/>
    <cellStyle name="Normal 4 4 5 5 2 2" xfId="8564" xr:uid="{00000000-0005-0000-0000-0000EB150000}"/>
    <cellStyle name="Normal 4 4 5 5 2 2 2" xfId="25462" xr:uid="{02EC11B4-3B98-4921-A28D-8318E69BD525}"/>
    <cellStyle name="Normal 4 4 5 5 2 2 3" xfId="17014" xr:uid="{C7F85291-C629-4F6E-A900-F58590C817EA}"/>
    <cellStyle name="Normal 4 4 5 5 2 3" xfId="21244" xr:uid="{279CBEB9-2356-42FC-859D-C97F9D8EC5AB}"/>
    <cellStyle name="Normal 4 4 5 5 2 4" xfId="12796" xr:uid="{722E5E8F-1EA5-4894-933E-27791B424107}"/>
    <cellStyle name="Normal 4 4 5 5 3" xfId="6419" xr:uid="{00000000-0005-0000-0000-0000EC150000}"/>
    <cellStyle name="Normal 4 4 5 5 3 2" xfId="23317" xr:uid="{CC27527C-E1C4-4D61-A870-9D5E3CA17292}"/>
    <cellStyle name="Normal 4 4 5 5 3 3" xfId="14869" xr:uid="{581D42F1-878D-49D7-98D4-A3439EF171F1}"/>
    <cellStyle name="Normal 4 4 5 5 4" xfId="19099" xr:uid="{0D71A255-EEF2-4C2E-B078-5BFB753C4B7C}"/>
    <cellStyle name="Normal 4 4 5 5 5" xfId="10651" xr:uid="{BE956EEA-BCFE-4E52-BC8E-9D4117D23CC2}"/>
    <cellStyle name="Normal 4 4 5 6" xfId="2549" xr:uid="{00000000-0005-0000-0000-0000ED150000}"/>
    <cellStyle name="Normal 4 4 5 6 2" xfId="6832" xr:uid="{00000000-0005-0000-0000-0000EE150000}"/>
    <cellStyle name="Normal 4 4 5 6 2 2" xfId="23730" xr:uid="{41F9A047-AF44-44FF-9866-EA73461735A9}"/>
    <cellStyle name="Normal 4 4 5 6 2 3" xfId="15282" xr:uid="{507876A6-1342-461E-BC40-E3BDCEF93067}"/>
    <cellStyle name="Normal 4 4 5 6 3" xfId="19512" xr:uid="{29C92BAA-382F-4614-AEC4-74CCF80FF569}"/>
    <cellStyle name="Normal 4 4 5 6 4" xfId="11064" xr:uid="{C14F55C5-7DB7-47B6-9E55-B4DCB2AAF9A6}"/>
    <cellStyle name="Normal 4 4 5 7" xfId="4767" xr:uid="{00000000-0005-0000-0000-0000EF150000}"/>
    <cellStyle name="Normal 4 4 5 7 2" xfId="21665" xr:uid="{A5A057E9-8F46-4DE5-897A-44E815F02701}"/>
    <cellStyle name="Normal 4 4 5 7 3" xfId="13217" xr:uid="{17315CDC-6C1B-41EE-A6A9-1669E601FBE0}"/>
    <cellStyle name="Normal 4 4 5 8" xfId="17447" xr:uid="{DD2333A2-AFC2-48F6-B74A-78CF3ECA3C95}"/>
    <cellStyle name="Normal 4 4 5 9" xfId="8999" xr:uid="{11043A64-8ACF-4E38-A55B-993FE23311B8}"/>
    <cellStyle name="Normal 4 4 6" xfId="853" xr:uid="{00000000-0005-0000-0000-0000F0150000}"/>
    <cellStyle name="Normal 4 4 6 2" xfId="3088" xr:uid="{00000000-0005-0000-0000-0000F1150000}"/>
    <cellStyle name="Normal 4 4 6 2 2" xfId="7310" xr:uid="{00000000-0005-0000-0000-0000F2150000}"/>
    <cellStyle name="Normal 4 4 6 2 2 2" xfId="24208" xr:uid="{670F76B2-05CA-413F-A7F7-B55656E85C9C}"/>
    <cellStyle name="Normal 4 4 6 2 2 3" xfId="15760" xr:uid="{EC791E3F-A08C-460D-9D78-3614D7B01AE4}"/>
    <cellStyle name="Normal 4 4 6 2 3" xfId="19990" xr:uid="{091E8377-DC01-47E8-A2C7-4A6D10DFFF62}"/>
    <cellStyle name="Normal 4 4 6 2 4" xfId="11542" xr:uid="{9173321E-CE5B-4CEA-A06C-3472CADF554A}"/>
    <cellStyle name="Normal 4 4 6 3" xfId="5165" xr:uid="{00000000-0005-0000-0000-0000F3150000}"/>
    <cellStyle name="Normal 4 4 6 3 2" xfId="22063" xr:uid="{91BC4D33-0881-4508-84CA-618E96928DB3}"/>
    <cellStyle name="Normal 4 4 6 3 3" xfId="13615" xr:uid="{EBE8F4A5-7A0C-4CF3-B728-92FBC0EB770A}"/>
    <cellStyle name="Normal 4 4 6 4" xfId="17845" xr:uid="{D43D171B-E5CA-493F-952C-356491EC4032}"/>
    <cellStyle name="Normal 4 4 6 5" xfId="9397" xr:uid="{B4447764-C112-4ACA-9785-723960CC6878}"/>
    <cellStyle name="Normal 4 4 7" xfId="1271" xr:uid="{00000000-0005-0000-0000-0000F4150000}"/>
    <cellStyle name="Normal 4 4 7 2" xfId="3501" xr:uid="{00000000-0005-0000-0000-0000F5150000}"/>
    <cellStyle name="Normal 4 4 7 2 2" xfId="7723" xr:uid="{00000000-0005-0000-0000-0000F6150000}"/>
    <cellStyle name="Normal 4 4 7 2 2 2" xfId="24621" xr:uid="{D7386A78-529A-4665-848F-D03A640A156B}"/>
    <cellStyle name="Normal 4 4 7 2 2 3" xfId="16173" xr:uid="{63F318D1-660C-4F9F-AAF7-E2B13DF9D1B1}"/>
    <cellStyle name="Normal 4 4 7 2 3" xfId="20403" xr:uid="{9A3FFF3B-2FE8-4D87-B6DF-112D275391E4}"/>
    <cellStyle name="Normal 4 4 7 2 4" xfId="11955" xr:uid="{0B070C80-3741-4916-9AAA-5662BAF54C31}"/>
    <cellStyle name="Normal 4 4 7 3" xfId="5578" xr:uid="{00000000-0005-0000-0000-0000F7150000}"/>
    <cellStyle name="Normal 4 4 7 3 2" xfId="22476" xr:uid="{3FBDF525-D62C-490D-9DAB-ACC65762F175}"/>
    <cellStyle name="Normal 4 4 7 3 3" xfId="14028" xr:uid="{DE12DE8D-8E58-4D7A-BE55-0544526AF649}"/>
    <cellStyle name="Normal 4 4 7 4" xfId="18258" xr:uid="{B2849DA1-58A6-464B-B42B-605A57F02ABA}"/>
    <cellStyle name="Normal 4 4 7 5" xfId="9810" xr:uid="{2876FC47-EDE8-411E-85FD-28887791298E}"/>
    <cellStyle name="Normal 4 4 8" xfId="1684" xr:uid="{00000000-0005-0000-0000-0000F8150000}"/>
    <cellStyle name="Normal 4 4 8 2" xfId="3914" xr:uid="{00000000-0005-0000-0000-0000F9150000}"/>
    <cellStyle name="Normal 4 4 8 2 2" xfId="8136" xr:uid="{00000000-0005-0000-0000-0000FA150000}"/>
    <cellStyle name="Normal 4 4 8 2 2 2" xfId="25034" xr:uid="{29E1AE4B-C8C3-4097-8A9B-95F722F7EC38}"/>
    <cellStyle name="Normal 4 4 8 2 2 3" xfId="16586" xr:uid="{AA6D04D5-8461-4AD3-9B71-581B382314C2}"/>
    <cellStyle name="Normal 4 4 8 2 3" xfId="20816" xr:uid="{883DDECB-DC7F-41C3-90DB-7482ABBA115C}"/>
    <cellStyle name="Normal 4 4 8 2 4" xfId="12368" xr:uid="{3266AA03-7B8D-45B7-B815-FEF2631C66A0}"/>
    <cellStyle name="Normal 4 4 8 3" xfId="5991" xr:uid="{00000000-0005-0000-0000-0000FB150000}"/>
    <cellStyle name="Normal 4 4 8 3 2" xfId="22889" xr:uid="{ADABB864-9002-405A-9FC1-6DC70044FED7}"/>
    <cellStyle name="Normal 4 4 8 3 3" xfId="14441" xr:uid="{6411E58C-BDBC-49C1-B062-2C2EDF900F2F}"/>
    <cellStyle name="Normal 4 4 8 4" xfId="18671" xr:uid="{30D0DDD2-CD6A-4128-BA16-C257A3E87910}"/>
    <cellStyle name="Normal 4 4 8 5" xfId="10223" xr:uid="{6A247259-70CD-4862-A7F5-D56307DDE246}"/>
    <cellStyle name="Normal 4 4 9" xfId="2098" xr:uid="{00000000-0005-0000-0000-0000FC150000}"/>
    <cellStyle name="Normal 4 4 9 2" xfId="4327" xr:uid="{00000000-0005-0000-0000-0000FD150000}"/>
    <cellStyle name="Normal 4 4 9 2 2" xfId="8549" xr:uid="{00000000-0005-0000-0000-0000FE150000}"/>
    <cellStyle name="Normal 4 4 9 2 2 2" xfId="25447" xr:uid="{ACB8BBB1-302A-4B29-85D2-865804EA5A41}"/>
    <cellStyle name="Normal 4 4 9 2 2 3" xfId="16999" xr:uid="{D1086DD4-1305-4854-B165-66F4ECE990C2}"/>
    <cellStyle name="Normal 4 4 9 2 3" xfId="21229" xr:uid="{E49F8587-2FB0-455A-8E4D-E1EEA53AE237}"/>
    <cellStyle name="Normal 4 4 9 2 4" xfId="12781" xr:uid="{0C4BB1E1-B6EA-446D-A63B-B631B88716EB}"/>
    <cellStyle name="Normal 4 4 9 3" xfId="6404" xr:uid="{00000000-0005-0000-0000-0000FF150000}"/>
    <cellStyle name="Normal 4 4 9 3 2" xfId="23302" xr:uid="{748423F6-5C16-4B7C-A45D-912067EFC64D}"/>
    <cellStyle name="Normal 4 4 9 3 3" xfId="14854" xr:uid="{CA706BD9-0FD7-401D-A876-A9C6842D14B1}"/>
    <cellStyle name="Normal 4 4 9 4" xfId="19084" xr:uid="{1495820A-B295-4055-B58B-2556B221966C}"/>
    <cellStyle name="Normal 4 4 9 5" xfId="10636" xr:uid="{1F7782D0-F945-4A5A-82DF-8971AE3354BB}"/>
    <cellStyle name="Normal 4 5" xfId="394" xr:uid="{00000000-0005-0000-0000-000000160000}"/>
    <cellStyle name="Normal 4 6" xfId="395" xr:uid="{00000000-0005-0000-0000-000001160000}"/>
    <cellStyle name="Normal 4 6 10" xfId="4768" xr:uid="{00000000-0005-0000-0000-000002160000}"/>
    <cellStyle name="Normal 4 6 10 2" xfId="21666" xr:uid="{2209D144-4FB9-42E7-826A-315B2E9E7E30}"/>
    <cellStyle name="Normal 4 6 10 3" xfId="13218" xr:uid="{91F5565B-8EC0-44C6-9C9B-8443F8179C46}"/>
    <cellStyle name="Normal 4 6 11" xfId="17448" xr:uid="{354F09AC-CF2D-4D2D-AEC0-E7268429FF88}"/>
    <cellStyle name="Normal 4 6 12" xfId="9000" xr:uid="{B11F8B7F-4253-41C5-B16F-FBE45D268556}"/>
    <cellStyle name="Normal 4 6 2" xfId="396" xr:uid="{00000000-0005-0000-0000-000003160000}"/>
    <cellStyle name="Normal 4 6 2 10" xfId="17449" xr:uid="{09A84D12-E2CE-458F-BBCC-0083FE791CF4}"/>
    <cellStyle name="Normal 4 6 2 11" xfId="9001" xr:uid="{A158263B-5A57-411E-BF91-251CAE376E97}"/>
    <cellStyle name="Normal 4 6 2 2" xfId="397" xr:uid="{00000000-0005-0000-0000-000004160000}"/>
    <cellStyle name="Normal 4 6 2 2 10" xfId="9002" xr:uid="{450E6D90-882A-43A2-8BD4-63B771C86C56}"/>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24227" xr:uid="{D10CE036-A48D-459B-B716-D7F422EC51E5}"/>
    <cellStyle name="Normal 4 6 2 2 2 2 2 2 3" xfId="15779" xr:uid="{26530B42-6D59-43AD-B5AE-BF80DAC1AC09}"/>
    <cellStyle name="Normal 4 6 2 2 2 2 2 3" xfId="20009" xr:uid="{FFA126A7-85A5-42E7-BB7B-BAE88DCE84AB}"/>
    <cellStyle name="Normal 4 6 2 2 2 2 2 4" xfId="11561" xr:uid="{2A5BDB5A-9B04-4B98-88D9-5BDFDD2EB58E}"/>
    <cellStyle name="Normal 4 6 2 2 2 2 3" xfId="5184" xr:uid="{00000000-0005-0000-0000-000009160000}"/>
    <cellStyle name="Normal 4 6 2 2 2 2 3 2" xfId="22082" xr:uid="{C0ED23BF-C68A-443C-BBCB-5B5519C695D6}"/>
    <cellStyle name="Normal 4 6 2 2 2 2 3 3" xfId="13634" xr:uid="{8EBCF734-3064-4749-AD6A-681430D5F629}"/>
    <cellStyle name="Normal 4 6 2 2 2 2 4" xfId="17864" xr:uid="{6ECFB61A-0F60-4AAF-83C6-83D699700A3E}"/>
    <cellStyle name="Normal 4 6 2 2 2 2 5" xfId="9416" xr:uid="{735CE151-83F4-4D94-B5F5-DA93119E9393}"/>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24640" xr:uid="{688001E3-88AC-4E26-90BC-FE82ABED2F07}"/>
    <cellStyle name="Normal 4 6 2 2 2 3 2 2 3" xfId="16192" xr:uid="{149CEA9A-F0A5-40EE-B367-6468724A599C}"/>
    <cellStyle name="Normal 4 6 2 2 2 3 2 3" xfId="20422" xr:uid="{6D83C321-7B56-46BD-AB21-3749CE7A820A}"/>
    <cellStyle name="Normal 4 6 2 2 2 3 2 4" xfId="11974" xr:uid="{BAFC4C18-837C-40E2-9A16-83A608EF2A9A}"/>
    <cellStyle name="Normal 4 6 2 2 2 3 3" xfId="5597" xr:uid="{00000000-0005-0000-0000-00000D160000}"/>
    <cellStyle name="Normal 4 6 2 2 2 3 3 2" xfId="22495" xr:uid="{28B37ACF-7B51-4734-9999-FE351392D3BA}"/>
    <cellStyle name="Normal 4 6 2 2 2 3 3 3" xfId="14047" xr:uid="{4B38C48D-354B-4D79-846E-88FAAEE66936}"/>
    <cellStyle name="Normal 4 6 2 2 2 3 4" xfId="18277" xr:uid="{289CF0C1-CE9E-450E-9F4B-EFE5F8564062}"/>
    <cellStyle name="Normal 4 6 2 2 2 3 5" xfId="9829" xr:uid="{B7897224-F9FA-4EE3-80F9-D25FA065AAC6}"/>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25053" xr:uid="{BC9CBD80-FFCB-43BC-833E-84FD59DFE357}"/>
    <cellStyle name="Normal 4 6 2 2 2 4 2 2 3" xfId="16605" xr:uid="{AADDD64B-EC32-4FA7-A01D-43D6F6072B50}"/>
    <cellStyle name="Normal 4 6 2 2 2 4 2 3" xfId="20835" xr:uid="{40A5E278-6437-4792-9B53-4B56C1FBA686}"/>
    <cellStyle name="Normal 4 6 2 2 2 4 2 4" xfId="12387" xr:uid="{34F0AAE6-EA9E-46F0-B011-CF277B5A8B3B}"/>
    <cellStyle name="Normal 4 6 2 2 2 4 3" xfId="6010" xr:uid="{00000000-0005-0000-0000-000011160000}"/>
    <cellStyle name="Normal 4 6 2 2 2 4 3 2" xfId="22908" xr:uid="{8F29A73C-2BBC-494D-AA2A-E9923318E773}"/>
    <cellStyle name="Normal 4 6 2 2 2 4 3 3" xfId="14460" xr:uid="{CB924796-B66E-4873-9EC7-1C5A19E56931}"/>
    <cellStyle name="Normal 4 6 2 2 2 4 4" xfId="18690" xr:uid="{AD188F13-29EB-48F1-ADE7-FED4F3A22088}"/>
    <cellStyle name="Normal 4 6 2 2 2 4 5" xfId="10242" xr:uid="{D8ADC139-5257-4DC5-98B4-EF5C617392C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25466" xr:uid="{BFE30C38-259E-49B8-B45F-1126D614E70F}"/>
    <cellStyle name="Normal 4 6 2 2 2 5 2 2 3" xfId="17018" xr:uid="{221B4863-9FBD-445B-8CCF-3AF79ECBA67D}"/>
    <cellStyle name="Normal 4 6 2 2 2 5 2 3" xfId="21248" xr:uid="{D2DE72F2-3D9E-4617-AB73-76DE66CD4E57}"/>
    <cellStyle name="Normal 4 6 2 2 2 5 2 4" xfId="12800" xr:uid="{77B159AE-EDB2-455D-AAF0-A4D2D68D2553}"/>
    <cellStyle name="Normal 4 6 2 2 2 5 3" xfId="6423" xr:uid="{00000000-0005-0000-0000-000015160000}"/>
    <cellStyle name="Normal 4 6 2 2 2 5 3 2" xfId="23321" xr:uid="{1FBBAB31-1091-4724-B2EF-48577209DC0B}"/>
    <cellStyle name="Normal 4 6 2 2 2 5 3 3" xfId="14873" xr:uid="{2D378AB2-FB85-41BE-A0A4-36659AD53627}"/>
    <cellStyle name="Normal 4 6 2 2 2 5 4" xfId="19103" xr:uid="{D494F916-6B00-49BD-B70F-BC50FA4E9F4B}"/>
    <cellStyle name="Normal 4 6 2 2 2 5 5" xfId="10655" xr:uid="{4C1B6BA2-9CE9-47C2-AD25-05D160DE7C8C}"/>
    <cellStyle name="Normal 4 6 2 2 2 6" xfId="2553" xr:uid="{00000000-0005-0000-0000-000016160000}"/>
    <cellStyle name="Normal 4 6 2 2 2 6 2" xfId="6836" xr:uid="{00000000-0005-0000-0000-000017160000}"/>
    <cellStyle name="Normal 4 6 2 2 2 6 2 2" xfId="23734" xr:uid="{8DEEBC7C-1E0C-409B-9EF4-B3B693677D37}"/>
    <cellStyle name="Normal 4 6 2 2 2 6 2 3" xfId="15286" xr:uid="{A3CEA187-D33C-43E8-9EDB-E78965ED9161}"/>
    <cellStyle name="Normal 4 6 2 2 2 6 3" xfId="19516" xr:uid="{DF6D2C31-92EE-4745-91EB-76F2E09C92CE}"/>
    <cellStyle name="Normal 4 6 2 2 2 6 4" xfId="11068" xr:uid="{972E19F4-6D5A-4980-8B5A-210877911E95}"/>
    <cellStyle name="Normal 4 6 2 2 2 7" xfId="4771" xr:uid="{00000000-0005-0000-0000-000018160000}"/>
    <cellStyle name="Normal 4 6 2 2 2 7 2" xfId="21669" xr:uid="{6771E7DA-E65D-413A-A506-9727AB8EDE8D}"/>
    <cellStyle name="Normal 4 6 2 2 2 7 3" xfId="13221" xr:uid="{40E979B4-71FD-478D-ACCB-E470616AE0AC}"/>
    <cellStyle name="Normal 4 6 2 2 2 8" xfId="17451" xr:uid="{2EA514BB-BAAD-4C05-9BE0-2F280960E408}"/>
    <cellStyle name="Normal 4 6 2 2 2 9" xfId="9003" xr:uid="{9396B0AA-B5A3-47A6-B03C-3DA4ED9C625C}"/>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24226" xr:uid="{131CCE35-B19A-4E23-90A8-103D246F421F}"/>
    <cellStyle name="Normal 4 6 2 2 3 2 2 3" xfId="15778" xr:uid="{0C6D9185-4E87-436F-BCBE-6715F1EF0905}"/>
    <cellStyle name="Normal 4 6 2 2 3 2 3" xfId="20008" xr:uid="{440D7382-CDAE-4EF2-8B81-7582E4C1BB03}"/>
    <cellStyle name="Normal 4 6 2 2 3 2 4" xfId="11560" xr:uid="{3A577A7F-219D-42C7-95B6-5113FCD7F455}"/>
    <cellStyle name="Normal 4 6 2 2 3 3" xfId="5183" xr:uid="{00000000-0005-0000-0000-00001C160000}"/>
    <cellStyle name="Normal 4 6 2 2 3 3 2" xfId="22081" xr:uid="{8AD765D5-03F6-440A-8748-454C60E3D4DC}"/>
    <cellStyle name="Normal 4 6 2 2 3 3 3" xfId="13633" xr:uid="{12CC3ADC-290C-4EC9-B20A-24DBA28419A0}"/>
    <cellStyle name="Normal 4 6 2 2 3 4" xfId="17863" xr:uid="{A7F1BE25-2C8B-4248-8E31-7A267C0EC40C}"/>
    <cellStyle name="Normal 4 6 2 2 3 5" xfId="9415" xr:uid="{99D69865-68A4-4BC0-865C-908522622C32}"/>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24639" xr:uid="{FAD0A256-55B0-4D7B-AE39-FECAC9189BD4}"/>
    <cellStyle name="Normal 4 6 2 2 4 2 2 3" xfId="16191" xr:uid="{EA4A60BC-2635-43C9-A670-92AB48E900E6}"/>
    <cellStyle name="Normal 4 6 2 2 4 2 3" xfId="20421" xr:uid="{496C1F61-997C-4959-8CAB-DA8C11D86EFD}"/>
    <cellStyle name="Normal 4 6 2 2 4 2 4" xfId="11973" xr:uid="{8FC9E272-5F41-4420-953E-A45B958B65DA}"/>
    <cellStyle name="Normal 4 6 2 2 4 3" xfId="5596" xr:uid="{00000000-0005-0000-0000-000020160000}"/>
    <cellStyle name="Normal 4 6 2 2 4 3 2" xfId="22494" xr:uid="{5030006A-BA91-4D65-ACB0-0ADB40E52EB9}"/>
    <cellStyle name="Normal 4 6 2 2 4 3 3" xfId="14046" xr:uid="{8AE72E17-BB29-4331-B305-939B64EBBF86}"/>
    <cellStyle name="Normal 4 6 2 2 4 4" xfId="18276" xr:uid="{348CFBEA-ABE4-4DBC-ADF3-D380050443A6}"/>
    <cellStyle name="Normal 4 6 2 2 4 5" xfId="9828" xr:uid="{89DAB485-A1A3-4131-AD79-7506D18F46C1}"/>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25052" xr:uid="{EA2D589B-606B-4AC8-BC76-15F081F5C220}"/>
    <cellStyle name="Normal 4 6 2 2 5 2 2 3" xfId="16604" xr:uid="{CA1C452F-B1FB-4026-B18E-F1ED58766E4E}"/>
    <cellStyle name="Normal 4 6 2 2 5 2 3" xfId="20834" xr:uid="{1A4F2672-3DDF-4220-BE8F-CB8ADB2C10CE}"/>
    <cellStyle name="Normal 4 6 2 2 5 2 4" xfId="12386" xr:uid="{DD4F653E-5D3E-473D-9F21-8F3E6E4B61D2}"/>
    <cellStyle name="Normal 4 6 2 2 5 3" xfId="6009" xr:uid="{00000000-0005-0000-0000-000024160000}"/>
    <cellStyle name="Normal 4 6 2 2 5 3 2" xfId="22907" xr:uid="{843D5308-07B2-4CF9-970D-99D884B217F6}"/>
    <cellStyle name="Normal 4 6 2 2 5 3 3" xfId="14459" xr:uid="{779D852A-CC5A-48FD-9F65-EC952D36183D}"/>
    <cellStyle name="Normal 4 6 2 2 5 4" xfId="18689" xr:uid="{E24D0F12-DD2A-4FF9-90CE-ECBB20AE0180}"/>
    <cellStyle name="Normal 4 6 2 2 5 5" xfId="10241" xr:uid="{A5EB4129-B105-4573-A06E-24F5D9A04D74}"/>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25465" xr:uid="{D56A6B8E-451D-4E9A-86AE-A2EEF600EF7B}"/>
    <cellStyle name="Normal 4 6 2 2 6 2 2 3" xfId="17017" xr:uid="{DF1D3CDB-E30C-4F53-8BB5-41A58CC09636}"/>
    <cellStyle name="Normal 4 6 2 2 6 2 3" xfId="21247" xr:uid="{B0C8E9F0-505A-40D7-85B3-849CC5B841F4}"/>
    <cellStyle name="Normal 4 6 2 2 6 2 4" xfId="12799" xr:uid="{2063A489-697B-46A6-BB5B-05D36CEBD46B}"/>
    <cellStyle name="Normal 4 6 2 2 6 3" xfId="6422" xr:uid="{00000000-0005-0000-0000-000028160000}"/>
    <cellStyle name="Normal 4 6 2 2 6 3 2" xfId="23320" xr:uid="{EA0390BA-1821-4970-9FEA-9D2E3928F197}"/>
    <cellStyle name="Normal 4 6 2 2 6 3 3" xfId="14872" xr:uid="{63B8543E-CC22-4C36-A5E1-BF7C994F5D26}"/>
    <cellStyle name="Normal 4 6 2 2 6 4" xfId="19102" xr:uid="{52C22F71-FC69-40B4-B1E2-C91560DDCEB5}"/>
    <cellStyle name="Normal 4 6 2 2 6 5" xfId="10654" xr:uid="{64644052-1DF0-4063-9BCA-F8A182E042A2}"/>
    <cellStyle name="Normal 4 6 2 2 7" xfId="2552" xr:uid="{00000000-0005-0000-0000-000029160000}"/>
    <cellStyle name="Normal 4 6 2 2 7 2" xfId="6835" xr:uid="{00000000-0005-0000-0000-00002A160000}"/>
    <cellStyle name="Normal 4 6 2 2 7 2 2" xfId="23733" xr:uid="{26F0CACF-34FD-4191-8B0A-A8E45CE05B26}"/>
    <cellStyle name="Normal 4 6 2 2 7 2 3" xfId="15285" xr:uid="{01ADB828-A407-4C75-9BDD-6D793BEFF72F}"/>
    <cellStyle name="Normal 4 6 2 2 7 3" xfId="19515" xr:uid="{20A6DDC8-027C-4844-B909-E2287DBFB697}"/>
    <cellStyle name="Normal 4 6 2 2 7 4" xfId="11067" xr:uid="{32BF7AF9-E3E3-465E-B96C-BB50FBA20EBF}"/>
    <cellStyle name="Normal 4 6 2 2 8" xfId="4770" xr:uid="{00000000-0005-0000-0000-00002B160000}"/>
    <cellStyle name="Normal 4 6 2 2 8 2" xfId="21668" xr:uid="{6E908AEB-192D-4247-A9F6-0EC6BD3E7293}"/>
    <cellStyle name="Normal 4 6 2 2 8 3" xfId="13220" xr:uid="{19423B08-8613-41D3-9A0A-62A9D35511BC}"/>
    <cellStyle name="Normal 4 6 2 2 9" xfId="17450" xr:uid="{1ED56177-8356-4A2A-9FDE-7668225B2392}"/>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24228" xr:uid="{204FCD50-E884-484D-B633-0C16627D61D9}"/>
    <cellStyle name="Normal 4 6 2 3 2 2 2 3" xfId="15780" xr:uid="{C8DF74FE-EE11-4C6D-83B9-8AF429F82C5C}"/>
    <cellStyle name="Normal 4 6 2 3 2 2 3" xfId="20010" xr:uid="{F3A0E14C-E5D5-45D5-8370-411E916CDA13}"/>
    <cellStyle name="Normal 4 6 2 3 2 2 4" xfId="11562" xr:uid="{3D873915-728E-4C6E-A125-879CE42A4E3F}"/>
    <cellStyle name="Normal 4 6 2 3 2 3" xfId="5185" xr:uid="{00000000-0005-0000-0000-000030160000}"/>
    <cellStyle name="Normal 4 6 2 3 2 3 2" xfId="22083" xr:uid="{078E4E5F-412C-485A-9E37-04282A2284A9}"/>
    <cellStyle name="Normal 4 6 2 3 2 3 3" xfId="13635" xr:uid="{1DF730B6-F576-4E18-A897-9D5E6B0BAD55}"/>
    <cellStyle name="Normal 4 6 2 3 2 4" xfId="17865" xr:uid="{46D10630-927E-4954-BDA5-7D66978EC324}"/>
    <cellStyle name="Normal 4 6 2 3 2 5" xfId="9417" xr:uid="{F40845B4-CF18-482B-BFF6-F5002028F8E3}"/>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24641" xr:uid="{6361D3A0-A783-40AF-9915-45A5C33D77ED}"/>
    <cellStyle name="Normal 4 6 2 3 3 2 2 3" xfId="16193" xr:uid="{533F3844-0ECA-494E-A8B8-AD58B93FF779}"/>
    <cellStyle name="Normal 4 6 2 3 3 2 3" xfId="20423" xr:uid="{948A3A38-FAF0-4F9B-88B9-DA4084B2A634}"/>
    <cellStyle name="Normal 4 6 2 3 3 2 4" xfId="11975" xr:uid="{31AC136A-BD51-4B56-A3DD-F2FC5212FBFF}"/>
    <cellStyle name="Normal 4 6 2 3 3 3" xfId="5598" xr:uid="{00000000-0005-0000-0000-000034160000}"/>
    <cellStyle name="Normal 4 6 2 3 3 3 2" xfId="22496" xr:uid="{FDA0AE9A-81A0-483C-AEF4-D46BD8EDBA16}"/>
    <cellStyle name="Normal 4 6 2 3 3 3 3" xfId="14048" xr:uid="{EADCF546-0E1D-4ADE-A607-F8215CE212E1}"/>
    <cellStyle name="Normal 4 6 2 3 3 4" xfId="18278" xr:uid="{FD7155EA-61A7-43DD-9E90-CA7166C370D3}"/>
    <cellStyle name="Normal 4 6 2 3 3 5" xfId="9830" xr:uid="{ACA77B8B-B8B3-47D0-AB95-B444FDED60C9}"/>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25054" xr:uid="{96179029-5384-42ED-BD8A-0707A0B165C8}"/>
    <cellStyle name="Normal 4 6 2 3 4 2 2 3" xfId="16606" xr:uid="{A2C866A8-D98F-46DD-BC24-143CF786D1AA}"/>
    <cellStyle name="Normal 4 6 2 3 4 2 3" xfId="20836" xr:uid="{5B36B4AE-FAB6-48A0-9528-1255492E5350}"/>
    <cellStyle name="Normal 4 6 2 3 4 2 4" xfId="12388" xr:uid="{893B4F72-56BC-44BF-A732-9A537F0EBDF9}"/>
    <cellStyle name="Normal 4 6 2 3 4 3" xfId="6011" xr:uid="{00000000-0005-0000-0000-000038160000}"/>
    <cellStyle name="Normal 4 6 2 3 4 3 2" xfId="22909" xr:uid="{FEEFE0EF-59DF-4458-B183-F08B301F96E8}"/>
    <cellStyle name="Normal 4 6 2 3 4 3 3" xfId="14461" xr:uid="{DB9832F9-2BEE-4879-A301-EBA586E2C2C3}"/>
    <cellStyle name="Normal 4 6 2 3 4 4" xfId="18691" xr:uid="{1427D1E9-009D-403A-85BF-745E3B8F7FAE}"/>
    <cellStyle name="Normal 4 6 2 3 4 5" xfId="10243" xr:uid="{840069D4-F647-4ADB-BC86-517F3B7A4CAD}"/>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25467" xr:uid="{7B04891C-9B1A-47D6-96E8-E657430B6D52}"/>
    <cellStyle name="Normal 4 6 2 3 5 2 2 3" xfId="17019" xr:uid="{D4E1C86B-58F7-4FD1-960E-F2A3D83B5F24}"/>
    <cellStyle name="Normal 4 6 2 3 5 2 3" xfId="21249" xr:uid="{3F1AADD4-1777-474F-B057-2864F4A1D57A}"/>
    <cellStyle name="Normal 4 6 2 3 5 2 4" xfId="12801" xr:uid="{C20B0A52-EFFB-46A1-A210-365FE5370205}"/>
    <cellStyle name="Normal 4 6 2 3 5 3" xfId="6424" xr:uid="{00000000-0005-0000-0000-00003C160000}"/>
    <cellStyle name="Normal 4 6 2 3 5 3 2" xfId="23322" xr:uid="{7216B3DE-FFE6-4DD6-B30A-0F8E5F8C44EE}"/>
    <cellStyle name="Normal 4 6 2 3 5 3 3" xfId="14874" xr:uid="{468CC06C-0390-4209-94F1-E6D264B419B8}"/>
    <cellStyle name="Normal 4 6 2 3 5 4" xfId="19104" xr:uid="{F37BFFC5-0A2D-472A-8E24-AA354ACA3199}"/>
    <cellStyle name="Normal 4 6 2 3 5 5" xfId="10656" xr:uid="{A32BA28B-A660-4676-BDC5-CA7D613E4F57}"/>
    <cellStyle name="Normal 4 6 2 3 6" xfId="2554" xr:uid="{00000000-0005-0000-0000-00003D160000}"/>
    <cellStyle name="Normal 4 6 2 3 6 2" xfId="6837" xr:uid="{00000000-0005-0000-0000-00003E160000}"/>
    <cellStyle name="Normal 4 6 2 3 6 2 2" xfId="23735" xr:uid="{ACD31671-B594-4CAB-AEB8-12CE24666F13}"/>
    <cellStyle name="Normal 4 6 2 3 6 2 3" xfId="15287" xr:uid="{E30093DD-05E2-49F4-936E-4C797F7518EE}"/>
    <cellStyle name="Normal 4 6 2 3 6 3" xfId="19517" xr:uid="{F4CDC8FC-293B-44C0-96C2-8B6A36D5458D}"/>
    <cellStyle name="Normal 4 6 2 3 6 4" xfId="11069" xr:uid="{4DDD6533-5528-43D7-9877-6C458A9C318E}"/>
    <cellStyle name="Normal 4 6 2 3 7" xfId="4772" xr:uid="{00000000-0005-0000-0000-00003F160000}"/>
    <cellStyle name="Normal 4 6 2 3 7 2" xfId="21670" xr:uid="{61DD07AB-E545-409B-A22B-A83EA2183314}"/>
    <cellStyle name="Normal 4 6 2 3 7 3" xfId="13222" xr:uid="{929C1B7A-32C1-4393-A7CF-D6BFE2AB86C7}"/>
    <cellStyle name="Normal 4 6 2 3 8" xfId="17452" xr:uid="{D117A64C-A637-4726-A8E3-8729D6AF973A}"/>
    <cellStyle name="Normal 4 6 2 3 9" xfId="9004" xr:uid="{A897EACC-47E8-4177-9554-AF49C8185155}"/>
    <cellStyle name="Normal 4 6 2 4" xfId="870" xr:uid="{00000000-0005-0000-0000-000040160000}"/>
    <cellStyle name="Normal 4 6 2 4 2" xfId="3105" xr:uid="{00000000-0005-0000-0000-000041160000}"/>
    <cellStyle name="Normal 4 6 2 4 2 2" xfId="7327" xr:uid="{00000000-0005-0000-0000-000042160000}"/>
    <cellStyle name="Normal 4 6 2 4 2 2 2" xfId="24225" xr:uid="{158465C4-5E74-4531-A942-F94A1ED24D86}"/>
    <cellStyle name="Normal 4 6 2 4 2 2 3" xfId="15777" xr:uid="{0ACA1A6B-4FCE-48AD-AE8B-00E25BE49D4F}"/>
    <cellStyle name="Normal 4 6 2 4 2 3" xfId="20007" xr:uid="{AFD562C7-AF58-4EC3-A537-3E137A87BF13}"/>
    <cellStyle name="Normal 4 6 2 4 2 4" xfId="11559" xr:uid="{FBE90878-4A6C-4F77-9CB8-9C2E0D1BEB80}"/>
    <cellStyle name="Normal 4 6 2 4 3" xfId="5182" xr:uid="{00000000-0005-0000-0000-000043160000}"/>
    <cellStyle name="Normal 4 6 2 4 3 2" xfId="22080" xr:uid="{31F9B1E9-C161-4424-969D-19E383D87F40}"/>
    <cellStyle name="Normal 4 6 2 4 3 3" xfId="13632" xr:uid="{1AAF4A43-C638-4471-8A3B-619A0EB18D23}"/>
    <cellStyle name="Normal 4 6 2 4 4" xfId="17862" xr:uid="{EC0A28D7-0986-4771-953A-DD4086531C5B}"/>
    <cellStyle name="Normal 4 6 2 4 5" xfId="9414" xr:uid="{899D86D7-1171-4E57-BC92-28193CC02918}"/>
    <cellStyle name="Normal 4 6 2 5" xfId="1288" xr:uid="{00000000-0005-0000-0000-000044160000}"/>
    <cellStyle name="Normal 4 6 2 5 2" xfId="3518" xr:uid="{00000000-0005-0000-0000-000045160000}"/>
    <cellStyle name="Normal 4 6 2 5 2 2" xfId="7740" xr:uid="{00000000-0005-0000-0000-000046160000}"/>
    <cellStyle name="Normal 4 6 2 5 2 2 2" xfId="24638" xr:uid="{556F51AA-CFAF-444F-AD3C-D15838DD8B4A}"/>
    <cellStyle name="Normal 4 6 2 5 2 2 3" xfId="16190" xr:uid="{956B1EF8-C676-480B-97EA-3ADFFE7E7426}"/>
    <cellStyle name="Normal 4 6 2 5 2 3" xfId="20420" xr:uid="{A801304C-F6E3-4D3F-89E3-8FD2C5C08378}"/>
    <cellStyle name="Normal 4 6 2 5 2 4" xfId="11972" xr:uid="{2B99E293-10AC-4BAA-A1F2-90716AD2D13A}"/>
    <cellStyle name="Normal 4 6 2 5 3" xfId="5595" xr:uid="{00000000-0005-0000-0000-000047160000}"/>
    <cellStyle name="Normal 4 6 2 5 3 2" xfId="22493" xr:uid="{1F143357-2E93-4F3F-BD44-670785C441F8}"/>
    <cellStyle name="Normal 4 6 2 5 3 3" xfId="14045" xr:uid="{F0C77C0E-C7C1-434F-B592-9A24EFEEC84D}"/>
    <cellStyle name="Normal 4 6 2 5 4" xfId="18275" xr:uid="{8DF0712D-4B4E-4B84-BC99-89CF23242C7C}"/>
    <cellStyle name="Normal 4 6 2 5 5" xfId="9827" xr:uid="{C6306880-4DE0-4EEB-9890-AA5E4A6D31C2}"/>
    <cellStyle name="Normal 4 6 2 6" xfId="1701" xr:uid="{00000000-0005-0000-0000-000048160000}"/>
    <cellStyle name="Normal 4 6 2 6 2" xfId="3931" xr:uid="{00000000-0005-0000-0000-000049160000}"/>
    <cellStyle name="Normal 4 6 2 6 2 2" xfId="8153" xr:uid="{00000000-0005-0000-0000-00004A160000}"/>
    <cellStyle name="Normal 4 6 2 6 2 2 2" xfId="25051" xr:uid="{058E1013-71A9-4BB7-A637-863A3A46CA0B}"/>
    <cellStyle name="Normal 4 6 2 6 2 2 3" xfId="16603" xr:uid="{7F50E80E-072B-4442-B618-7CE75B4B2AD0}"/>
    <cellStyle name="Normal 4 6 2 6 2 3" xfId="20833" xr:uid="{95FE179F-7339-4AC8-AEAE-D2BEB948663B}"/>
    <cellStyle name="Normal 4 6 2 6 2 4" xfId="12385" xr:uid="{812DAEBD-FD44-4C78-AD6A-D0885EDBE22B}"/>
    <cellStyle name="Normal 4 6 2 6 3" xfId="6008" xr:uid="{00000000-0005-0000-0000-00004B160000}"/>
    <cellStyle name="Normal 4 6 2 6 3 2" xfId="22906" xr:uid="{F29FDDEB-ADDF-4F64-A320-80D9CBEDE4DD}"/>
    <cellStyle name="Normal 4 6 2 6 3 3" xfId="14458" xr:uid="{EBFBC880-FDB8-4C5A-A8EA-04A767B5B459}"/>
    <cellStyle name="Normal 4 6 2 6 4" xfId="18688" xr:uid="{172F1429-6051-4FE9-BA69-43128587C8E6}"/>
    <cellStyle name="Normal 4 6 2 6 5" xfId="10240" xr:uid="{58E327C7-89C7-48C4-8587-067014FBE2FF}"/>
    <cellStyle name="Normal 4 6 2 7" xfId="2115" xr:uid="{00000000-0005-0000-0000-00004C160000}"/>
    <cellStyle name="Normal 4 6 2 7 2" xfId="4344" xr:uid="{00000000-0005-0000-0000-00004D160000}"/>
    <cellStyle name="Normal 4 6 2 7 2 2" xfId="8566" xr:uid="{00000000-0005-0000-0000-00004E160000}"/>
    <cellStyle name="Normal 4 6 2 7 2 2 2" xfId="25464" xr:uid="{1B26F7D3-E180-4AB1-8C00-D6866B98D080}"/>
    <cellStyle name="Normal 4 6 2 7 2 2 3" xfId="17016" xr:uid="{D76FEE85-831E-47D4-9B29-D557BED33440}"/>
    <cellStyle name="Normal 4 6 2 7 2 3" xfId="21246" xr:uid="{EB5D7021-350E-4980-A6B3-5255110428E1}"/>
    <cellStyle name="Normal 4 6 2 7 2 4" xfId="12798" xr:uid="{731522DE-3986-4EA4-82F3-A8E748F2DD9D}"/>
    <cellStyle name="Normal 4 6 2 7 3" xfId="6421" xr:uid="{00000000-0005-0000-0000-00004F160000}"/>
    <cellStyle name="Normal 4 6 2 7 3 2" xfId="23319" xr:uid="{9FA93900-6432-4701-8B6F-8337A8938870}"/>
    <cellStyle name="Normal 4 6 2 7 3 3" xfId="14871" xr:uid="{8F0B2D97-8C27-4F30-9B65-FE166CEE7DF6}"/>
    <cellStyle name="Normal 4 6 2 7 4" xfId="19101" xr:uid="{78B0DBF3-08C4-40CF-B457-4BDC8ECB7167}"/>
    <cellStyle name="Normal 4 6 2 7 5" xfId="10653" xr:uid="{71A0A0E1-FF8B-4C27-8E69-E099761F3E5B}"/>
    <cellStyle name="Normal 4 6 2 8" xfId="2551" xr:uid="{00000000-0005-0000-0000-000050160000}"/>
    <cellStyle name="Normal 4 6 2 8 2" xfId="6834" xr:uid="{00000000-0005-0000-0000-000051160000}"/>
    <cellStyle name="Normal 4 6 2 8 2 2" xfId="23732" xr:uid="{029B8018-F810-4CF5-B3B3-B33466277616}"/>
    <cellStyle name="Normal 4 6 2 8 2 3" xfId="15284" xr:uid="{C8740B40-F28D-41D9-94DD-D75391D6616A}"/>
    <cellStyle name="Normal 4 6 2 8 3" xfId="19514" xr:uid="{A9496249-0347-4E01-AA59-36C9F47A7878}"/>
    <cellStyle name="Normal 4 6 2 8 4" xfId="11066" xr:uid="{1F51C97E-6158-43B4-BAC3-378A7672E2FA}"/>
    <cellStyle name="Normal 4 6 2 9" xfId="4769" xr:uid="{00000000-0005-0000-0000-000052160000}"/>
    <cellStyle name="Normal 4 6 2 9 2" xfId="21667" xr:uid="{8468D413-43BC-4BB4-9BE6-40388F680016}"/>
    <cellStyle name="Normal 4 6 2 9 3" xfId="13219" xr:uid="{FF3201C6-2EE0-42F6-AAD5-17E55376ED42}"/>
    <cellStyle name="Normal 4 6 3" xfId="400" xr:uid="{00000000-0005-0000-0000-000053160000}"/>
    <cellStyle name="Normal 4 6 3 10" xfId="9005" xr:uid="{45A21514-6160-45F6-8D2C-841DFF6DEB1A}"/>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24230" xr:uid="{F35CCB28-E180-426D-ACA9-2BFEE3E64FED}"/>
    <cellStyle name="Normal 4 6 3 2 2 2 2 3" xfId="15782" xr:uid="{A8AF7B0B-F23F-4D0B-BE65-911502DA6CFB}"/>
    <cellStyle name="Normal 4 6 3 2 2 2 3" xfId="20012" xr:uid="{C56B54F3-FDD4-4397-8EE2-578988F3F110}"/>
    <cellStyle name="Normal 4 6 3 2 2 2 4" xfId="11564" xr:uid="{B1EDB782-E0DD-4746-AD94-42645BE402D7}"/>
    <cellStyle name="Normal 4 6 3 2 2 3" xfId="5187" xr:uid="{00000000-0005-0000-0000-000058160000}"/>
    <cellStyle name="Normal 4 6 3 2 2 3 2" xfId="22085" xr:uid="{DB6C2C3C-4BB9-4B58-8BB2-3E686C338C17}"/>
    <cellStyle name="Normal 4 6 3 2 2 3 3" xfId="13637" xr:uid="{93BE61CE-A9E1-4B1F-8BD1-F1874CB6E5B2}"/>
    <cellStyle name="Normal 4 6 3 2 2 4" xfId="17867" xr:uid="{85708108-B6B5-4C77-AFCC-2797DBF43D0A}"/>
    <cellStyle name="Normal 4 6 3 2 2 5" xfId="9419" xr:uid="{B6FD0D2C-150A-4DF8-9D41-8B2B729F63A3}"/>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24643" xr:uid="{498C575A-153E-43DB-9F37-71D67B0F426D}"/>
    <cellStyle name="Normal 4 6 3 2 3 2 2 3" xfId="16195" xr:uid="{A53037FD-2215-4379-BE5B-970EF830ABF9}"/>
    <cellStyle name="Normal 4 6 3 2 3 2 3" xfId="20425" xr:uid="{91C604DA-CC4B-46CA-B654-3D3C75D0A033}"/>
    <cellStyle name="Normal 4 6 3 2 3 2 4" xfId="11977" xr:uid="{E60D6802-740F-4FB1-91F3-71FE25739E87}"/>
    <cellStyle name="Normal 4 6 3 2 3 3" xfId="5600" xr:uid="{00000000-0005-0000-0000-00005C160000}"/>
    <cellStyle name="Normal 4 6 3 2 3 3 2" xfId="22498" xr:uid="{9760E948-0E6E-4733-B04D-58CDD1E0A0A2}"/>
    <cellStyle name="Normal 4 6 3 2 3 3 3" xfId="14050" xr:uid="{02CF86C1-4543-41C2-AF6B-7455854A11D3}"/>
    <cellStyle name="Normal 4 6 3 2 3 4" xfId="18280" xr:uid="{CE78AC3A-8408-454C-B9C8-59791B159BED}"/>
    <cellStyle name="Normal 4 6 3 2 3 5" xfId="9832" xr:uid="{A2A108CF-EE88-47A0-83D4-0124F3F459FB}"/>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25056" xr:uid="{6043D65C-3185-444D-8748-280E86ADFA06}"/>
    <cellStyle name="Normal 4 6 3 2 4 2 2 3" xfId="16608" xr:uid="{096860E8-9F15-4134-AD08-C2BB4F441E48}"/>
    <cellStyle name="Normal 4 6 3 2 4 2 3" xfId="20838" xr:uid="{E3BDBFCA-CC13-4D27-9A74-E0C3A24F8B6D}"/>
    <cellStyle name="Normal 4 6 3 2 4 2 4" xfId="12390" xr:uid="{8CA83F63-53CA-40E1-A9CB-193F7C7F37CF}"/>
    <cellStyle name="Normal 4 6 3 2 4 3" xfId="6013" xr:uid="{00000000-0005-0000-0000-000060160000}"/>
    <cellStyle name="Normal 4 6 3 2 4 3 2" xfId="22911" xr:uid="{F7D3A997-2A17-4EF8-83AE-E2AFC9E137E0}"/>
    <cellStyle name="Normal 4 6 3 2 4 3 3" xfId="14463" xr:uid="{39B98532-8EA2-4ECA-AFC1-4D35E0105B94}"/>
    <cellStyle name="Normal 4 6 3 2 4 4" xfId="18693" xr:uid="{B770F87E-198A-4916-9B92-08A536BB686B}"/>
    <cellStyle name="Normal 4 6 3 2 4 5" xfId="10245" xr:uid="{10AACF94-050C-4E14-9D11-1BEB26B1F935}"/>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25469" xr:uid="{B45F83B2-49B2-42A1-A097-6DCF88B2B45D}"/>
    <cellStyle name="Normal 4 6 3 2 5 2 2 3" xfId="17021" xr:uid="{A909182D-5515-4F5A-A34C-A371844C725C}"/>
    <cellStyle name="Normal 4 6 3 2 5 2 3" xfId="21251" xr:uid="{635E3441-20B8-4200-A243-7E1BD4044A4A}"/>
    <cellStyle name="Normal 4 6 3 2 5 2 4" xfId="12803" xr:uid="{251E03D3-3980-4CF1-AAA5-58A18CE8DD9E}"/>
    <cellStyle name="Normal 4 6 3 2 5 3" xfId="6426" xr:uid="{00000000-0005-0000-0000-000064160000}"/>
    <cellStyle name="Normal 4 6 3 2 5 3 2" xfId="23324" xr:uid="{B4FF62D1-4A01-4C82-BA12-ABA7583084EB}"/>
    <cellStyle name="Normal 4 6 3 2 5 3 3" xfId="14876" xr:uid="{5DD6D2B0-D846-438B-89A0-23CF3BA803ED}"/>
    <cellStyle name="Normal 4 6 3 2 5 4" xfId="19106" xr:uid="{0577C3BF-B604-4907-8A85-5A99AE7951D3}"/>
    <cellStyle name="Normal 4 6 3 2 5 5" xfId="10658" xr:uid="{39A552BB-5527-484F-9835-8CC70C81FAF8}"/>
    <cellStyle name="Normal 4 6 3 2 6" xfId="2556" xr:uid="{00000000-0005-0000-0000-000065160000}"/>
    <cellStyle name="Normal 4 6 3 2 6 2" xfId="6839" xr:uid="{00000000-0005-0000-0000-000066160000}"/>
    <cellStyle name="Normal 4 6 3 2 6 2 2" xfId="23737" xr:uid="{ED3CB609-34A0-45F7-BFC6-0DF09112BD51}"/>
    <cellStyle name="Normal 4 6 3 2 6 2 3" xfId="15289" xr:uid="{4337D1C8-425C-440E-8F32-F9C52A4C4D2E}"/>
    <cellStyle name="Normal 4 6 3 2 6 3" xfId="19519" xr:uid="{42EA7DBF-EEA1-4BB4-8F00-D2C9C9C39372}"/>
    <cellStyle name="Normal 4 6 3 2 6 4" xfId="11071" xr:uid="{A8D0C7AB-A6E7-4E36-B7D4-DE4168612EC0}"/>
    <cellStyle name="Normal 4 6 3 2 7" xfId="4774" xr:uid="{00000000-0005-0000-0000-000067160000}"/>
    <cellStyle name="Normal 4 6 3 2 7 2" xfId="21672" xr:uid="{2149E0ED-7C58-49F7-91E5-C6BAF31BD802}"/>
    <cellStyle name="Normal 4 6 3 2 7 3" xfId="13224" xr:uid="{929B09B6-0269-4803-828E-27376C2EBDC9}"/>
    <cellStyle name="Normal 4 6 3 2 8" xfId="17454" xr:uid="{1EE3E4C0-81A8-40BF-8EB6-84A987D83991}"/>
    <cellStyle name="Normal 4 6 3 2 9" xfId="9006" xr:uid="{E76A54EE-48CF-44AE-8760-7EF97BCF2DCD}"/>
    <cellStyle name="Normal 4 6 3 3" xfId="874" xr:uid="{00000000-0005-0000-0000-000068160000}"/>
    <cellStyle name="Normal 4 6 3 3 2" xfId="3109" xr:uid="{00000000-0005-0000-0000-000069160000}"/>
    <cellStyle name="Normal 4 6 3 3 2 2" xfId="7331" xr:uid="{00000000-0005-0000-0000-00006A160000}"/>
    <cellStyle name="Normal 4 6 3 3 2 2 2" xfId="24229" xr:uid="{2BB8967F-348D-499F-870B-D29CA7DAD2C4}"/>
    <cellStyle name="Normal 4 6 3 3 2 2 3" xfId="15781" xr:uid="{EB42A892-2982-4391-9DA5-235C9A7A6EF5}"/>
    <cellStyle name="Normal 4 6 3 3 2 3" xfId="20011" xr:uid="{DEBD49FB-7F43-47DE-B677-E995460A80B8}"/>
    <cellStyle name="Normal 4 6 3 3 2 4" xfId="11563" xr:uid="{9DDAD1EF-BC16-4884-8C2B-1AD135E04073}"/>
    <cellStyle name="Normal 4 6 3 3 3" xfId="5186" xr:uid="{00000000-0005-0000-0000-00006B160000}"/>
    <cellStyle name="Normal 4 6 3 3 3 2" xfId="22084" xr:uid="{A441DB4B-A6CE-4E62-AEF8-4E8B4DCB6A34}"/>
    <cellStyle name="Normal 4 6 3 3 3 3" xfId="13636" xr:uid="{087D1F83-3ADF-4F92-83CD-DB6826CF041E}"/>
    <cellStyle name="Normal 4 6 3 3 4" xfId="17866" xr:uid="{833FC7E1-D5F6-416D-802E-9D3FC855DB39}"/>
    <cellStyle name="Normal 4 6 3 3 5" xfId="9418" xr:uid="{EF1D2AA5-94D5-498E-9746-9B02B8EE7E34}"/>
    <cellStyle name="Normal 4 6 3 4" xfId="1292" xr:uid="{00000000-0005-0000-0000-00006C160000}"/>
    <cellStyle name="Normal 4 6 3 4 2" xfId="3522" xr:uid="{00000000-0005-0000-0000-00006D160000}"/>
    <cellStyle name="Normal 4 6 3 4 2 2" xfId="7744" xr:uid="{00000000-0005-0000-0000-00006E160000}"/>
    <cellStyle name="Normal 4 6 3 4 2 2 2" xfId="24642" xr:uid="{C252B0B6-4DD4-4EEB-921B-E223805DA1A9}"/>
    <cellStyle name="Normal 4 6 3 4 2 2 3" xfId="16194" xr:uid="{F640DC8C-BFDF-4A6F-A952-FFCC209F89B5}"/>
    <cellStyle name="Normal 4 6 3 4 2 3" xfId="20424" xr:uid="{C0EF899D-694D-4D47-8646-C47FB50E76FE}"/>
    <cellStyle name="Normal 4 6 3 4 2 4" xfId="11976" xr:uid="{AACCE9BD-8D3D-404C-840E-F045F72056A6}"/>
    <cellStyle name="Normal 4 6 3 4 3" xfId="5599" xr:uid="{00000000-0005-0000-0000-00006F160000}"/>
    <cellStyle name="Normal 4 6 3 4 3 2" xfId="22497" xr:uid="{DFA9B1DA-4963-4BF0-842A-B21EA4364BB5}"/>
    <cellStyle name="Normal 4 6 3 4 3 3" xfId="14049" xr:uid="{2ED591D6-C028-4A7D-85AF-F9FACA9C693F}"/>
    <cellStyle name="Normal 4 6 3 4 4" xfId="18279" xr:uid="{E0D7F66F-FADE-4931-BEA4-49DC193723C7}"/>
    <cellStyle name="Normal 4 6 3 4 5" xfId="9831" xr:uid="{DB3E4C56-FE39-40E2-8D25-18938FED5EEC}"/>
    <cellStyle name="Normal 4 6 3 5" xfId="1705" xr:uid="{00000000-0005-0000-0000-000070160000}"/>
    <cellStyle name="Normal 4 6 3 5 2" xfId="3935" xr:uid="{00000000-0005-0000-0000-000071160000}"/>
    <cellStyle name="Normal 4 6 3 5 2 2" xfId="8157" xr:uid="{00000000-0005-0000-0000-000072160000}"/>
    <cellStyle name="Normal 4 6 3 5 2 2 2" xfId="25055" xr:uid="{82F5AB20-D606-4493-BE03-C144AF985087}"/>
    <cellStyle name="Normal 4 6 3 5 2 2 3" xfId="16607" xr:uid="{B5DF5EE6-5888-4D99-BF2E-A8AE4FCE56D3}"/>
    <cellStyle name="Normal 4 6 3 5 2 3" xfId="20837" xr:uid="{7366D3CE-16CB-4C63-9FD6-A740EC7ED3AB}"/>
    <cellStyle name="Normal 4 6 3 5 2 4" xfId="12389" xr:uid="{B59D10CD-0A68-4E7C-BFF1-64C070C8F385}"/>
    <cellStyle name="Normal 4 6 3 5 3" xfId="6012" xr:uid="{00000000-0005-0000-0000-000073160000}"/>
    <cellStyle name="Normal 4 6 3 5 3 2" xfId="22910" xr:uid="{7E2724F9-4DE6-4486-A378-F5BEB182D83B}"/>
    <cellStyle name="Normal 4 6 3 5 3 3" xfId="14462" xr:uid="{250C28CC-02EF-4156-951C-DC2C26394C0D}"/>
    <cellStyle name="Normal 4 6 3 5 4" xfId="18692" xr:uid="{64971C53-3D77-4632-A1B2-FADA1D437578}"/>
    <cellStyle name="Normal 4 6 3 5 5" xfId="10244" xr:uid="{ABC52B97-F286-423A-80EA-ED3800773D82}"/>
    <cellStyle name="Normal 4 6 3 6" xfId="2119" xr:uid="{00000000-0005-0000-0000-000074160000}"/>
    <cellStyle name="Normal 4 6 3 6 2" xfId="4348" xr:uid="{00000000-0005-0000-0000-000075160000}"/>
    <cellStyle name="Normal 4 6 3 6 2 2" xfId="8570" xr:uid="{00000000-0005-0000-0000-000076160000}"/>
    <cellStyle name="Normal 4 6 3 6 2 2 2" xfId="25468" xr:uid="{57B07D8A-C7C8-49B0-9DE8-970E464346B3}"/>
    <cellStyle name="Normal 4 6 3 6 2 2 3" xfId="17020" xr:uid="{D3F69F23-90C1-48F6-92C7-C4D772524B75}"/>
    <cellStyle name="Normal 4 6 3 6 2 3" xfId="21250" xr:uid="{EDA5F559-1279-444E-835D-F6FDAFE313C1}"/>
    <cellStyle name="Normal 4 6 3 6 2 4" xfId="12802" xr:uid="{73980758-3F7A-4835-A8CC-545614BA9B73}"/>
    <cellStyle name="Normal 4 6 3 6 3" xfId="6425" xr:uid="{00000000-0005-0000-0000-000077160000}"/>
    <cellStyle name="Normal 4 6 3 6 3 2" xfId="23323" xr:uid="{960965DF-FCEA-4D18-9A5C-33A98B61E770}"/>
    <cellStyle name="Normal 4 6 3 6 3 3" xfId="14875" xr:uid="{B37F82E5-C00D-4441-AED8-D9D04F459734}"/>
    <cellStyle name="Normal 4 6 3 6 4" xfId="19105" xr:uid="{01F88150-A033-45B8-A9F5-324C91A633E9}"/>
    <cellStyle name="Normal 4 6 3 6 5" xfId="10657" xr:uid="{E1A6BB98-FDF1-444B-A975-49CBE1254D3C}"/>
    <cellStyle name="Normal 4 6 3 7" xfId="2555" xr:uid="{00000000-0005-0000-0000-000078160000}"/>
    <cellStyle name="Normal 4 6 3 7 2" xfId="6838" xr:uid="{00000000-0005-0000-0000-000079160000}"/>
    <cellStyle name="Normal 4 6 3 7 2 2" xfId="23736" xr:uid="{77444EF2-378C-480A-8C15-F4B456C6DA6E}"/>
    <cellStyle name="Normal 4 6 3 7 2 3" xfId="15288" xr:uid="{19656DDA-7539-420F-A062-28ECA2FA5D50}"/>
    <cellStyle name="Normal 4 6 3 7 3" xfId="19518" xr:uid="{9FD474D5-BB78-4C80-98C1-DC6D47C07E4E}"/>
    <cellStyle name="Normal 4 6 3 7 4" xfId="11070" xr:uid="{0AF9D333-D66E-4CB4-B7D8-758CDE4ECB39}"/>
    <cellStyle name="Normal 4 6 3 8" xfId="4773" xr:uid="{00000000-0005-0000-0000-00007A160000}"/>
    <cellStyle name="Normal 4 6 3 8 2" xfId="21671" xr:uid="{2DFBE010-EADF-41D3-AF1A-5598BCF16096}"/>
    <cellStyle name="Normal 4 6 3 8 3" xfId="13223" xr:uid="{57C62874-056E-4908-B9DA-F25BB193E780}"/>
    <cellStyle name="Normal 4 6 3 9" xfId="17453" xr:uid="{76CCA94D-6DAF-450F-9185-A7A76E9CED54}"/>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2 2 2" xfId="24231" xr:uid="{0A3A4467-7003-44DC-AF0F-613559488084}"/>
    <cellStyle name="Normal 4 6 4 2 2 2 3" xfId="15783" xr:uid="{FA5E9AD6-E0B0-483B-85CC-630F406E82C1}"/>
    <cellStyle name="Normal 4 6 4 2 2 3" xfId="20013" xr:uid="{05EC8EF0-E9AE-4EFE-998A-3F98452F4B71}"/>
    <cellStyle name="Normal 4 6 4 2 2 4" xfId="11565" xr:uid="{69D06A4D-E59D-4756-81D4-08D102680543}"/>
    <cellStyle name="Normal 4 6 4 2 3" xfId="5188" xr:uid="{00000000-0005-0000-0000-00007F160000}"/>
    <cellStyle name="Normal 4 6 4 2 3 2" xfId="22086" xr:uid="{C5400999-2919-4695-AC5A-82CE33F94394}"/>
    <cellStyle name="Normal 4 6 4 2 3 3" xfId="13638" xr:uid="{B093CB50-F4EE-4025-8346-87171CE50EDA}"/>
    <cellStyle name="Normal 4 6 4 2 4" xfId="17868" xr:uid="{E8699E19-7050-4B5B-9230-7ABBDBBFC88C}"/>
    <cellStyle name="Normal 4 6 4 2 5" xfId="9420" xr:uid="{4315BE90-E3F1-45A2-9E63-BCFBA80B8F26}"/>
    <cellStyle name="Normal 4 6 4 3" xfId="1294" xr:uid="{00000000-0005-0000-0000-000080160000}"/>
    <cellStyle name="Normal 4 6 4 3 2" xfId="3524" xr:uid="{00000000-0005-0000-0000-000081160000}"/>
    <cellStyle name="Normal 4 6 4 3 2 2" xfId="7746" xr:uid="{00000000-0005-0000-0000-000082160000}"/>
    <cellStyle name="Normal 4 6 4 3 2 2 2" xfId="24644" xr:uid="{990012E2-6D0E-4EC8-8B6F-7D3FF6EA9ACC}"/>
    <cellStyle name="Normal 4 6 4 3 2 2 3" xfId="16196" xr:uid="{086594B0-4322-47D5-BA0A-CEFF0AECD28E}"/>
    <cellStyle name="Normal 4 6 4 3 2 3" xfId="20426" xr:uid="{F5944B69-50E7-4A4C-89D6-9E53D13B9E20}"/>
    <cellStyle name="Normal 4 6 4 3 2 4" xfId="11978" xr:uid="{FCD59939-04E0-4E5D-87B3-A3969B456221}"/>
    <cellStyle name="Normal 4 6 4 3 3" xfId="5601" xr:uid="{00000000-0005-0000-0000-000083160000}"/>
    <cellStyle name="Normal 4 6 4 3 3 2" xfId="22499" xr:uid="{78D8B8F4-37B6-4EF2-8C3E-7CA69865CA8E}"/>
    <cellStyle name="Normal 4 6 4 3 3 3" xfId="14051" xr:uid="{53E42DF8-BFD7-4476-B0C3-CBA212C9C2BC}"/>
    <cellStyle name="Normal 4 6 4 3 4" xfId="18281" xr:uid="{BD50B154-091D-4E29-AADE-640FCB9AAEF4}"/>
    <cellStyle name="Normal 4 6 4 3 5" xfId="9833" xr:uid="{2081019D-5D30-496F-A0CD-F32DE5D598B1}"/>
    <cellStyle name="Normal 4 6 4 4" xfId="1707" xr:uid="{00000000-0005-0000-0000-000084160000}"/>
    <cellStyle name="Normal 4 6 4 4 2" xfId="3937" xr:uid="{00000000-0005-0000-0000-000085160000}"/>
    <cellStyle name="Normal 4 6 4 4 2 2" xfId="8159" xr:uid="{00000000-0005-0000-0000-000086160000}"/>
    <cellStyle name="Normal 4 6 4 4 2 2 2" xfId="25057" xr:uid="{78ABED3B-EF7E-4C0D-9EC9-32832A5F3F5D}"/>
    <cellStyle name="Normal 4 6 4 4 2 2 3" xfId="16609" xr:uid="{32391DB1-A4CA-424B-8872-8331BD1F1CEF}"/>
    <cellStyle name="Normal 4 6 4 4 2 3" xfId="20839" xr:uid="{A9545802-93ED-44F8-95EF-7702D67100DF}"/>
    <cellStyle name="Normal 4 6 4 4 2 4" xfId="12391" xr:uid="{8107FC02-FB85-4636-A5F1-495EEB9F6B87}"/>
    <cellStyle name="Normal 4 6 4 4 3" xfId="6014" xr:uid="{00000000-0005-0000-0000-000087160000}"/>
    <cellStyle name="Normal 4 6 4 4 3 2" xfId="22912" xr:uid="{D8B41B33-F814-4658-8B85-8C9E9BE8CDFA}"/>
    <cellStyle name="Normal 4 6 4 4 3 3" xfId="14464" xr:uid="{E348CB3F-8C24-4972-BB6C-2CD2F1561569}"/>
    <cellStyle name="Normal 4 6 4 4 4" xfId="18694" xr:uid="{55F67A38-E474-44C8-9842-F6476149B2DA}"/>
    <cellStyle name="Normal 4 6 4 4 5" xfId="10246" xr:uid="{F50D2946-534D-454E-9E60-5F9B83D48861}"/>
    <cellStyle name="Normal 4 6 4 5" xfId="2121" xr:uid="{00000000-0005-0000-0000-000088160000}"/>
    <cellStyle name="Normal 4 6 4 5 2" xfId="4350" xr:uid="{00000000-0005-0000-0000-000089160000}"/>
    <cellStyle name="Normal 4 6 4 5 2 2" xfId="8572" xr:uid="{00000000-0005-0000-0000-00008A160000}"/>
    <cellStyle name="Normal 4 6 4 5 2 2 2" xfId="25470" xr:uid="{ADBD52EB-EFC0-429E-BC61-C0EB4CC65857}"/>
    <cellStyle name="Normal 4 6 4 5 2 2 3" xfId="17022" xr:uid="{5B75007D-19F3-492F-A2D1-0282A3106CA3}"/>
    <cellStyle name="Normal 4 6 4 5 2 3" xfId="21252" xr:uid="{F5F28779-FB6A-4D60-AB5D-0CAC9A70DEE2}"/>
    <cellStyle name="Normal 4 6 4 5 2 4" xfId="12804" xr:uid="{0660500E-D61E-414D-90FF-82A797E2D0DF}"/>
    <cellStyle name="Normal 4 6 4 5 3" xfId="6427" xr:uid="{00000000-0005-0000-0000-00008B160000}"/>
    <cellStyle name="Normal 4 6 4 5 3 2" xfId="23325" xr:uid="{982C81EA-6113-48AD-8062-EA72FF774AF7}"/>
    <cellStyle name="Normal 4 6 4 5 3 3" xfId="14877" xr:uid="{6ED66B12-6636-4E7D-BD72-34C1ED56ED43}"/>
    <cellStyle name="Normal 4 6 4 5 4" xfId="19107" xr:uid="{04D77CC4-C31A-4B67-BE64-FEA9E61B43A3}"/>
    <cellStyle name="Normal 4 6 4 5 5" xfId="10659" xr:uid="{F7CCB29E-F6A6-4161-9220-6482322C2485}"/>
    <cellStyle name="Normal 4 6 4 6" xfId="2557" xr:uid="{00000000-0005-0000-0000-00008C160000}"/>
    <cellStyle name="Normal 4 6 4 6 2" xfId="6840" xr:uid="{00000000-0005-0000-0000-00008D160000}"/>
    <cellStyle name="Normal 4 6 4 6 2 2" xfId="23738" xr:uid="{92643365-B2F8-4131-A9C6-F7FAA2943E87}"/>
    <cellStyle name="Normal 4 6 4 6 2 3" xfId="15290" xr:uid="{85B8B2CE-C0CA-4CEE-BC19-7AC4DE3801FF}"/>
    <cellStyle name="Normal 4 6 4 6 3" xfId="19520" xr:uid="{C5589027-B1AC-4948-9E00-68F2B96C89B5}"/>
    <cellStyle name="Normal 4 6 4 6 4" xfId="11072" xr:uid="{D8D7C017-D1E4-44C4-84B2-A67700C66F4A}"/>
    <cellStyle name="Normal 4 6 4 7" xfId="4775" xr:uid="{00000000-0005-0000-0000-00008E160000}"/>
    <cellStyle name="Normal 4 6 4 7 2" xfId="21673" xr:uid="{0DA8930B-AC3B-4BAB-B68C-F0EC73BE4283}"/>
    <cellStyle name="Normal 4 6 4 7 3" xfId="13225" xr:uid="{2DBF7C2B-5296-44E4-9D3B-AB098D9F391D}"/>
    <cellStyle name="Normal 4 6 4 8" xfId="17455" xr:uid="{D192CB41-1C5D-4E33-AECD-02D4BB53297C}"/>
    <cellStyle name="Normal 4 6 4 9" xfId="9007" xr:uid="{4525BC23-898F-4F5E-BA83-01F759B27C96}"/>
    <cellStyle name="Normal 4 6 5" xfId="869" xr:uid="{00000000-0005-0000-0000-00008F160000}"/>
    <cellStyle name="Normal 4 6 5 2" xfId="3104" xr:uid="{00000000-0005-0000-0000-000090160000}"/>
    <cellStyle name="Normal 4 6 5 2 2" xfId="7326" xr:uid="{00000000-0005-0000-0000-000091160000}"/>
    <cellStyle name="Normal 4 6 5 2 2 2" xfId="24224" xr:uid="{14294F0D-03E5-4D39-9ABA-0CC051145F9E}"/>
    <cellStyle name="Normal 4 6 5 2 2 3" xfId="15776" xr:uid="{B36BC927-E041-4101-93BB-D674C914F1E5}"/>
    <cellStyle name="Normal 4 6 5 2 3" xfId="20006" xr:uid="{606F1084-A5D7-443A-9D3C-18C0FB7DCAAF}"/>
    <cellStyle name="Normal 4 6 5 2 4" xfId="11558" xr:uid="{A10C5D91-3086-406C-AE22-B63645E84F10}"/>
    <cellStyle name="Normal 4 6 5 3" xfId="5181" xr:uid="{00000000-0005-0000-0000-000092160000}"/>
    <cellStyle name="Normal 4 6 5 3 2" xfId="22079" xr:uid="{F5800528-AE56-4430-A989-743D562078D7}"/>
    <cellStyle name="Normal 4 6 5 3 3" xfId="13631" xr:uid="{A8D7FD7C-C330-48DD-AABC-2460FAC509CF}"/>
    <cellStyle name="Normal 4 6 5 4" xfId="17861" xr:uid="{D8663532-5758-440B-AD81-C59A0FA60592}"/>
    <cellStyle name="Normal 4 6 5 5" xfId="9413" xr:uid="{A4A2E01F-D179-4BD1-8946-4C746BD3C4E6}"/>
    <cellStyle name="Normal 4 6 6" xfId="1287" xr:uid="{00000000-0005-0000-0000-000093160000}"/>
    <cellStyle name="Normal 4 6 6 2" xfId="3517" xr:uid="{00000000-0005-0000-0000-000094160000}"/>
    <cellStyle name="Normal 4 6 6 2 2" xfId="7739" xr:uid="{00000000-0005-0000-0000-000095160000}"/>
    <cellStyle name="Normal 4 6 6 2 2 2" xfId="24637" xr:uid="{9BF2FBCA-34F1-4CFC-97C5-774DB879772A}"/>
    <cellStyle name="Normal 4 6 6 2 2 3" xfId="16189" xr:uid="{9A794BF9-C29E-40C9-8B4D-E60AADD72CC4}"/>
    <cellStyle name="Normal 4 6 6 2 3" xfId="20419" xr:uid="{AA993737-9E84-4BBD-B4AD-92B04085E5B7}"/>
    <cellStyle name="Normal 4 6 6 2 4" xfId="11971" xr:uid="{7F8B4BD0-4A10-4BB9-985A-A657A9680D51}"/>
    <cellStyle name="Normal 4 6 6 3" xfId="5594" xr:uid="{00000000-0005-0000-0000-000096160000}"/>
    <cellStyle name="Normal 4 6 6 3 2" xfId="22492" xr:uid="{F56DA4A3-60B3-41D6-A828-568394631A5C}"/>
    <cellStyle name="Normal 4 6 6 3 3" xfId="14044" xr:uid="{A917D069-5C08-4124-B609-07435831AFD4}"/>
    <cellStyle name="Normal 4 6 6 4" xfId="18274" xr:uid="{9FCA4CE5-8744-4D22-884C-EF2E9CC18189}"/>
    <cellStyle name="Normal 4 6 6 5" xfId="9826" xr:uid="{B6DA5106-C665-4091-960A-43DC227AD1B9}"/>
    <cellStyle name="Normal 4 6 7" xfId="1700" xr:uid="{00000000-0005-0000-0000-000097160000}"/>
    <cellStyle name="Normal 4 6 7 2" xfId="3930" xr:uid="{00000000-0005-0000-0000-000098160000}"/>
    <cellStyle name="Normal 4 6 7 2 2" xfId="8152" xr:uid="{00000000-0005-0000-0000-000099160000}"/>
    <cellStyle name="Normal 4 6 7 2 2 2" xfId="25050" xr:uid="{BE1F7E39-DE08-4AC1-94A8-02BC209444D5}"/>
    <cellStyle name="Normal 4 6 7 2 2 3" xfId="16602" xr:uid="{62F04E8E-36DA-44EF-97E5-BF416C88BF02}"/>
    <cellStyle name="Normal 4 6 7 2 3" xfId="20832" xr:uid="{1FCB0F0F-6849-4B44-90A5-595FE61D1D34}"/>
    <cellStyle name="Normal 4 6 7 2 4" xfId="12384" xr:uid="{13B917FA-0622-4877-8FEA-F1EE6F28C6D3}"/>
    <cellStyle name="Normal 4 6 7 3" xfId="6007" xr:uid="{00000000-0005-0000-0000-00009A160000}"/>
    <cellStyle name="Normal 4 6 7 3 2" xfId="22905" xr:uid="{98149DD1-A283-4513-B490-4D54C6CF50A8}"/>
    <cellStyle name="Normal 4 6 7 3 3" xfId="14457" xr:uid="{051C0DE7-4CA7-4D64-B0D9-2ED07E045015}"/>
    <cellStyle name="Normal 4 6 7 4" xfId="18687" xr:uid="{85FDA996-03D8-47D6-91E4-41FE83E1B7D3}"/>
    <cellStyle name="Normal 4 6 7 5" xfId="10239" xr:uid="{53EC0285-7F03-414D-88FC-FF9A7FCCCBA1}"/>
    <cellStyle name="Normal 4 6 8" xfId="2114" xr:uid="{00000000-0005-0000-0000-00009B160000}"/>
    <cellStyle name="Normal 4 6 8 2" xfId="4343" xr:uid="{00000000-0005-0000-0000-00009C160000}"/>
    <cellStyle name="Normal 4 6 8 2 2" xfId="8565" xr:uid="{00000000-0005-0000-0000-00009D160000}"/>
    <cellStyle name="Normal 4 6 8 2 2 2" xfId="25463" xr:uid="{F961888F-1636-4B2F-B89A-0B03F38BF730}"/>
    <cellStyle name="Normal 4 6 8 2 2 3" xfId="17015" xr:uid="{3BF5EECD-640E-4522-A9C6-7281763714F6}"/>
    <cellStyle name="Normal 4 6 8 2 3" xfId="21245" xr:uid="{ED03E148-0BCE-4404-A213-14BBF813339A}"/>
    <cellStyle name="Normal 4 6 8 2 4" xfId="12797" xr:uid="{7FAEA751-6424-4F79-8CE1-8A9134214245}"/>
    <cellStyle name="Normal 4 6 8 3" xfId="6420" xr:uid="{00000000-0005-0000-0000-00009E160000}"/>
    <cellStyle name="Normal 4 6 8 3 2" xfId="23318" xr:uid="{38F405F7-03E8-45CD-A620-7B147C169283}"/>
    <cellStyle name="Normal 4 6 8 3 3" xfId="14870" xr:uid="{09C7763B-B8F5-4FEB-9615-65853DA8E330}"/>
    <cellStyle name="Normal 4 6 8 4" xfId="19100" xr:uid="{C4954811-72B7-4A8A-BD85-4F1AE4A8084F}"/>
    <cellStyle name="Normal 4 6 8 5" xfId="10652" xr:uid="{A6F8914A-E1BF-486D-A5B1-8B121E12E315}"/>
    <cellStyle name="Normal 4 6 9" xfId="2550" xr:uid="{00000000-0005-0000-0000-00009F160000}"/>
    <cellStyle name="Normal 4 6 9 2" xfId="6833" xr:uid="{00000000-0005-0000-0000-0000A0160000}"/>
    <cellStyle name="Normal 4 6 9 2 2" xfId="23731" xr:uid="{A2A366B6-988F-4531-9FE5-1158D994B87D}"/>
    <cellStyle name="Normal 4 6 9 2 3" xfId="15283" xr:uid="{93EE6272-677E-4FF8-831F-1EE12F7F61F0}"/>
    <cellStyle name="Normal 4 6 9 3" xfId="19513" xr:uid="{BE9DC1F3-DF4D-4608-A424-905A7B339EA8}"/>
    <cellStyle name="Normal 4 6 9 4" xfId="11065" xr:uid="{15BB3803-C117-403D-AC62-F9EE5CA023EE}"/>
    <cellStyle name="Normal 4 7" xfId="403" xr:uid="{00000000-0005-0000-0000-0000A1160000}"/>
    <cellStyle name="Normal 4 7 10" xfId="9008" xr:uid="{1AAF0052-482D-4B88-99ED-A98246A6C85A}"/>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2 2 2" xfId="24233" xr:uid="{E31F2697-9347-4D28-BEA4-8B1BD7C63FFC}"/>
    <cellStyle name="Normal 4 7 2 2 2 2 3" xfId="15785" xr:uid="{F8AF7DAA-A646-49A1-BEBA-3E6ED52EBB4C}"/>
    <cellStyle name="Normal 4 7 2 2 2 3" xfId="20015" xr:uid="{E66ADDD2-1790-4038-BE16-754523D64C77}"/>
    <cellStyle name="Normal 4 7 2 2 2 4" xfId="11567" xr:uid="{1C67C3AD-6F62-464B-9277-BB6B61744251}"/>
    <cellStyle name="Normal 4 7 2 2 3" xfId="5190" xr:uid="{00000000-0005-0000-0000-0000A6160000}"/>
    <cellStyle name="Normal 4 7 2 2 3 2" xfId="22088" xr:uid="{E4D06BB9-4831-435F-B96E-1BFB1BA43FB5}"/>
    <cellStyle name="Normal 4 7 2 2 3 3" xfId="13640" xr:uid="{902CB8D2-CBC2-4BF7-B88E-D59C1481F99D}"/>
    <cellStyle name="Normal 4 7 2 2 4" xfId="17870" xr:uid="{3B36D144-5045-46E1-8324-D153A58B025E}"/>
    <cellStyle name="Normal 4 7 2 2 5" xfId="9422" xr:uid="{257B6909-E7D0-49AB-8AD9-7ABA9F9F0085}"/>
    <cellStyle name="Normal 4 7 2 3" xfId="1296" xr:uid="{00000000-0005-0000-0000-0000A7160000}"/>
    <cellStyle name="Normal 4 7 2 3 2" xfId="3526" xr:uid="{00000000-0005-0000-0000-0000A8160000}"/>
    <cellStyle name="Normal 4 7 2 3 2 2" xfId="7748" xr:uid="{00000000-0005-0000-0000-0000A9160000}"/>
    <cellStyle name="Normal 4 7 2 3 2 2 2" xfId="24646" xr:uid="{F0DC497A-A089-4E50-9DDC-79B9135EEDB9}"/>
    <cellStyle name="Normal 4 7 2 3 2 2 3" xfId="16198" xr:uid="{AC5D7FDA-E52C-47CC-914E-6765BFF31812}"/>
    <cellStyle name="Normal 4 7 2 3 2 3" xfId="20428" xr:uid="{69B689D9-4D77-4217-8D84-5632CD0D8454}"/>
    <cellStyle name="Normal 4 7 2 3 2 4" xfId="11980" xr:uid="{447A69E3-4881-44C3-A689-BDB421B09115}"/>
    <cellStyle name="Normal 4 7 2 3 3" xfId="5603" xr:uid="{00000000-0005-0000-0000-0000AA160000}"/>
    <cellStyle name="Normal 4 7 2 3 3 2" xfId="22501" xr:uid="{5A6BA379-4863-4575-9414-45F4B433C396}"/>
    <cellStyle name="Normal 4 7 2 3 3 3" xfId="14053" xr:uid="{13F695DD-B4D8-4C62-ACA9-0B210D16A30B}"/>
    <cellStyle name="Normal 4 7 2 3 4" xfId="18283" xr:uid="{EC7310B8-DA37-4510-8812-5912D3A39CF6}"/>
    <cellStyle name="Normal 4 7 2 3 5" xfId="9835" xr:uid="{65196485-447A-4EB5-9AE2-2562D5C7B484}"/>
    <cellStyle name="Normal 4 7 2 4" xfId="1709" xr:uid="{00000000-0005-0000-0000-0000AB160000}"/>
    <cellStyle name="Normal 4 7 2 4 2" xfId="3939" xr:uid="{00000000-0005-0000-0000-0000AC160000}"/>
    <cellStyle name="Normal 4 7 2 4 2 2" xfId="8161" xr:uid="{00000000-0005-0000-0000-0000AD160000}"/>
    <cellStyle name="Normal 4 7 2 4 2 2 2" xfId="25059" xr:uid="{75CB9ABE-72CB-4B61-B36F-48968088DFEC}"/>
    <cellStyle name="Normal 4 7 2 4 2 2 3" xfId="16611" xr:uid="{70EF1494-3248-4705-B9A4-CBF5FE462CB4}"/>
    <cellStyle name="Normal 4 7 2 4 2 3" xfId="20841" xr:uid="{2A5F67B9-8CD8-415A-8DA6-57A8ABF112D3}"/>
    <cellStyle name="Normal 4 7 2 4 2 4" xfId="12393" xr:uid="{DE71FEA9-5312-442C-895D-70D754D6A0AD}"/>
    <cellStyle name="Normal 4 7 2 4 3" xfId="6016" xr:uid="{00000000-0005-0000-0000-0000AE160000}"/>
    <cellStyle name="Normal 4 7 2 4 3 2" xfId="22914" xr:uid="{B3292C6F-2D7E-4A29-8F37-20AE73068687}"/>
    <cellStyle name="Normal 4 7 2 4 3 3" xfId="14466" xr:uid="{C5C09489-70D2-49EE-93CE-4FC525B77DED}"/>
    <cellStyle name="Normal 4 7 2 4 4" xfId="18696" xr:uid="{8728A453-6F8A-4EB0-97F7-85FD91665BE7}"/>
    <cellStyle name="Normal 4 7 2 4 5" xfId="10248" xr:uid="{F1391021-D8DD-4B5C-815D-1278D097BEAE}"/>
    <cellStyle name="Normal 4 7 2 5" xfId="2123" xr:uid="{00000000-0005-0000-0000-0000AF160000}"/>
    <cellStyle name="Normal 4 7 2 5 2" xfId="4352" xr:uid="{00000000-0005-0000-0000-0000B0160000}"/>
    <cellStyle name="Normal 4 7 2 5 2 2" xfId="8574" xr:uid="{00000000-0005-0000-0000-0000B1160000}"/>
    <cellStyle name="Normal 4 7 2 5 2 2 2" xfId="25472" xr:uid="{85AB3D53-D92C-4F30-872A-0D08196A17BF}"/>
    <cellStyle name="Normal 4 7 2 5 2 2 3" xfId="17024" xr:uid="{FBB68AC6-0688-4904-B757-88670DE65B50}"/>
    <cellStyle name="Normal 4 7 2 5 2 3" xfId="21254" xr:uid="{8E7E67E0-3B6C-4694-80DD-F569076B352F}"/>
    <cellStyle name="Normal 4 7 2 5 2 4" xfId="12806" xr:uid="{F4B9A685-FCD6-46D7-A4BE-2DE3ED79CEB8}"/>
    <cellStyle name="Normal 4 7 2 5 3" xfId="6429" xr:uid="{00000000-0005-0000-0000-0000B2160000}"/>
    <cellStyle name="Normal 4 7 2 5 3 2" xfId="23327" xr:uid="{CE6446AC-9B70-41DE-8F18-84618DE47D08}"/>
    <cellStyle name="Normal 4 7 2 5 3 3" xfId="14879" xr:uid="{863A241D-29CF-4392-82B2-BDCC42FE53C4}"/>
    <cellStyle name="Normal 4 7 2 5 4" xfId="19109" xr:uid="{80A8C0B1-E5E2-478B-BD44-5640D7B18989}"/>
    <cellStyle name="Normal 4 7 2 5 5" xfId="10661" xr:uid="{7B2362C4-68A5-4D3B-A695-1AC13C167D17}"/>
    <cellStyle name="Normal 4 7 2 6" xfId="2559" xr:uid="{00000000-0005-0000-0000-0000B3160000}"/>
    <cellStyle name="Normal 4 7 2 6 2" xfId="6842" xr:uid="{00000000-0005-0000-0000-0000B4160000}"/>
    <cellStyle name="Normal 4 7 2 6 2 2" xfId="23740" xr:uid="{3EDB50F0-C5B9-450E-8229-FF75C118191A}"/>
    <cellStyle name="Normal 4 7 2 6 2 3" xfId="15292" xr:uid="{6F8264A2-1867-49F2-BB5D-AD56CCA723AA}"/>
    <cellStyle name="Normal 4 7 2 6 3" xfId="19522" xr:uid="{99362E82-4497-4D0B-AE0B-B8035947C5E0}"/>
    <cellStyle name="Normal 4 7 2 6 4" xfId="11074" xr:uid="{BB5CBC1E-F898-4D17-9C94-DF35E1E61871}"/>
    <cellStyle name="Normal 4 7 2 7" xfId="4777" xr:uid="{00000000-0005-0000-0000-0000B5160000}"/>
    <cellStyle name="Normal 4 7 2 7 2" xfId="21675" xr:uid="{963B1D5F-91FD-4A1B-8ED6-A98CE9F9BA24}"/>
    <cellStyle name="Normal 4 7 2 7 3" xfId="13227" xr:uid="{D415C18E-EC87-4F19-AA55-E2140B35080A}"/>
    <cellStyle name="Normal 4 7 2 8" xfId="17457" xr:uid="{F789AABA-4A5B-4DB1-97F0-70C1AEAF5855}"/>
    <cellStyle name="Normal 4 7 2 9" xfId="9009" xr:uid="{4F8AAF07-DEA6-46F5-AD86-5E4140CB14F6}"/>
    <cellStyle name="Normal 4 7 3" xfId="877" xr:uid="{00000000-0005-0000-0000-0000B6160000}"/>
    <cellStyle name="Normal 4 7 3 2" xfId="3112" xr:uid="{00000000-0005-0000-0000-0000B7160000}"/>
    <cellStyle name="Normal 4 7 3 2 2" xfId="7334" xr:uid="{00000000-0005-0000-0000-0000B8160000}"/>
    <cellStyle name="Normal 4 7 3 2 2 2" xfId="24232" xr:uid="{DCF5E5BC-E135-4711-9EEB-1B744ECC432C}"/>
    <cellStyle name="Normal 4 7 3 2 2 3" xfId="15784" xr:uid="{8431535F-A85C-48C5-A25D-0D7A716EB21A}"/>
    <cellStyle name="Normal 4 7 3 2 3" xfId="20014" xr:uid="{44963304-A085-4964-B8B8-57BE3AD40730}"/>
    <cellStyle name="Normal 4 7 3 2 4" xfId="11566" xr:uid="{7758A500-BD01-4D72-B6BF-58B2A41FEAA0}"/>
    <cellStyle name="Normal 4 7 3 3" xfId="5189" xr:uid="{00000000-0005-0000-0000-0000B9160000}"/>
    <cellStyle name="Normal 4 7 3 3 2" xfId="22087" xr:uid="{59E3A606-1A9E-4CA7-B29F-7D727C79B3D9}"/>
    <cellStyle name="Normal 4 7 3 3 3" xfId="13639" xr:uid="{27DE3223-E525-4913-8C1A-CEC9D2C82245}"/>
    <cellStyle name="Normal 4 7 3 4" xfId="17869" xr:uid="{667D75CC-12A4-4E62-9548-AA414A8F2F09}"/>
    <cellStyle name="Normal 4 7 3 5" xfId="9421" xr:uid="{CD07E924-5CA9-4687-9798-286AA730273D}"/>
    <cellStyle name="Normal 4 7 4" xfId="1295" xr:uid="{00000000-0005-0000-0000-0000BA160000}"/>
    <cellStyle name="Normal 4 7 4 2" xfId="3525" xr:uid="{00000000-0005-0000-0000-0000BB160000}"/>
    <cellStyle name="Normal 4 7 4 2 2" xfId="7747" xr:uid="{00000000-0005-0000-0000-0000BC160000}"/>
    <cellStyle name="Normal 4 7 4 2 2 2" xfId="24645" xr:uid="{D73450F4-6110-4AD0-B55D-EB88DED5E304}"/>
    <cellStyle name="Normal 4 7 4 2 2 3" xfId="16197" xr:uid="{F0FE06E1-BDC2-4CB2-865E-E1B92EE87E22}"/>
    <cellStyle name="Normal 4 7 4 2 3" xfId="20427" xr:uid="{034A2177-7E37-4321-A003-B6E2A76070AB}"/>
    <cellStyle name="Normal 4 7 4 2 4" xfId="11979" xr:uid="{44482FF3-370F-48D7-B825-6D0F7D0EFE21}"/>
    <cellStyle name="Normal 4 7 4 3" xfId="5602" xr:uid="{00000000-0005-0000-0000-0000BD160000}"/>
    <cellStyle name="Normal 4 7 4 3 2" xfId="22500" xr:uid="{CB783396-81CA-4C54-9AED-26D966EC1BEB}"/>
    <cellStyle name="Normal 4 7 4 3 3" xfId="14052" xr:uid="{7D58167D-E8CF-4BB5-A2B0-022C9E4CA157}"/>
    <cellStyle name="Normal 4 7 4 4" xfId="18282" xr:uid="{79C866C1-BCA6-4837-86B0-2B87CC4FDCE0}"/>
    <cellStyle name="Normal 4 7 4 5" xfId="9834" xr:uid="{50EDA62B-6D01-4CC1-BA20-A2C8282D846D}"/>
    <cellStyle name="Normal 4 7 5" xfId="1708" xr:uid="{00000000-0005-0000-0000-0000BE160000}"/>
    <cellStyle name="Normal 4 7 5 2" xfId="3938" xr:uid="{00000000-0005-0000-0000-0000BF160000}"/>
    <cellStyle name="Normal 4 7 5 2 2" xfId="8160" xr:uid="{00000000-0005-0000-0000-0000C0160000}"/>
    <cellStyle name="Normal 4 7 5 2 2 2" xfId="25058" xr:uid="{743CF6ED-31BC-4895-A7C3-B24FAA19E51C}"/>
    <cellStyle name="Normal 4 7 5 2 2 3" xfId="16610" xr:uid="{B3A97283-4EB8-4960-B9C6-14A14976DD95}"/>
    <cellStyle name="Normal 4 7 5 2 3" xfId="20840" xr:uid="{EBB5DFE3-E654-406D-99B2-508042440A1D}"/>
    <cellStyle name="Normal 4 7 5 2 4" xfId="12392" xr:uid="{A23A4E1C-0837-4483-9474-B76896DFA0A4}"/>
    <cellStyle name="Normal 4 7 5 3" xfId="6015" xr:uid="{00000000-0005-0000-0000-0000C1160000}"/>
    <cellStyle name="Normal 4 7 5 3 2" xfId="22913" xr:uid="{EA9C31BF-30BB-43A8-BCED-84E23EEE30F1}"/>
    <cellStyle name="Normal 4 7 5 3 3" xfId="14465" xr:uid="{2A897C8C-7F04-49CD-96B1-FC05FD5E74A2}"/>
    <cellStyle name="Normal 4 7 5 4" xfId="18695" xr:uid="{4B96172E-AA9D-4A2D-B682-3842A6F09840}"/>
    <cellStyle name="Normal 4 7 5 5" xfId="10247" xr:uid="{F466947C-25AD-4FEC-926A-1A9A76065CB8}"/>
    <cellStyle name="Normal 4 7 6" xfId="2122" xr:uid="{00000000-0005-0000-0000-0000C2160000}"/>
    <cellStyle name="Normal 4 7 6 2" xfId="4351" xr:uid="{00000000-0005-0000-0000-0000C3160000}"/>
    <cellStyle name="Normal 4 7 6 2 2" xfId="8573" xr:uid="{00000000-0005-0000-0000-0000C4160000}"/>
    <cellStyle name="Normal 4 7 6 2 2 2" xfId="25471" xr:uid="{F5420B14-4745-4C59-85EF-61B7E6D5F2F2}"/>
    <cellStyle name="Normal 4 7 6 2 2 3" xfId="17023" xr:uid="{61B7E862-D838-4DF3-B33F-813262C5C49B}"/>
    <cellStyle name="Normal 4 7 6 2 3" xfId="21253" xr:uid="{A9C14715-899E-4546-8E69-9887B17A04D7}"/>
    <cellStyle name="Normal 4 7 6 2 4" xfId="12805" xr:uid="{CBC45AF7-C850-486E-ABDD-C3C617F83D53}"/>
    <cellStyle name="Normal 4 7 6 3" xfId="6428" xr:uid="{00000000-0005-0000-0000-0000C5160000}"/>
    <cellStyle name="Normal 4 7 6 3 2" xfId="23326" xr:uid="{5C1266E2-F6FB-4217-A371-4CD092508C9A}"/>
    <cellStyle name="Normal 4 7 6 3 3" xfId="14878" xr:uid="{A195F33D-0796-45DF-8315-1295FDAE584C}"/>
    <cellStyle name="Normal 4 7 6 4" xfId="19108" xr:uid="{40C36A94-D712-459E-9A1A-62B6853F9301}"/>
    <cellStyle name="Normal 4 7 6 5" xfId="10660" xr:uid="{CCB38C84-D2C2-4196-984E-1B0E354E9A87}"/>
    <cellStyle name="Normal 4 7 7" xfId="2558" xr:uid="{00000000-0005-0000-0000-0000C6160000}"/>
    <cellStyle name="Normal 4 7 7 2" xfId="6841" xr:uid="{00000000-0005-0000-0000-0000C7160000}"/>
    <cellStyle name="Normal 4 7 7 2 2" xfId="23739" xr:uid="{1563B04B-03DE-4793-B822-BB5B9D9B0A08}"/>
    <cellStyle name="Normal 4 7 7 2 3" xfId="15291" xr:uid="{AC958466-806E-4189-B0CF-AD49CEEAADA3}"/>
    <cellStyle name="Normal 4 7 7 3" xfId="19521" xr:uid="{FE5A143C-F84C-453A-BCC5-1306C4620D23}"/>
    <cellStyle name="Normal 4 7 7 4" xfId="11073" xr:uid="{354C7C00-9AEC-441D-A9BC-EB324F9E5B29}"/>
    <cellStyle name="Normal 4 7 8" xfId="4776" xr:uid="{00000000-0005-0000-0000-0000C8160000}"/>
    <cellStyle name="Normal 4 7 8 2" xfId="21674" xr:uid="{F9875F6A-7342-4BF7-B344-21F785DB7B49}"/>
    <cellStyle name="Normal 4 7 8 3" xfId="13226" xr:uid="{26ABAD35-0AA9-495A-BDAB-3E9C0F1D19F1}"/>
    <cellStyle name="Normal 4 7 9" xfId="17456" xr:uid="{7248E18D-7859-445C-B751-EEAA250715F4}"/>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2 2 2" xfId="24234" xr:uid="{545E3744-8228-4730-93C7-BCD936EF8702}"/>
    <cellStyle name="Normal 4 8 2 2 2 3" xfId="15786" xr:uid="{0AA7E2FB-17CE-4EF5-B6A1-D4F4B8061AFA}"/>
    <cellStyle name="Normal 4 8 2 2 3" xfId="20016" xr:uid="{FB322440-133C-4F1E-A78C-3B98E76A1D42}"/>
    <cellStyle name="Normal 4 8 2 2 4" xfId="11568" xr:uid="{09945B00-322C-4AC0-807E-1E637F748D90}"/>
    <cellStyle name="Normal 4 8 2 3" xfId="5191" xr:uid="{00000000-0005-0000-0000-0000CD160000}"/>
    <cellStyle name="Normal 4 8 2 3 2" xfId="22089" xr:uid="{54A4C918-FDDE-4ABD-8149-FC9660CD49A0}"/>
    <cellStyle name="Normal 4 8 2 3 3" xfId="13641" xr:uid="{B209B733-E836-41A8-A98F-A8FC3CAE6F0F}"/>
    <cellStyle name="Normal 4 8 2 4" xfId="17871" xr:uid="{1F7AC581-B623-410B-B842-4B854D958DEA}"/>
    <cellStyle name="Normal 4 8 2 5" xfId="9423" xr:uid="{70CE2DE2-5FA8-49B1-88A0-E2F033AAA29F}"/>
    <cellStyle name="Normal 4 8 3" xfId="1297" xr:uid="{00000000-0005-0000-0000-0000CE160000}"/>
    <cellStyle name="Normal 4 8 3 2" xfId="3527" xr:uid="{00000000-0005-0000-0000-0000CF160000}"/>
    <cellStyle name="Normal 4 8 3 2 2" xfId="7749" xr:uid="{00000000-0005-0000-0000-0000D0160000}"/>
    <cellStyle name="Normal 4 8 3 2 2 2" xfId="24647" xr:uid="{B62FEC65-7B5C-4BFD-BE77-AEDFD608474B}"/>
    <cellStyle name="Normal 4 8 3 2 2 3" xfId="16199" xr:uid="{27A8E211-A446-4EC2-A256-CC4DC229AA14}"/>
    <cellStyle name="Normal 4 8 3 2 3" xfId="20429" xr:uid="{BD1DF303-B2E2-4E5A-8144-ABA2B46A08D5}"/>
    <cellStyle name="Normal 4 8 3 2 4" xfId="11981" xr:uid="{E7D09258-CCF5-46C0-8A16-56BC28B894A5}"/>
    <cellStyle name="Normal 4 8 3 3" xfId="5604" xr:uid="{00000000-0005-0000-0000-0000D1160000}"/>
    <cellStyle name="Normal 4 8 3 3 2" xfId="22502" xr:uid="{3C94BEC1-9AF0-4201-B32E-46B7DD32BEBF}"/>
    <cellStyle name="Normal 4 8 3 3 3" xfId="14054" xr:uid="{9FAEEBB1-B4C3-4058-A8BF-1305904619D7}"/>
    <cellStyle name="Normal 4 8 3 4" xfId="18284" xr:uid="{A8861D8A-3A0C-4174-A686-7D58CA1B66D0}"/>
    <cellStyle name="Normal 4 8 3 5" xfId="9836" xr:uid="{1DE10761-F5FD-4799-ADA6-ADFB22E48B30}"/>
    <cellStyle name="Normal 4 8 4" xfId="1710" xr:uid="{00000000-0005-0000-0000-0000D2160000}"/>
    <cellStyle name="Normal 4 8 4 2" xfId="3940" xr:uid="{00000000-0005-0000-0000-0000D3160000}"/>
    <cellStyle name="Normal 4 8 4 2 2" xfId="8162" xr:uid="{00000000-0005-0000-0000-0000D4160000}"/>
    <cellStyle name="Normal 4 8 4 2 2 2" xfId="25060" xr:uid="{68000B7B-9374-47B1-953E-6447846EEADE}"/>
    <cellStyle name="Normal 4 8 4 2 2 3" xfId="16612" xr:uid="{17796903-C024-461B-B6AD-7A80901E4C58}"/>
    <cellStyle name="Normal 4 8 4 2 3" xfId="20842" xr:uid="{89A95152-CF78-4B27-8C1B-18C86C39088A}"/>
    <cellStyle name="Normal 4 8 4 2 4" xfId="12394" xr:uid="{9158C1F0-A6E1-47D2-8DD8-A07FF08E4E7B}"/>
    <cellStyle name="Normal 4 8 4 3" xfId="6017" xr:uid="{00000000-0005-0000-0000-0000D5160000}"/>
    <cellStyle name="Normal 4 8 4 3 2" xfId="22915" xr:uid="{9F601BD5-86FA-41E6-9E6B-4D06C97D356F}"/>
    <cellStyle name="Normal 4 8 4 3 3" xfId="14467" xr:uid="{D3D5AEB2-947B-42E4-9051-2956313613E0}"/>
    <cellStyle name="Normal 4 8 4 4" xfId="18697" xr:uid="{6D0F4633-A4F8-48E5-8ED6-DBADF526B9D1}"/>
    <cellStyle name="Normal 4 8 4 5" xfId="10249" xr:uid="{15F5DA80-5F82-441B-905A-E2DD0830D6D5}"/>
    <cellStyle name="Normal 4 8 5" xfId="2124" xr:uid="{00000000-0005-0000-0000-0000D6160000}"/>
    <cellStyle name="Normal 4 8 5 2" xfId="4353" xr:uid="{00000000-0005-0000-0000-0000D7160000}"/>
    <cellStyle name="Normal 4 8 5 2 2" xfId="8575" xr:uid="{00000000-0005-0000-0000-0000D8160000}"/>
    <cellStyle name="Normal 4 8 5 2 2 2" xfId="25473" xr:uid="{DBE2BEC6-D662-4D95-9F9D-F60A681C1FE5}"/>
    <cellStyle name="Normal 4 8 5 2 2 3" xfId="17025" xr:uid="{56980C50-6167-4EC4-A419-90D823B1071F}"/>
    <cellStyle name="Normal 4 8 5 2 3" xfId="21255" xr:uid="{9837C993-316F-4648-B07F-D48CA928F485}"/>
    <cellStyle name="Normal 4 8 5 2 4" xfId="12807" xr:uid="{46E8C2CC-18AB-4DE5-A2C5-C05BC6541D39}"/>
    <cellStyle name="Normal 4 8 5 3" xfId="6430" xr:uid="{00000000-0005-0000-0000-0000D9160000}"/>
    <cellStyle name="Normal 4 8 5 3 2" xfId="23328" xr:uid="{38271873-C7D3-42EC-83BB-E2C073109C6D}"/>
    <cellStyle name="Normal 4 8 5 3 3" xfId="14880" xr:uid="{6E69A09A-A527-4F63-8BEA-A2A3A63A5738}"/>
    <cellStyle name="Normal 4 8 5 4" xfId="19110" xr:uid="{B4B9D34C-489D-4D73-9A3D-627D5085EBE9}"/>
    <cellStyle name="Normal 4 8 5 5" xfId="10662" xr:uid="{383D4272-6AE8-48C1-ABDA-E7B295026453}"/>
    <cellStyle name="Normal 4 8 6" xfId="2560" xr:uid="{00000000-0005-0000-0000-0000DA160000}"/>
    <cellStyle name="Normal 4 8 6 2" xfId="6843" xr:uid="{00000000-0005-0000-0000-0000DB160000}"/>
    <cellStyle name="Normal 4 8 6 2 2" xfId="23741" xr:uid="{DE0B0F3C-E5E3-4252-8933-C8A50EEAE7B7}"/>
    <cellStyle name="Normal 4 8 6 2 3" xfId="15293" xr:uid="{236E0556-3572-470C-91BB-45F1B5C459DB}"/>
    <cellStyle name="Normal 4 8 6 3" xfId="19523" xr:uid="{73B998E7-F28F-4340-B8AE-F54AC7DD1393}"/>
    <cellStyle name="Normal 4 8 6 4" xfId="11075" xr:uid="{1E345569-0E15-40BB-AE9A-F637521E1E10}"/>
    <cellStyle name="Normal 4 8 7" xfId="4778" xr:uid="{00000000-0005-0000-0000-0000DC160000}"/>
    <cellStyle name="Normal 4 8 7 2" xfId="21676" xr:uid="{64426021-A1C9-4833-8646-54506100DB0B}"/>
    <cellStyle name="Normal 4 8 7 3" xfId="13228" xr:uid="{C6CF1211-BF7F-42A6-933C-67C0BDF88D09}"/>
    <cellStyle name="Normal 4 8 8" xfId="17458" xr:uid="{FDD62929-59F3-49F3-9F36-0EBF7A302D6A}"/>
    <cellStyle name="Normal 4 8 9" xfId="9010" xr:uid="{C6A90789-1ED0-42DD-91BA-39AB959C61A5}"/>
    <cellStyle name="Normal 4 9" xfId="4715" xr:uid="{00000000-0005-0000-0000-0000DD160000}"/>
    <cellStyle name="Normal 4 9 2" xfId="21613" xr:uid="{0C59FF2D-48FD-45F3-8C8F-97CE47BCA170}"/>
    <cellStyle name="Normal 4 9 3" xfId="13165" xr:uid="{85CF92DC-B7FC-4055-978A-9CB9B0399344}"/>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25061" xr:uid="{EF4720AF-7D0E-4472-8D01-54AE7F7124C8}"/>
    <cellStyle name="Normal 5 10 2 2 3" xfId="16613" xr:uid="{EA5BF510-6CE7-4747-932E-1520EAB82F42}"/>
    <cellStyle name="Normal 5 10 2 3" xfId="20843" xr:uid="{6D88020C-C7E3-4DE4-B377-194B8687D252}"/>
    <cellStyle name="Normal 5 10 2 4" xfId="12395" xr:uid="{BA78C936-BF95-43AB-A279-FB67016F6B4B}"/>
    <cellStyle name="Normal 5 10 3" xfId="6018" xr:uid="{00000000-0005-0000-0000-0000E2160000}"/>
    <cellStyle name="Normal 5 10 3 2" xfId="22916" xr:uid="{E9A299B0-F568-49CA-AD99-B595989749BA}"/>
    <cellStyle name="Normal 5 10 3 3" xfId="14468" xr:uid="{EAF45258-E239-4752-934C-0D23BAF014DC}"/>
    <cellStyle name="Normal 5 10 4" xfId="18698" xr:uid="{EA96BB0B-DCF0-4027-B64C-49164D5816C6}"/>
    <cellStyle name="Normal 5 10 5" xfId="10250" xr:uid="{BEFA5FBC-33FE-4719-A283-72A4278B1094}"/>
    <cellStyle name="Normal 5 11" xfId="2125" xr:uid="{00000000-0005-0000-0000-0000E3160000}"/>
    <cellStyle name="Normal 5 11 2" xfId="4354" xr:uid="{00000000-0005-0000-0000-0000E4160000}"/>
    <cellStyle name="Normal 5 11 2 2" xfId="8576" xr:uid="{00000000-0005-0000-0000-0000E5160000}"/>
    <cellStyle name="Normal 5 11 2 2 2" xfId="25474" xr:uid="{7F56D3CA-ABE2-47B4-9181-A15D92ACF3A4}"/>
    <cellStyle name="Normal 5 11 2 2 3" xfId="17026" xr:uid="{C0AEEFBA-C9D7-4DD3-9762-7780BF00C531}"/>
    <cellStyle name="Normal 5 11 2 3" xfId="21256" xr:uid="{E34F8B54-5025-4B04-9F40-9391BD6CCCB6}"/>
    <cellStyle name="Normal 5 11 2 4" xfId="12808" xr:uid="{768B18B0-C5EE-4335-80A5-C9F2F7808221}"/>
    <cellStyle name="Normal 5 11 3" xfId="6431" xr:uid="{00000000-0005-0000-0000-0000E6160000}"/>
    <cellStyle name="Normal 5 11 3 2" xfId="23329" xr:uid="{D909BA73-31EB-4178-BAC9-D061911DBE2B}"/>
    <cellStyle name="Normal 5 11 3 3" xfId="14881" xr:uid="{2CC3AF5D-B53C-4D78-9488-1B9A844B02F5}"/>
    <cellStyle name="Normal 5 11 4" xfId="19111" xr:uid="{2280D527-A405-4A79-B879-6CE195A1637A}"/>
    <cellStyle name="Normal 5 11 5" xfId="10663" xr:uid="{ABDFD9F1-830D-4BDD-BF50-CD9D3419931A}"/>
    <cellStyle name="Normal 5 12" xfId="2561" xr:uid="{00000000-0005-0000-0000-0000E7160000}"/>
    <cellStyle name="Normal 5 12 2" xfId="6844" xr:uid="{00000000-0005-0000-0000-0000E8160000}"/>
    <cellStyle name="Normal 5 12 2 2" xfId="23742" xr:uid="{A3AF62F6-2432-4087-8989-D9E90FD7348E}"/>
    <cellStyle name="Normal 5 12 2 3" xfId="15294" xr:uid="{9797CB20-1644-4AA7-8852-87D201A8D038}"/>
    <cellStyle name="Normal 5 12 3" xfId="19524" xr:uid="{27499779-F941-4204-BD60-CDB3A31E586C}"/>
    <cellStyle name="Normal 5 12 4" xfId="11076" xr:uid="{66182466-C6AD-4DDB-B6B6-F1B9BEB770C4}"/>
    <cellStyle name="Normal 5 13" xfId="4779" xr:uid="{00000000-0005-0000-0000-0000E9160000}"/>
    <cellStyle name="Normal 5 13 2" xfId="21677" xr:uid="{E20E4430-6A9F-4A3B-96D2-FD6A88741E1F}"/>
    <cellStyle name="Normal 5 13 3" xfId="13229" xr:uid="{E05B96FD-8D97-4F26-BB8B-3FBBAC3C2B76}"/>
    <cellStyle name="Normal 5 14" xfId="17459" xr:uid="{130C1355-7FAE-46BD-B75F-0295EE38EA6C}"/>
    <cellStyle name="Normal 5 15" xfId="9011" xr:uid="{0FE2C609-1CB6-4FA1-BB28-71C72E41DD3A}"/>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25475" xr:uid="{1596185B-1FC2-4EBB-87F5-4958709356D1}"/>
    <cellStyle name="Normal 5 2 10 2 2 3" xfId="17027" xr:uid="{B287D440-9FC0-451B-AE33-8244781046F7}"/>
    <cellStyle name="Normal 5 2 10 2 3" xfId="21257" xr:uid="{3E8E7A9D-3761-4B75-8330-BC1EF067BA37}"/>
    <cellStyle name="Normal 5 2 10 2 4" xfId="12809" xr:uid="{B91C867D-9C43-4832-91E4-33EA57560AAE}"/>
    <cellStyle name="Normal 5 2 10 3" xfId="6432" xr:uid="{00000000-0005-0000-0000-0000EE160000}"/>
    <cellStyle name="Normal 5 2 10 3 2" xfId="23330" xr:uid="{088943BF-18AB-4062-ABB9-832068DCBF29}"/>
    <cellStyle name="Normal 5 2 10 3 3" xfId="14882" xr:uid="{6FDC9B83-4441-4F3A-A2EE-B7404B9F5CE8}"/>
    <cellStyle name="Normal 5 2 10 4" xfId="19112" xr:uid="{3B921909-5566-4AD7-828F-E45B3D185A9C}"/>
    <cellStyle name="Normal 5 2 10 5" xfId="10664" xr:uid="{6116AA9B-E90D-47FA-8A09-CACD128A844D}"/>
    <cellStyle name="Normal 5 2 11" xfId="2562" xr:uid="{00000000-0005-0000-0000-0000EF160000}"/>
    <cellStyle name="Normal 5 2 11 2" xfId="6845" xr:uid="{00000000-0005-0000-0000-0000F0160000}"/>
    <cellStyle name="Normal 5 2 11 2 2" xfId="23743" xr:uid="{82730669-04A5-409E-91FF-9519CFC28146}"/>
    <cellStyle name="Normal 5 2 11 2 3" xfId="15295" xr:uid="{0277FA19-EE28-4E31-BC75-F544EBA60C7A}"/>
    <cellStyle name="Normal 5 2 11 3" xfId="19525" xr:uid="{6D9F933B-44FF-427E-BAF7-0FB5ADCAD148}"/>
    <cellStyle name="Normal 5 2 11 4" xfId="11077" xr:uid="{70EFCAAD-6028-47F3-991B-A9D064AF5722}"/>
    <cellStyle name="Normal 5 2 12" xfId="4780" xr:uid="{00000000-0005-0000-0000-0000F1160000}"/>
    <cellStyle name="Normal 5 2 12 2" xfId="21678" xr:uid="{CD316A36-2170-4E10-9120-FD048C834412}"/>
    <cellStyle name="Normal 5 2 12 3" xfId="13230" xr:uid="{D2FF7120-072E-441C-A8EB-10A090F00AE6}"/>
    <cellStyle name="Normal 5 2 13" xfId="17460" xr:uid="{0DA023EA-1D13-4738-A60F-BD0F91A056E3}"/>
    <cellStyle name="Normal 5 2 14" xfId="9012" xr:uid="{56AE6A37-8DCB-49CE-98A3-232367C66FCE}"/>
    <cellStyle name="Normal 5 2 2" xfId="408" xr:uid="{00000000-0005-0000-0000-0000F2160000}"/>
    <cellStyle name="Normal 5 2 2 10" xfId="2563" xr:uid="{00000000-0005-0000-0000-0000F3160000}"/>
    <cellStyle name="Normal 5 2 2 10 2" xfId="6846" xr:uid="{00000000-0005-0000-0000-0000F4160000}"/>
    <cellStyle name="Normal 5 2 2 10 2 2" xfId="23744" xr:uid="{078A9061-07D2-4A5D-8623-1450FE9300C1}"/>
    <cellStyle name="Normal 5 2 2 10 2 3" xfId="15296" xr:uid="{A6E6ADF7-C9C1-4509-9969-4D8507CA475B}"/>
    <cellStyle name="Normal 5 2 2 10 3" xfId="19526" xr:uid="{793F06D4-89D4-4989-8BD0-6B49767D1B7F}"/>
    <cellStyle name="Normal 5 2 2 10 4" xfId="11078" xr:uid="{648EB1A6-EA6C-42DD-B1C3-002E3FEAA29B}"/>
    <cellStyle name="Normal 5 2 2 11" xfId="4781" xr:uid="{00000000-0005-0000-0000-0000F5160000}"/>
    <cellStyle name="Normal 5 2 2 11 2" xfId="21679" xr:uid="{DE5ED4A1-1EEF-4A09-A067-16213D71C0DC}"/>
    <cellStyle name="Normal 5 2 2 11 3" xfId="13231" xr:uid="{BD0B09E6-2D2A-4543-913A-167C0EE540B9}"/>
    <cellStyle name="Normal 5 2 2 12" xfId="17461" xr:uid="{A6B12C93-53B1-45A2-BB09-309895A6C8A7}"/>
    <cellStyle name="Normal 5 2 2 13" xfId="9013" xr:uid="{A6E3EE1D-CD2C-4465-85BF-8D89BA0C2EDB}"/>
    <cellStyle name="Normal 5 2 2 2" xfId="409" xr:uid="{00000000-0005-0000-0000-0000F6160000}"/>
    <cellStyle name="Normal 5 2 2 2 10" xfId="4782" xr:uid="{00000000-0005-0000-0000-0000F7160000}"/>
    <cellStyle name="Normal 5 2 2 2 10 2" xfId="21680" xr:uid="{E8D89174-672A-4E6D-B26D-103BC8C9A896}"/>
    <cellStyle name="Normal 5 2 2 2 10 3" xfId="13232" xr:uid="{BDCC3191-FE93-498C-9B75-4571C258DB37}"/>
    <cellStyle name="Normal 5 2 2 2 11" xfId="17462" xr:uid="{472233B9-445C-458E-A4E3-E43154F1D8A0}"/>
    <cellStyle name="Normal 5 2 2 2 12" xfId="9014" xr:uid="{2461C21C-E070-43F0-96BD-408790477740}"/>
    <cellStyle name="Normal 5 2 2 2 2" xfId="410" xr:uid="{00000000-0005-0000-0000-0000F8160000}"/>
    <cellStyle name="Normal 5 2 2 2 2 10" xfId="17463" xr:uid="{1E8CBCD5-BBFF-438D-9C6A-51D879F8B6E5}"/>
    <cellStyle name="Normal 5 2 2 2 2 11" xfId="9015" xr:uid="{4D58C362-F8EF-4C1A-A57F-B8A9AB8A2B9F}"/>
    <cellStyle name="Normal 5 2 2 2 2 2" xfId="411" xr:uid="{00000000-0005-0000-0000-0000F9160000}"/>
    <cellStyle name="Normal 5 2 2 2 2 2 10" xfId="9016" xr:uid="{FBFE9D54-F53F-405D-A889-73CA057167D4}"/>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24241" xr:uid="{9BF06A89-BBEF-46E5-862D-39DEC0E8236D}"/>
    <cellStyle name="Normal 5 2 2 2 2 2 2 2 2 2 3" xfId="15793" xr:uid="{28DE9836-AB5D-4093-9A8B-3927D7E0A419}"/>
    <cellStyle name="Normal 5 2 2 2 2 2 2 2 2 3" xfId="20023" xr:uid="{F05441E5-2B9F-4CBA-B34D-EA3A396787E9}"/>
    <cellStyle name="Normal 5 2 2 2 2 2 2 2 2 4" xfId="11575" xr:uid="{E87B2348-4F6C-4255-AE81-0658B8E3AB03}"/>
    <cellStyle name="Normal 5 2 2 2 2 2 2 2 3" xfId="5198" xr:uid="{00000000-0005-0000-0000-0000FE160000}"/>
    <cellStyle name="Normal 5 2 2 2 2 2 2 2 3 2" xfId="22096" xr:uid="{EA10013B-85BD-4FCE-95E5-1F58584C13D6}"/>
    <cellStyle name="Normal 5 2 2 2 2 2 2 2 3 3" xfId="13648" xr:uid="{879A5E92-1F83-44DB-8D9F-85D3807F61EA}"/>
    <cellStyle name="Normal 5 2 2 2 2 2 2 2 4" xfId="17878" xr:uid="{F2943855-01F6-4BE0-A9EF-067841BDAC50}"/>
    <cellStyle name="Normal 5 2 2 2 2 2 2 2 5" xfId="9430" xr:uid="{5FA4CB95-8588-42BA-A492-E87B85239B91}"/>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24654" xr:uid="{32985D77-63CD-4D68-9171-8AC037A7984A}"/>
    <cellStyle name="Normal 5 2 2 2 2 2 2 3 2 2 3" xfId="16206" xr:uid="{36281842-B1C2-45AE-B1A9-7C76489EF2D1}"/>
    <cellStyle name="Normal 5 2 2 2 2 2 2 3 2 3" xfId="20436" xr:uid="{0B57CA07-3CBF-4F25-B014-6D70FE26E470}"/>
    <cellStyle name="Normal 5 2 2 2 2 2 2 3 2 4" xfId="11988" xr:uid="{09BC4815-D961-46E3-894B-2F1FAECBBA96}"/>
    <cellStyle name="Normal 5 2 2 2 2 2 2 3 3" xfId="5611" xr:uid="{00000000-0005-0000-0000-000002170000}"/>
    <cellStyle name="Normal 5 2 2 2 2 2 2 3 3 2" xfId="22509" xr:uid="{B7D1D574-FCA8-412D-A1AC-A114E26BB116}"/>
    <cellStyle name="Normal 5 2 2 2 2 2 2 3 3 3" xfId="14061" xr:uid="{E68C241A-0F3D-46BD-A021-59304719329C}"/>
    <cellStyle name="Normal 5 2 2 2 2 2 2 3 4" xfId="18291" xr:uid="{F3B0D42B-5403-4585-B521-58BEEB63B09E}"/>
    <cellStyle name="Normal 5 2 2 2 2 2 2 3 5" xfId="9843" xr:uid="{EC5A1372-9FCB-455E-835F-B5A09A629701}"/>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25067" xr:uid="{9C63663B-062E-4F01-8AB9-B6C103C8FDB7}"/>
    <cellStyle name="Normal 5 2 2 2 2 2 2 4 2 2 3" xfId="16619" xr:uid="{F543F1D0-3239-4A28-8ACB-5645D7AAC704}"/>
    <cellStyle name="Normal 5 2 2 2 2 2 2 4 2 3" xfId="20849" xr:uid="{E303FA8C-F7FD-41CC-BBF5-0351FD048758}"/>
    <cellStyle name="Normal 5 2 2 2 2 2 2 4 2 4" xfId="12401" xr:uid="{06889F77-BF01-44DD-AF2A-62E165AC65F9}"/>
    <cellStyle name="Normal 5 2 2 2 2 2 2 4 3" xfId="6024" xr:uid="{00000000-0005-0000-0000-000006170000}"/>
    <cellStyle name="Normal 5 2 2 2 2 2 2 4 3 2" xfId="22922" xr:uid="{68AC7B4F-2C08-4FAE-BC06-5574C75C32B0}"/>
    <cellStyle name="Normal 5 2 2 2 2 2 2 4 3 3" xfId="14474" xr:uid="{59785E97-52A9-4B5D-ACC1-7D5D42E058B9}"/>
    <cellStyle name="Normal 5 2 2 2 2 2 2 4 4" xfId="18704" xr:uid="{D3B98ECD-4F2B-43EF-B3F9-F82DB5256918}"/>
    <cellStyle name="Normal 5 2 2 2 2 2 2 4 5" xfId="10256" xr:uid="{61EE3568-D7B4-4E81-B2BD-CEA633741019}"/>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25480" xr:uid="{390FC103-36D0-47F7-BE36-3A2854574F79}"/>
    <cellStyle name="Normal 5 2 2 2 2 2 2 5 2 2 3" xfId="17032" xr:uid="{33972304-4E66-4841-A0BE-823AD0FA4255}"/>
    <cellStyle name="Normal 5 2 2 2 2 2 2 5 2 3" xfId="21262" xr:uid="{9568D613-78BF-4882-89A0-8CBDE7949772}"/>
    <cellStyle name="Normal 5 2 2 2 2 2 2 5 2 4" xfId="12814" xr:uid="{684BAB87-E962-4593-9EEA-956DD55E2D07}"/>
    <cellStyle name="Normal 5 2 2 2 2 2 2 5 3" xfId="6437" xr:uid="{00000000-0005-0000-0000-00000A170000}"/>
    <cellStyle name="Normal 5 2 2 2 2 2 2 5 3 2" xfId="23335" xr:uid="{9720F769-ACB9-45D2-961F-4906FAED6B44}"/>
    <cellStyle name="Normal 5 2 2 2 2 2 2 5 3 3" xfId="14887" xr:uid="{C500AE4A-BE51-48F8-B271-9A18777B6157}"/>
    <cellStyle name="Normal 5 2 2 2 2 2 2 5 4" xfId="19117" xr:uid="{FE26A73D-2D59-4115-9960-8F43CA2188A6}"/>
    <cellStyle name="Normal 5 2 2 2 2 2 2 5 5" xfId="10669" xr:uid="{B0197AC7-C615-4546-9A7D-68F35C2D25F3}"/>
    <cellStyle name="Normal 5 2 2 2 2 2 2 6" xfId="2567" xr:uid="{00000000-0005-0000-0000-00000B170000}"/>
    <cellStyle name="Normal 5 2 2 2 2 2 2 6 2" xfId="6850" xr:uid="{00000000-0005-0000-0000-00000C170000}"/>
    <cellStyle name="Normal 5 2 2 2 2 2 2 6 2 2" xfId="23748" xr:uid="{3F8BA322-5CA3-49DF-973B-81C12A623766}"/>
    <cellStyle name="Normal 5 2 2 2 2 2 2 6 2 3" xfId="15300" xr:uid="{EC5B6A59-9847-4749-BC6C-5988C934F42F}"/>
    <cellStyle name="Normal 5 2 2 2 2 2 2 6 3" xfId="19530" xr:uid="{E4E56ECF-70E6-455F-9388-BB7A08EF782F}"/>
    <cellStyle name="Normal 5 2 2 2 2 2 2 6 4" xfId="11082" xr:uid="{9C5F0E2B-F714-4C50-8B43-7C5A49036299}"/>
    <cellStyle name="Normal 5 2 2 2 2 2 2 7" xfId="4785" xr:uid="{00000000-0005-0000-0000-00000D170000}"/>
    <cellStyle name="Normal 5 2 2 2 2 2 2 7 2" xfId="21683" xr:uid="{66912396-6F1E-4BE7-83B1-738F86D9E363}"/>
    <cellStyle name="Normal 5 2 2 2 2 2 2 7 3" xfId="13235" xr:uid="{FE6E8E4F-E742-4E1B-9B56-031A7A71ACCC}"/>
    <cellStyle name="Normal 5 2 2 2 2 2 2 8" xfId="17465" xr:uid="{835A7578-AC98-4CBB-AD5E-5B2C057783D3}"/>
    <cellStyle name="Normal 5 2 2 2 2 2 2 9" xfId="9017" xr:uid="{5E9DA2AA-7FF0-4425-B2F8-A9002438AB8A}"/>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24240" xr:uid="{A3088DC3-6C3E-4A1C-ADBC-E16B8E5BD521}"/>
    <cellStyle name="Normal 5 2 2 2 2 2 3 2 2 3" xfId="15792" xr:uid="{D48B50EA-80F3-4ECD-92BC-219A75E4E9B0}"/>
    <cellStyle name="Normal 5 2 2 2 2 2 3 2 3" xfId="20022" xr:uid="{136599CA-76C3-4A79-870A-150EF83BB9FF}"/>
    <cellStyle name="Normal 5 2 2 2 2 2 3 2 4" xfId="11574" xr:uid="{FDDD2111-ABF8-48EF-8B28-A6D88CC32139}"/>
    <cellStyle name="Normal 5 2 2 2 2 2 3 3" xfId="5197" xr:uid="{00000000-0005-0000-0000-000011170000}"/>
    <cellStyle name="Normal 5 2 2 2 2 2 3 3 2" xfId="22095" xr:uid="{A6653B35-0B0D-4826-95C2-A4FF827D07A1}"/>
    <cellStyle name="Normal 5 2 2 2 2 2 3 3 3" xfId="13647" xr:uid="{CABD0ADE-07CD-46BE-A5B5-58329578A7C2}"/>
    <cellStyle name="Normal 5 2 2 2 2 2 3 4" xfId="17877" xr:uid="{81DD425A-0670-4060-98C8-5580017C203A}"/>
    <cellStyle name="Normal 5 2 2 2 2 2 3 5" xfId="9429" xr:uid="{D2CE1507-6555-42CA-A0F7-E59E8536100D}"/>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24653" xr:uid="{603F4DD2-B12D-4C89-BC30-49E6D8978D90}"/>
    <cellStyle name="Normal 5 2 2 2 2 2 4 2 2 3" xfId="16205" xr:uid="{118A8844-B28D-4428-BFE6-6F55553389D3}"/>
    <cellStyle name="Normal 5 2 2 2 2 2 4 2 3" xfId="20435" xr:uid="{0087928C-7CD1-48FF-BD0B-3556050AAC4C}"/>
    <cellStyle name="Normal 5 2 2 2 2 2 4 2 4" xfId="11987" xr:uid="{E2687B03-AAEB-4803-9E80-E45CB9ABAE05}"/>
    <cellStyle name="Normal 5 2 2 2 2 2 4 3" xfId="5610" xr:uid="{00000000-0005-0000-0000-000015170000}"/>
    <cellStyle name="Normal 5 2 2 2 2 2 4 3 2" xfId="22508" xr:uid="{23C55EAA-C787-4CD4-AB9D-FA9631C537EE}"/>
    <cellStyle name="Normal 5 2 2 2 2 2 4 3 3" xfId="14060" xr:uid="{14B0538B-58AF-401B-8413-314E0D93CC93}"/>
    <cellStyle name="Normal 5 2 2 2 2 2 4 4" xfId="18290" xr:uid="{C9B99C48-DAC8-48D7-A3D3-4245E9D96611}"/>
    <cellStyle name="Normal 5 2 2 2 2 2 4 5" xfId="9842" xr:uid="{4E296897-ABF0-4606-B614-BEBB517BEFB7}"/>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25066" xr:uid="{18DC67FE-883D-490A-9711-58368FDA23A4}"/>
    <cellStyle name="Normal 5 2 2 2 2 2 5 2 2 3" xfId="16618" xr:uid="{815E6D94-010C-454D-9694-7276A182FF81}"/>
    <cellStyle name="Normal 5 2 2 2 2 2 5 2 3" xfId="20848" xr:uid="{62E61E79-C291-4734-8C18-90C68CFCE5DE}"/>
    <cellStyle name="Normal 5 2 2 2 2 2 5 2 4" xfId="12400" xr:uid="{38448DD6-B24D-4A08-B84F-76EF495AD39B}"/>
    <cellStyle name="Normal 5 2 2 2 2 2 5 3" xfId="6023" xr:uid="{00000000-0005-0000-0000-000019170000}"/>
    <cellStyle name="Normal 5 2 2 2 2 2 5 3 2" xfId="22921" xr:uid="{54C49798-5816-4BEE-B448-85F59BEB7686}"/>
    <cellStyle name="Normal 5 2 2 2 2 2 5 3 3" xfId="14473" xr:uid="{DD1D2CCB-242B-4D88-BD4B-0B85D576F490}"/>
    <cellStyle name="Normal 5 2 2 2 2 2 5 4" xfId="18703" xr:uid="{A7BFA789-D963-4488-91CE-C1EDA8D4066C}"/>
    <cellStyle name="Normal 5 2 2 2 2 2 5 5" xfId="10255" xr:uid="{3BEEF464-AC77-4EA8-8220-A4467B1CAD1C}"/>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25479" xr:uid="{67B7128B-D2D3-4B1B-BEE9-E7DDC8BEC226}"/>
    <cellStyle name="Normal 5 2 2 2 2 2 6 2 2 3" xfId="17031" xr:uid="{44699380-2B2E-45E9-BAFF-F0D074CBECC6}"/>
    <cellStyle name="Normal 5 2 2 2 2 2 6 2 3" xfId="21261" xr:uid="{734A532A-5BE9-4E90-98CA-A06F7D116FF8}"/>
    <cellStyle name="Normal 5 2 2 2 2 2 6 2 4" xfId="12813" xr:uid="{B5430441-E6D5-4932-AF3B-DFAD4B4978EF}"/>
    <cellStyle name="Normal 5 2 2 2 2 2 6 3" xfId="6436" xr:uid="{00000000-0005-0000-0000-00001D170000}"/>
    <cellStyle name="Normal 5 2 2 2 2 2 6 3 2" xfId="23334" xr:uid="{1015C156-19F1-4B40-9F7C-F95214030C98}"/>
    <cellStyle name="Normal 5 2 2 2 2 2 6 3 3" xfId="14886" xr:uid="{B0030353-17FE-42FA-A7A3-0C3FD7995081}"/>
    <cellStyle name="Normal 5 2 2 2 2 2 6 4" xfId="19116" xr:uid="{8AFBDB5F-E6D9-42B0-838E-BA1D5DB58458}"/>
    <cellStyle name="Normal 5 2 2 2 2 2 6 5" xfId="10668" xr:uid="{C0F2F9C2-F498-4066-98B5-FA05BB880B43}"/>
    <cellStyle name="Normal 5 2 2 2 2 2 7" xfId="2566" xr:uid="{00000000-0005-0000-0000-00001E170000}"/>
    <cellStyle name="Normal 5 2 2 2 2 2 7 2" xfId="6849" xr:uid="{00000000-0005-0000-0000-00001F170000}"/>
    <cellStyle name="Normal 5 2 2 2 2 2 7 2 2" xfId="23747" xr:uid="{7A1C749B-42C7-4150-A72E-D93C8F812616}"/>
    <cellStyle name="Normal 5 2 2 2 2 2 7 2 3" xfId="15299" xr:uid="{AD3E0326-5B67-4220-A60D-BB38D8E75142}"/>
    <cellStyle name="Normal 5 2 2 2 2 2 7 3" xfId="19529" xr:uid="{AF27206B-C105-4343-BFF8-1011CEC7AD95}"/>
    <cellStyle name="Normal 5 2 2 2 2 2 7 4" xfId="11081" xr:uid="{A33B1C08-85A8-4FE2-9578-B210A87F5D74}"/>
    <cellStyle name="Normal 5 2 2 2 2 2 8" xfId="4784" xr:uid="{00000000-0005-0000-0000-000020170000}"/>
    <cellStyle name="Normal 5 2 2 2 2 2 8 2" xfId="21682" xr:uid="{D6C8CA32-1B2E-45CE-952A-D2A53D9A0B79}"/>
    <cellStyle name="Normal 5 2 2 2 2 2 8 3" xfId="13234" xr:uid="{0B2580CF-5796-40F9-B44F-2474E431222B}"/>
    <cellStyle name="Normal 5 2 2 2 2 2 9" xfId="17464" xr:uid="{030A9439-B451-449A-B2A8-EAD5FB122A44}"/>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24242" xr:uid="{BA1E39DF-3E39-4C26-95EB-BA4F0E3281BA}"/>
    <cellStyle name="Normal 5 2 2 2 2 3 2 2 2 3" xfId="15794" xr:uid="{ACF360F4-D845-4EC0-B371-76D13F5A2CBE}"/>
    <cellStyle name="Normal 5 2 2 2 2 3 2 2 3" xfId="20024" xr:uid="{6817F611-778E-404C-A3F3-5D7F926D6B42}"/>
    <cellStyle name="Normal 5 2 2 2 2 3 2 2 4" xfId="11576" xr:uid="{F0CC0041-150E-4505-8182-5FE38112832D}"/>
    <cellStyle name="Normal 5 2 2 2 2 3 2 3" xfId="5199" xr:uid="{00000000-0005-0000-0000-000025170000}"/>
    <cellStyle name="Normal 5 2 2 2 2 3 2 3 2" xfId="22097" xr:uid="{00DC8127-3CA9-4B97-B267-150B5D3CA087}"/>
    <cellStyle name="Normal 5 2 2 2 2 3 2 3 3" xfId="13649" xr:uid="{FD1DB16A-5AFD-49DD-AA24-95EAB1A294EE}"/>
    <cellStyle name="Normal 5 2 2 2 2 3 2 4" xfId="17879" xr:uid="{5DB05473-23A5-426E-BB45-4617E2C10AC5}"/>
    <cellStyle name="Normal 5 2 2 2 2 3 2 5" xfId="9431" xr:uid="{EA739DF2-939E-41B7-B033-999F7E4EEF6F}"/>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24655" xr:uid="{A728924A-C457-4B71-937E-03791FEBD05F}"/>
    <cellStyle name="Normal 5 2 2 2 2 3 3 2 2 3" xfId="16207" xr:uid="{00389F6F-8CEE-4E8F-9B26-AADBB7E415FE}"/>
    <cellStyle name="Normal 5 2 2 2 2 3 3 2 3" xfId="20437" xr:uid="{9886FB6E-171C-4E51-A720-D85E8955B65A}"/>
    <cellStyle name="Normal 5 2 2 2 2 3 3 2 4" xfId="11989" xr:uid="{23EA7176-1DDB-4629-BFD8-C486CD8A97A1}"/>
    <cellStyle name="Normal 5 2 2 2 2 3 3 3" xfId="5612" xr:uid="{00000000-0005-0000-0000-000029170000}"/>
    <cellStyle name="Normal 5 2 2 2 2 3 3 3 2" xfId="22510" xr:uid="{B9B1FF2B-A06B-4CBD-B216-6E7EF7A66F58}"/>
    <cellStyle name="Normal 5 2 2 2 2 3 3 3 3" xfId="14062" xr:uid="{D91909EF-6D08-4CC2-A596-8473248ECDA3}"/>
    <cellStyle name="Normal 5 2 2 2 2 3 3 4" xfId="18292" xr:uid="{32B1BEFB-5BD0-4E78-9854-197771C8B57C}"/>
    <cellStyle name="Normal 5 2 2 2 2 3 3 5" xfId="9844" xr:uid="{2E4AF6BB-7CC3-48DE-9D90-7384E2470152}"/>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25068" xr:uid="{5645E5A9-0EBD-436A-A297-61FDDBCA7A4C}"/>
    <cellStyle name="Normal 5 2 2 2 2 3 4 2 2 3" xfId="16620" xr:uid="{6546DC20-282B-49AF-B815-39D80AD9B3FF}"/>
    <cellStyle name="Normal 5 2 2 2 2 3 4 2 3" xfId="20850" xr:uid="{AE38274D-57D1-4CBD-82EA-20051E710F91}"/>
    <cellStyle name="Normal 5 2 2 2 2 3 4 2 4" xfId="12402" xr:uid="{C6BAB0D2-F9E4-4671-829E-2A5093D6F4A6}"/>
    <cellStyle name="Normal 5 2 2 2 2 3 4 3" xfId="6025" xr:uid="{00000000-0005-0000-0000-00002D170000}"/>
    <cellStyle name="Normal 5 2 2 2 2 3 4 3 2" xfId="22923" xr:uid="{44082E03-0212-455D-B7A2-2EF50849B188}"/>
    <cellStyle name="Normal 5 2 2 2 2 3 4 3 3" xfId="14475" xr:uid="{E761FF57-79A0-4C6A-873C-A23988FC87A0}"/>
    <cellStyle name="Normal 5 2 2 2 2 3 4 4" xfId="18705" xr:uid="{92DA2209-9FD2-43B5-933E-74A7F66BFC26}"/>
    <cellStyle name="Normal 5 2 2 2 2 3 4 5" xfId="10257" xr:uid="{2419D3F4-480B-4CC2-8A06-29764A3772C9}"/>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25481" xr:uid="{4E6176A2-8278-4DD8-89ED-425218328E49}"/>
    <cellStyle name="Normal 5 2 2 2 2 3 5 2 2 3" xfId="17033" xr:uid="{4AB5260F-09A7-4DEB-8100-17441D5FC2A0}"/>
    <cellStyle name="Normal 5 2 2 2 2 3 5 2 3" xfId="21263" xr:uid="{2B24CA58-D752-49EC-9DBD-F22E019DFEA1}"/>
    <cellStyle name="Normal 5 2 2 2 2 3 5 2 4" xfId="12815" xr:uid="{386C2C87-2462-45ED-A259-5A0135E660A4}"/>
    <cellStyle name="Normal 5 2 2 2 2 3 5 3" xfId="6438" xr:uid="{00000000-0005-0000-0000-000031170000}"/>
    <cellStyle name="Normal 5 2 2 2 2 3 5 3 2" xfId="23336" xr:uid="{5B684768-76A7-4025-8223-656E6555E128}"/>
    <cellStyle name="Normal 5 2 2 2 2 3 5 3 3" xfId="14888" xr:uid="{78E7F73B-99DF-462A-A00E-A6AF7A42DA83}"/>
    <cellStyle name="Normal 5 2 2 2 2 3 5 4" xfId="19118" xr:uid="{C5E7A2C2-4156-4C27-895C-87423FA6AB84}"/>
    <cellStyle name="Normal 5 2 2 2 2 3 5 5" xfId="10670" xr:uid="{67E1D688-9F68-4164-8319-2E25C170FBAE}"/>
    <cellStyle name="Normal 5 2 2 2 2 3 6" xfId="2568" xr:uid="{00000000-0005-0000-0000-000032170000}"/>
    <cellStyle name="Normal 5 2 2 2 2 3 6 2" xfId="6851" xr:uid="{00000000-0005-0000-0000-000033170000}"/>
    <cellStyle name="Normal 5 2 2 2 2 3 6 2 2" xfId="23749" xr:uid="{22A01104-7E58-443C-BF2C-2200CBB1335B}"/>
    <cellStyle name="Normal 5 2 2 2 2 3 6 2 3" xfId="15301" xr:uid="{9F383588-08B6-40B6-9BBB-9EEA6E0C902A}"/>
    <cellStyle name="Normal 5 2 2 2 2 3 6 3" xfId="19531" xr:uid="{509DBB3A-3B66-4A52-A2E5-D2C7A495A4C9}"/>
    <cellStyle name="Normal 5 2 2 2 2 3 6 4" xfId="11083" xr:uid="{E0DCBECB-83A0-4149-BBD9-6A538322FBA7}"/>
    <cellStyle name="Normal 5 2 2 2 2 3 7" xfId="4786" xr:uid="{00000000-0005-0000-0000-000034170000}"/>
    <cellStyle name="Normal 5 2 2 2 2 3 7 2" xfId="21684" xr:uid="{D319EE35-A58B-4620-9753-24BB50E2035C}"/>
    <cellStyle name="Normal 5 2 2 2 2 3 7 3" xfId="13236" xr:uid="{5C5D8CDA-F94F-4A56-8DA1-3EF6A4930330}"/>
    <cellStyle name="Normal 5 2 2 2 2 3 8" xfId="17466" xr:uid="{69227D5D-DC7F-46E2-9840-00618CB28602}"/>
    <cellStyle name="Normal 5 2 2 2 2 3 9" xfId="9018" xr:uid="{F1553AB4-D7CC-4375-8591-6108CDCAB77F}"/>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24239" xr:uid="{9DFE1F4F-639C-49FE-A761-BA552C47AF60}"/>
    <cellStyle name="Normal 5 2 2 2 2 4 2 2 3" xfId="15791" xr:uid="{FFC76334-93A6-41E2-B6B4-DB396B9DDDFA}"/>
    <cellStyle name="Normal 5 2 2 2 2 4 2 3" xfId="20021" xr:uid="{1A37CA12-348B-4582-BA5F-1C46E231EDD3}"/>
    <cellStyle name="Normal 5 2 2 2 2 4 2 4" xfId="11573" xr:uid="{54512E6E-E869-4BB0-887D-B1E8C6E8EB2A}"/>
    <cellStyle name="Normal 5 2 2 2 2 4 3" xfId="5196" xr:uid="{00000000-0005-0000-0000-000038170000}"/>
    <cellStyle name="Normal 5 2 2 2 2 4 3 2" xfId="22094" xr:uid="{42F13795-A566-4D27-882A-6D2AD212D9B6}"/>
    <cellStyle name="Normal 5 2 2 2 2 4 3 3" xfId="13646" xr:uid="{1E79C204-02E3-4BD0-8CD1-80FFAAA50EE9}"/>
    <cellStyle name="Normal 5 2 2 2 2 4 4" xfId="17876" xr:uid="{E0186675-592B-437A-8D9C-5398334E54FC}"/>
    <cellStyle name="Normal 5 2 2 2 2 4 5" xfId="9428" xr:uid="{0C569BAC-9192-43D5-AEE8-C69E0E60ED67}"/>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24652" xr:uid="{7745579D-25D9-492C-BDD7-41089BB21EAB}"/>
    <cellStyle name="Normal 5 2 2 2 2 5 2 2 3" xfId="16204" xr:uid="{E169542F-9BB2-4DCA-908F-03D25CFE5658}"/>
    <cellStyle name="Normal 5 2 2 2 2 5 2 3" xfId="20434" xr:uid="{DF176D99-845A-4DCC-851B-1EDBB52D9470}"/>
    <cellStyle name="Normal 5 2 2 2 2 5 2 4" xfId="11986" xr:uid="{50AB3EF9-6CA7-412D-874A-1795880ED9E8}"/>
    <cellStyle name="Normal 5 2 2 2 2 5 3" xfId="5609" xr:uid="{00000000-0005-0000-0000-00003C170000}"/>
    <cellStyle name="Normal 5 2 2 2 2 5 3 2" xfId="22507" xr:uid="{6F1C0101-CD45-49B9-A1AF-B0031847DA20}"/>
    <cellStyle name="Normal 5 2 2 2 2 5 3 3" xfId="14059" xr:uid="{2493BA21-99AF-4328-AEB3-FE7C7200E366}"/>
    <cellStyle name="Normal 5 2 2 2 2 5 4" xfId="18289" xr:uid="{447108DD-23AA-42ED-8120-8D9807B6A596}"/>
    <cellStyle name="Normal 5 2 2 2 2 5 5" xfId="9841" xr:uid="{9D544DB4-28A6-4C45-ACCB-6A985C89D70C}"/>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25065" xr:uid="{4D94A303-7DB4-40D2-A6A3-F82ABCB3E0B5}"/>
    <cellStyle name="Normal 5 2 2 2 2 6 2 2 3" xfId="16617" xr:uid="{EE486CD0-CDC0-478D-977F-C89A833C742F}"/>
    <cellStyle name="Normal 5 2 2 2 2 6 2 3" xfId="20847" xr:uid="{B7EB883F-50E2-40B8-B400-4C56287148FF}"/>
    <cellStyle name="Normal 5 2 2 2 2 6 2 4" xfId="12399" xr:uid="{F7F4C1FC-2FB3-4884-9455-54341C20A5C8}"/>
    <cellStyle name="Normal 5 2 2 2 2 6 3" xfId="6022" xr:uid="{00000000-0005-0000-0000-000040170000}"/>
    <cellStyle name="Normal 5 2 2 2 2 6 3 2" xfId="22920" xr:uid="{91A1C6DD-ADFC-46AF-A272-41E61309D263}"/>
    <cellStyle name="Normal 5 2 2 2 2 6 3 3" xfId="14472" xr:uid="{FECCEA1F-6B45-4459-A1D6-B97DBAC06643}"/>
    <cellStyle name="Normal 5 2 2 2 2 6 4" xfId="18702" xr:uid="{770A5F0C-F921-4CA7-9625-E42D738BEE8F}"/>
    <cellStyle name="Normal 5 2 2 2 2 6 5" xfId="10254" xr:uid="{533D8A72-F810-4588-B58A-404C66DC8C14}"/>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25478" xr:uid="{58770503-1253-4AAA-A864-FC22C29E7996}"/>
    <cellStyle name="Normal 5 2 2 2 2 7 2 2 3" xfId="17030" xr:uid="{27B439C0-9947-4368-AFB5-B6E801EB5528}"/>
    <cellStyle name="Normal 5 2 2 2 2 7 2 3" xfId="21260" xr:uid="{802716FA-AE3A-4700-9B63-6E562D2C9595}"/>
    <cellStyle name="Normal 5 2 2 2 2 7 2 4" xfId="12812" xr:uid="{C7F366BB-6B6D-40DD-BA1D-E4001C3C1B4B}"/>
    <cellStyle name="Normal 5 2 2 2 2 7 3" xfId="6435" xr:uid="{00000000-0005-0000-0000-000044170000}"/>
    <cellStyle name="Normal 5 2 2 2 2 7 3 2" xfId="23333" xr:uid="{D6E664AD-DD0E-4195-B094-23BF157BB5AB}"/>
    <cellStyle name="Normal 5 2 2 2 2 7 3 3" xfId="14885" xr:uid="{D96AE563-EFB3-4AF3-A049-A6190176FCC2}"/>
    <cellStyle name="Normal 5 2 2 2 2 7 4" xfId="19115" xr:uid="{E34E9093-FBF1-4D61-B399-FDB45F826804}"/>
    <cellStyle name="Normal 5 2 2 2 2 7 5" xfId="10667" xr:uid="{B2636C6A-2C72-414B-8DEE-6ADB9397956E}"/>
    <cellStyle name="Normal 5 2 2 2 2 8" xfId="2565" xr:uid="{00000000-0005-0000-0000-000045170000}"/>
    <cellStyle name="Normal 5 2 2 2 2 8 2" xfId="6848" xr:uid="{00000000-0005-0000-0000-000046170000}"/>
    <cellStyle name="Normal 5 2 2 2 2 8 2 2" xfId="23746" xr:uid="{3869F8CD-CAD8-4DC2-8106-79740BA0D84F}"/>
    <cellStyle name="Normal 5 2 2 2 2 8 2 3" xfId="15298" xr:uid="{B2D1A94D-7D27-4B69-B4C3-FBF0E615B5B5}"/>
    <cellStyle name="Normal 5 2 2 2 2 8 3" xfId="19528" xr:uid="{D472D49E-996E-42B7-A672-2D628DCDC55E}"/>
    <cellStyle name="Normal 5 2 2 2 2 8 4" xfId="11080" xr:uid="{DFDC77A9-0912-4BDF-92BC-D378EEA65A18}"/>
    <cellStyle name="Normal 5 2 2 2 2 9" xfId="4783" xr:uid="{00000000-0005-0000-0000-000047170000}"/>
    <cellStyle name="Normal 5 2 2 2 2 9 2" xfId="21681" xr:uid="{E6E57890-B925-4965-A581-F2EB36EE2272}"/>
    <cellStyle name="Normal 5 2 2 2 2 9 3" xfId="13233" xr:uid="{B4A32D8C-AA18-4B9F-B2D9-0211ECE45CAF}"/>
    <cellStyle name="Normal 5 2 2 2 3" xfId="414" xr:uid="{00000000-0005-0000-0000-000048170000}"/>
    <cellStyle name="Normal 5 2 2 2 3 10" xfId="9019" xr:uid="{68D86996-38A3-42C5-8183-BD8C8FA3F708}"/>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24244" xr:uid="{D88741E6-A0EB-4D34-B497-13DD8807D99D}"/>
    <cellStyle name="Normal 5 2 2 2 3 2 2 2 2 3" xfId="15796" xr:uid="{D8558873-F1C8-47F4-A9A9-C569D1A9EA7F}"/>
    <cellStyle name="Normal 5 2 2 2 3 2 2 2 3" xfId="20026" xr:uid="{73BB5FA5-E738-4388-BD91-23E034FE8906}"/>
    <cellStyle name="Normal 5 2 2 2 3 2 2 2 4" xfId="11578" xr:uid="{F194B971-59C4-4C90-95D1-BA5F4A7353C6}"/>
    <cellStyle name="Normal 5 2 2 2 3 2 2 3" xfId="5201" xr:uid="{00000000-0005-0000-0000-00004D170000}"/>
    <cellStyle name="Normal 5 2 2 2 3 2 2 3 2" xfId="22099" xr:uid="{01854D53-B599-4A82-83AD-79504420C8AC}"/>
    <cellStyle name="Normal 5 2 2 2 3 2 2 3 3" xfId="13651" xr:uid="{F456C4F5-7ADF-4AF4-9C5C-8CF5D8A48012}"/>
    <cellStyle name="Normal 5 2 2 2 3 2 2 4" xfId="17881" xr:uid="{50F752EE-5580-479A-84F4-875E00206659}"/>
    <cellStyle name="Normal 5 2 2 2 3 2 2 5" xfId="9433" xr:uid="{F7F8BA3B-F39B-4C01-8BE9-441BE561819C}"/>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24657" xr:uid="{A1740A4C-667A-4E82-BE78-88DE5FBA5DB2}"/>
    <cellStyle name="Normal 5 2 2 2 3 2 3 2 2 3" xfId="16209" xr:uid="{2924BF86-155A-45F6-BA53-DA3EA7ED9C08}"/>
    <cellStyle name="Normal 5 2 2 2 3 2 3 2 3" xfId="20439" xr:uid="{CDAE7CD8-56F7-4A48-A8A1-3B3E7AA2DCF2}"/>
    <cellStyle name="Normal 5 2 2 2 3 2 3 2 4" xfId="11991" xr:uid="{91234AB8-5C29-448C-8682-6E48E44944C7}"/>
    <cellStyle name="Normal 5 2 2 2 3 2 3 3" xfId="5614" xr:uid="{00000000-0005-0000-0000-000051170000}"/>
    <cellStyle name="Normal 5 2 2 2 3 2 3 3 2" xfId="22512" xr:uid="{9AC8C365-A717-4CB1-BE5A-80328384DDF5}"/>
    <cellStyle name="Normal 5 2 2 2 3 2 3 3 3" xfId="14064" xr:uid="{DE100E42-257E-4B42-AFF9-742C0576D375}"/>
    <cellStyle name="Normal 5 2 2 2 3 2 3 4" xfId="18294" xr:uid="{9A41352B-BC0B-4D1C-8FEE-86F7F6F7339F}"/>
    <cellStyle name="Normal 5 2 2 2 3 2 3 5" xfId="9846" xr:uid="{5FCDB2D4-A7DC-4540-8E55-EEA459532055}"/>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25070" xr:uid="{17FC03F4-7DBA-472D-BDD7-26FD784143C2}"/>
    <cellStyle name="Normal 5 2 2 2 3 2 4 2 2 3" xfId="16622" xr:uid="{7E622BB1-3A6A-426E-AF37-7CC7CE299366}"/>
    <cellStyle name="Normal 5 2 2 2 3 2 4 2 3" xfId="20852" xr:uid="{8A4DCE3A-7408-4F9A-9A2E-86C4A3C94394}"/>
    <cellStyle name="Normal 5 2 2 2 3 2 4 2 4" xfId="12404" xr:uid="{213508C1-33D6-433A-A8BD-9D0EA7B830BA}"/>
    <cellStyle name="Normal 5 2 2 2 3 2 4 3" xfId="6027" xr:uid="{00000000-0005-0000-0000-000055170000}"/>
    <cellStyle name="Normal 5 2 2 2 3 2 4 3 2" xfId="22925" xr:uid="{0E03FFF5-4ED8-4371-B87C-62F8217000DB}"/>
    <cellStyle name="Normal 5 2 2 2 3 2 4 3 3" xfId="14477" xr:uid="{F1C1536E-6600-42AB-BCF8-C59E283EDD61}"/>
    <cellStyle name="Normal 5 2 2 2 3 2 4 4" xfId="18707" xr:uid="{4F837191-4B2C-4976-B79C-B889414CC9BE}"/>
    <cellStyle name="Normal 5 2 2 2 3 2 4 5" xfId="10259" xr:uid="{C0EDE7C5-A002-4ADF-B63E-7EF389E6107C}"/>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25483" xr:uid="{763ADE30-0B65-4A5B-8457-D9FC13FC631D}"/>
    <cellStyle name="Normal 5 2 2 2 3 2 5 2 2 3" xfId="17035" xr:uid="{A5AB8CFC-0C5F-4142-8649-ABEE641755C9}"/>
    <cellStyle name="Normal 5 2 2 2 3 2 5 2 3" xfId="21265" xr:uid="{5965CDF3-0A9A-4927-A476-534662623984}"/>
    <cellStyle name="Normal 5 2 2 2 3 2 5 2 4" xfId="12817" xr:uid="{94570C35-C85F-4828-87E1-3B854839F2BC}"/>
    <cellStyle name="Normal 5 2 2 2 3 2 5 3" xfId="6440" xr:uid="{00000000-0005-0000-0000-000059170000}"/>
    <cellStyle name="Normal 5 2 2 2 3 2 5 3 2" xfId="23338" xr:uid="{10A9AFB2-951D-4905-B073-E7874B10F319}"/>
    <cellStyle name="Normal 5 2 2 2 3 2 5 3 3" xfId="14890" xr:uid="{6BC95533-78F7-4C01-B0BD-CF230BA69D31}"/>
    <cellStyle name="Normal 5 2 2 2 3 2 5 4" xfId="19120" xr:uid="{16AF6BAE-8F6A-447B-AFCF-B6AF7605134B}"/>
    <cellStyle name="Normal 5 2 2 2 3 2 5 5" xfId="10672" xr:uid="{2B2442A2-2C2D-45AD-98B5-E8711AA51FA2}"/>
    <cellStyle name="Normal 5 2 2 2 3 2 6" xfId="2570" xr:uid="{00000000-0005-0000-0000-00005A170000}"/>
    <cellStyle name="Normal 5 2 2 2 3 2 6 2" xfId="6853" xr:uid="{00000000-0005-0000-0000-00005B170000}"/>
    <cellStyle name="Normal 5 2 2 2 3 2 6 2 2" xfId="23751" xr:uid="{6F4F298E-7F75-4772-8105-8B36637F2893}"/>
    <cellStyle name="Normal 5 2 2 2 3 2 6 2 3" xfId="15303" xr:uid="{6D55799D-2674-44E4-AE25-76034F07981F}"/>
    <cellStyle name="Normal 5 2 2 2 3 2 6 3" xfId="19533" xr:uid="{D635FBFA-6250-4583-B3D2-ED839E7B7F9E}"/>
    <cellStyle name="Normal 5 2 2 2 3 2 6 4" xfId="11085" xr:uid="{B80F889C-6174-490E-AF33-06321C94B880}"/>
    <cellStyle name="Normal 5 2 2 2 3 2 7" xfId="4788" xr:uid="{00000000-0005-0000-0000-00005C170000}"/>
    <cellStyle name="Normal 5 2 2 2 3 2 7 2" xfId="21686" xr:uid="{FAE0EEAB-FD8E-4B77-AC7A-2FC12F115CCF}"/>
    <cellStyle name="Normal 5 2 2 2 3 2 7 3" xfId="13238" xr:uid="{099EB21B-3920-43CC-8299-4677C00BD1FB}"/>
    <cellStyle name="Normal 5 2 2 2 3 2 8" xfId="17468" xr:uid="{65A3C039-4307-48A7-996F-0D2A95EB6984}"/>
    <cellStyle name="Normal 5 2 2 2 3 2 9" xfId="9020" xr:uid="{69EE4A29-D0EE-480D-83C4-218F6B81B5FF}"/>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24243" xr:uid="{681A07B7-1B80-47AF-8706-EE3CCB9B4D2A}"/>
    <cellStyle name="Normal 5 2 2 2 3 3 2 2 3" xfId="15795" xr:uid="{AE1F0BD4-80DB-498E-B81B-4D1BC38D1F79}"/>
    <cellStyle name="Normal 5 2 2 2 3 3 2 3" xfId="20025" xr:uid="{43E6EA2D-A18C-45B8-85F4-F1D70BDC7A8D}"/>
    <cellStyle name="Normal 5 2 2 2 3 3 2 4" xfId="11577" xr:uid="{2511C129-5643-407F-8F2B-6CC7018AF283}"/>
    <cellStyle name="Normal 5 2 2 2 3 3 3" xfId="5200" xr:uid="{00000000-0005-0000-0000-000060170000}"/>
    <cellStyle name="Normal 5 2 2 2 3 3 3 2" xfId="22098" xr:uid="{30F8E02F-B5F2-461E-BDD5-71AC3BC3A2AC}"/>
    <cellStyle name="Normal 5 2 2 2 3 3 3 3" xfId="13650" xr:uid="{E9EA5966-9239-4364-A838-8C2F74C98E61}"/>
    <cellStyle name="Normal 5 2 2 2 3 3 4" xfId="17880" xr:uid="{FD48B499-FC71-42DD-B759-1C96049BBB1D}"/>
    <cellStyle name="Normal 5 2 2 2 3 3 5" xfId="9432" xr:uid="{C3881164-1CFA-4092-B3BB-F124195AC7CB}"/>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24656" xr:uid="{EC4C505C-090F-4722-93A1-CFF760F27323}"/>
    <cellStyle name="Normal 5 2 2 2 3 4 2 2 3" xfId="16208" xr:uid="{842239B5-E8CD-40CE-AFEA-EAD89F7F3D29}"/>
    <cellStyle name="Normal 5 2 2 2 3 4 2 3" xfId="20438" xr:uid="{F177D0EE-46F2-41DA-AF2C-17565A5DC1C3}"/>
    <cellStyle name="Normal 5 2 2 2 3 4 2 4" xfId="11990" xr:uid="{E6553F2E-04E5-4511-9AFA-C85EB4702D2C}"/>
    <cellStyle name="Normal 5 2 2 2 3 4 3" xfId="5613" xr:uid="{00000000-0005-0000-0000-000064170000}"/>
    <cellStyle name="Normal 5 2 2 2 3 4 3 2" xfId="22511" xr:uid="{EFFEDB4B-5750-4272-9B8D-1C4544959B14}"/>
    <cellStyle name="Normal 5 2 2 2 3 4 3 3" xfId="14063" xr:uid="{59801422-D3FA-463B-9D26-6EE25763D078}"/>
    <cellStyle name="Normal 5 2 2 2 3 4 4" xfId="18293" xr:uid="{5B59A8E4-B951-4287-9DB6-1D1F87F5D022}"/>
    <cellStyle name="Normal 5 2 2 2 3 4 5" xfId="9845" xr:uid="{E03A0539-AB95-44EE-8D2A-5CCD240E622D}"/>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25069" xr:uid="{096125A3-EAA5-4B2F-8394-0EAFF5BAC1F9}"/>
    <cellStyle name="Normal 5 2 2 2 3 5 2 2 3" xfId="16621" xr:uid="{B48D3C20-23CB-46B9-B268-36A98E489079}"/>
    <cellStyle name="Normal 5 2 2 2 3 5 2 3" xfId="20851" xr:uid="{C9D178B4-B451-498F-BC64-4AA6D2186B71}"/>
    <cellStyle name="Normal 5 2 2 2 3 5 2 4" xfId="12403" xr:uid="{53112CA8-2FC3-4CFB-95FC-E16DE8E98ECF}"/>
    <cellStyle name="Normal 5 2 2 2 3 5 3" xfId="6026" xr:uid="{00000000-0005-0000-0000-000068170000}"/>
    <cellStyle name="Normal 5 2 2 2 3 5 3 2" xfId="22924" xr:uid="{B627EC96-B078-434F-998A-7EBAB1E318C9}"/>
    <cellStyle name="Normal 5 2 2 2 3 5 3 3" xfId="14476" xr:uid="{0BDF7188-2070-470A-BA3F-1511A293C578}"/>
    <cellStyle name="Normal 5 2 2 2 3 5 4" xfId="18706" xr:uid="{1C4DB3C0-FB18-4452-8AF1-EA180698CFD5}"/>
    <cellStyle name="Normal 5 2 2 2 3 5 5" xfId="10258" xr:uid="{1DB83371-8C29-4AF0-83EB-8D71C83A26E2}"/>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25482" xr:uid="{C35A8912-31FD-4CD0-8B91-6BB57B442900}"/>
    <cellStyle name="Normal 5 2 2 2 3 6 2 2 3" xfId="17034" xr:uid="{6AD6FD0D-B747-4152-9237-E1E319FF55F8}"/>
    <cellStyle name="Normal 5 2 2 2 3 6 2 3" xfId="21264" xr:uid="{E6B3F3B4-3244-4F5E-B62B-56A290B45C3E}"/>
    <cellStyle name="Normal 5 2 2 2 3 6 2 4" xfId="12816" xr:uid="{48B903F8-CF25-42A6-8E28-22E4923D68F6}"/>
    <cellStyle name="Normal 5 2 2 2 3 6 3" xfId="6439" xr:uid="{00000000-0005-0000-0000-00006C170000}"/>
    <cellStyle name="Normal 5 2 2 2 3 6 3 2" xfId="23337" xr:uid="{7B80612A-556F-43E0-B44A-4C77120D7293}"/>
    <cellStyle name="Normal 5 2 2 2 3 6 3 3" xfId="14889" xr:uid="{5EC1F82B-6DE8-43B1-888B-3983F6ACECC8}"/>
    <cellStyle name="Normal 5 2 2 2 3 6 4" xfId="19119" xr:uid="{6B3FAED0-162D-46B5-A808-B98E827FC2A7}"/>
    <cellStyle name="Normal 5 2 2 2 3 6 5" xfId="10671" xr:uid="{B18C3F9B-15C8-4739-87B7-814A5725B263}"/>
    <cellStyle name="Normal 5 2 2 2 3 7" xfId="2569" xr:uid="{00000000-0005-0000-0000-00006D170000}"/>
    <cellStyle name="Normal 5 2 2 2 3 7 2" xfId="6852" xr:uid="{00000000-0005-0000-0000-00006E170000}"/>
    <cellStyle name="Normal 5 2 2 2 3 7 2 2" xfId="23750" xr:uid="{E498ACD3-D0E7-4672-9B54-2ACE05DDC10E}"/>
    <cellStyle name="Normal 5 2 2 2 3 7 2 3" xfId="15302" xr:uid="{D6B7D7DE-C21D-440D-8C60-F056372A741F}"/>
    <cellStyle name="Normal 5 2 2 2 3 7 3" xfId="19532" xr:uid="{1D3EAFBF-9378-4B3E-94DD-4B5DF378C230}"/>
    <cellStyle name="Normal 5 2 2 2 3 7 4" xfId="11084" xr:uid="{970241D8-EBE3-4339-BA10-D936A8C45824}"/>
    <cellStyle name="Normal 5 2 2 2 3 8" xfId="4787" xr:uid="{00000000-0005-0000-0000-00006F170000}"/>
    <cellStyle name="Normal 5 2 2 2 3 8 2" xfId="21685" xr:uid="{7DE6C69F-B8E4-4F3A-B5C2-35DD827AC773}"/>
    <cellStyle name="Normal 5 2 2 2 3 8 3" xfId="13237" xr:uid="{D5A5201E-064C-449E-9B27-D470C5A01755}"/>
    <cellStyle name="Normal 5 2 2 2 3 9" xfId="17467" xr:uid="{3AE19B22-6328-476F-AFCE-CC5DF9D3FF69}"/>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24245" xr:uid="{81DE7508-D2E8-4F6D-8409-297C969C7BEA}"/>
    <cellStyle name="Normal 5 2 2 2 4 2 2 2 3" xfId="15797" xr:uid="{C5A57B5B-16FA-4FB2-9B00-51AB7772B25B}"/>
    <cellStyle name="Normal 5 2 2 2 4 2 2 3" xfId="20027" xr:uid="{75D0D6B6-C125-40C6-8244-09E481BB2977}"/>
    <cellStyle name="Normal 5 2 2 2 4 2 2 4" xfId="11579" xr:uid="{290B0BA0-4AF8-4578-84F7-791CE66A5F2F}"/>
    <cellStyle name="Normal 5 2 2 2 4 2 3" xfId="5202" xr:uid="{00000000-0005-0000-0000-000074170000}"/>
    <cellStyle name="Normal 5 2 2 2 4 2 3 2" xfId="22100" xr:uid="{54F8F419-A6ED-4101-8076-6E9F512FD3EC}"/>
    <cellStyle name="Normal 5 2 2 2 4 2 3 3" xfId="13652" xr:uid="{53461996-3D6D-48AE-8738-651875D38464}"/>
    <cellStyle name="Normal 5 2 2 2 4 2 4" xfId="17882" xr:uid="{740E691C-AE31-4831-8A80-9999C3301847}"/>
    <cellStyle name="Normal 5 2 2 2 4 2 5" xfId="9434" xr:uid="{C259FDAF-FD0A-4A31-BE48-6D7DAF8AA6A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24658" xr:uid="{E6B5F88D-700D-452C-889A-9DC0BE24C4C2}"/>
    <cellStyle name="Normal 5 2 2 2 4 3 2 2 3" xfId="16210" xr:uid="{EB2083E1-DFFE-40F6-874C-91198DC2B769}"/>
    <cellStyle name="Normal 5 2 2 2 4 3 2 3" xfId="20440" xr:uid="{FCB18E6A-4E85-4378-B64A-AC0BB240BA52}"/>
    <cellStyle name="Normal 5 2 2 2 4 3 2 4" xfId="11992" xr:uid="{F57E5A92-55A4-4CCC-A59A-76FFC8A784AD}"/>
    <cellStyle name="Normal 5 2 2 2 4 3 3" xfId="5615" xr:uid="{00000000-0005-0000-0000-000078170000}"/>
    <cellStyle name="Normal 5 2 2 2 4 3 3 2" xfId="22513" xr:uid="{7D2F4BA3-59D8-4F90-B5B9-95DDD5B7FF15}"/>
    <cellStyle name="Normal 5 2 2 2 4 3 3 3" xfId="14065" xr:uid="{00095DFF-38F0-4C98-A5F2-BB57B6F3177D}"/>
    <cellStyle name="Normal 5 2 2 2 4 3 4" xfId="18295" xr:uid="{EB56D0E6-492C-4FB3-8069-58C7C00AA95C}"/>
    <cellStyle name="Normal 5 2 2 2 4 3 5" xfId="9847" xr:uid="{5979810E-0102-4AB9-A39F-B1F2CC41361C}"/>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25071" xr:uid="{E51BDBD8-60FC-4B80-B309-323C7C5690C9}"/>
    <cellStyle name="Normal 5 2 2 2 4 4 2 2 3" xfId="16623" xr:uid="{30284DC0-44B4-48CE-AF8F-B261E8238DDF}"/>
    <cellStyle name="Normal 5 2 2 2 4 4 2 3" xfId="20853" xr:uid="{0991B600-0B65-4DDC-822C-4F4F5E033FDE}"/>
    <cellStyle name="Normal 5 2 2 2 4 4 2 4" xfId="12405" xr:uid="{19FC8C0E-1B41-4CD3-974D-110AC5CF30ED}"/>
    <cellStyle name="Normal 5 2 2 2 4 4 3" xfId="6028" xr:uid="{00000000-0005-0000-0000-00007C170000}"/>
    <cellStyle name="Normal 5 2 2 2 4 4 3 2" xfId="22926" xr:uid="{594FDAAB-653E-4CAD-BCB9-4A240863A807}"/>
    <cellStyle name="Normal 5 2 2 2 4 4 3 3" xfId="14478" xr:uid="{87CA94D0-0973-49BF-9EF5-B09B648365BC}"/>
    <cellStyle name="Normal 5 2 2 2 4 4 4" xfId="18708" xr:uid="{72B04329-1F93-468A-AD7D-49FBCB863A06}"/>
    <cellStyle name="Normal 5 2 2 2 4 4 5" xfId="10260" xr:uid="{4D23B640-47B6-4177-9EBF-B0D7AB53CA44}"/>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25484" xr:uid="{2B94A649-633A-478E-9771-B751460127D3}"/>
    <cellStyle name="Normal 5 2 2 2 4 5 2 2 3" xfId="17036" xr:uid="{18418120-0D22-4847-8C5F-C68389C5848E}"/>
    <cellStyle name="Normal 5 2 2 2 4 5 2 3" xfId="21266" xr:uid="{39B87EF9-36C4-46A3-877D-8028DB92FA05}"/>
    <cellStyle name="Normal 5 2 2 2 4 5 2 4" xfId="12818" xr:uid="{95198FF1-2597-46AD-B325-CA948726AA27}"/>
    <cellStyle name="Normal 5 2 2 2 4 5 3" xfId="6441" xr:uid="{00000000-0005-0000-0000-000080170000}"/>
    <cellStyle name="Normal 5 2 2 2 4 5 3 2" xfId="23339" xr:uid="{8CB02D79-A257-4A38-AA7B-5C92B4A61C46}"/>
    <cellStyle name="Normal 5 2 2 2 4 5 3 3" xfId="14891" xr:uid="{8D36F4BB-FC4D-41F8-8703-6F01B2D65AB3}"/>
    <cellStyle name="Normal 5 2 2 2 4 5 4" xfId="19121" xr:uid="{9136B92C-5D11-4AA2-B344-E4387A7D16D0}"/>
    <cellStyle name="Normal 5 2 2 2 4 5 5" xfId="10673" xr:uid="{7AD2615A-F57F-479D-BC3A-37AF1BC44765}"/>
    <cellStyle name="Normal 5 2 2 2 4 6" xfId="2571" xr:uid="{00000000-0005-0000-0000-000081170000}"/>
    <cellStyle name="Normal 5 2 2 2 4 6 2" xfId="6854" xr:uid="{00000000-0005-0000-0000-000082170000}"/>
    <cellStyle name="Normal 5 2 2 2 4 6 2 2" xfId="23752" xr:uid="{59898C8C-D0F2-4E0E-A9F2-E23622BCD701}"/>
    <cellStyle name="Normal 5 2 2 2 4 6 2 3" xfId="15304" xr:uid="{C51C4BE0-28A8-448E-BC73-08F24666014B}"/>
    <cellStyle name="Normal 5 2 2 2 4 6 3" xfId="19534" xr:uid="{914E18B7-3561-4AAA-9785-02DA14A5E74E}"/>
    <cellStyle name="Normal 5 2 2 2 4 6 4" xfId="11086" xr:uid="{E74C7C99-46DE-4282-B0D3-774B59050154}"/>
    <cellStyle name="Normal 5 2 2 2 4 7" xfId="4789" xr:uid="{00000000-0005-0000-0000-000083170000}"/>
    <cellStyle name="Normal 5 2 2 2 4 7 2" xfId="21687" xr:uid="{2C7F2DC5-1D9C-48E9-9CB8-C101DEB810C2}"/>
    <cellStyle name="Normal 5 2 2 2 4 7 3" xfId="13239" xr:uid="{18EC86B6-6B4D-4701-9831-99011FBE4D7F}"/>
    <cellStyle name="Normal 5 2 2 2 4 8" xfId="17469" xr:uid="{FCFF72CB-6241-40B0-9141-F0B620405651}"/>
    <cellStyle name="Normal 5 2 2 2 4 9" xfId="9021" xr:uid="{69255F55-10AD-4F00-BEAE-525AC664808A}"/>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24238" xr:uid="{141A692F-246A-49FE-A0C2-F4E475417CAA}"/>
    <cellStyle name="Normal 5 2 2 2 5 2 2 3" xfId="15790" xr:uid="{E1C60405-3D15-4D20-8046-40DB327B2CEA}"/>
    <cellStyle name="Normal 5 2 2 2 5 2 3" xfId="20020" xr:uid="{68FCC988-4B15-4072-B2A2-53D33F29C9C4}"/>
    <cellStyle name="Normal 5 2 2 2 5 2 4" xfId="11572" xr:uid="{1D9F5A4D-8724-47B1-ABBA-B192AEEC1CFD}"/>
    <cellStyle name="Normal 5 2 2 2 5 3" xfId="5195" xr:uid="{00000000-0005-0000-0000-000087170000}"/>
    <cellStyle name="Normal 5 2 2 2 5 3 2" xfId="22093" xr:uid="{403C18CB-9076-47DA-9BB6-B227142F67DD}"/>
    <cellStyle name="Normal 5 2 2 2 5 3 3" xfId="13645" xr:uid="{F2803439-6D7B-4E22-8DA0-06805A354AC9}"/>
    <cellStyle name="Normal 5 2 2 2 5 4" xfId="17875" xr:uid="{06EB9947-E466-4E5D-AF71-2FAC30DC7159}"/>
    <cellStyle name="Normal 5 2 2 2 5 5" xfId="9427" xr:uid="{83F34B28-5229-4F6C-BC09-927AEB9AE6D7}"/>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24651" xr:uid="{6502F6A5-2649-45E6-883D-EE38298B4EFB}"/>
    <cellStyle name="Normal 5 2 2 2 6 2 2 3" xfId="16203" xr:uid="{74EF7E3B-9AA7-43AC-913F-4E8076632E3E}"/>
    <cellStyle name="Normal 5 2 2 2 6 2 3" xfId="20433" xr:uid="{FBFEAA1A-C31E-4913-990A-44249EF90A2E}"/>
    <cellStyle name="Normal 5 2 2 2 6 2 4" xfId="11985" xr:uid="{38430B18-AAF4-4204-9EB7-B20288B585B6}"/>
    <cellStyle name="Normal 5 2 2 2 6 3" xfId="5608" xr:uid="{00000000-0005-0000-0000-00008B170000}"/>
    <cellStyle name="Normal 5 2 2 2 6 3 2" xfId="22506" xr:uid="{B0DAD7B3-D5D4-48FB-942B-A0B6EC1CB37D}"/>
    <cellStyle name="Normal 5 2 2 2 6 3 3" xfId="14058" xr:uid="{80B5D508-E6F8-44F0-ABDE-BC786538507C}"/>
    <cellStyle name="Normal 5 2 2 2 6 4" xfId="18288" xr:uid="{B6DDDB2C-08CC-4B6B-890F-3BFE6FFF63A2}"/>
    <cellStyle name="Normal 5 2 2 2 6 5" xfId="9840" xr:uid="{01677298-BF3C-4ACD-9F91-A3D75D1A7DBB}"/>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25064" xr:uid="{26CC3DCA-8E4B-4363-904D-BEEE4FCD8160}"/>
    <cellStyle name="Normal 5 2 2 2 7 2 2 3" xfId="16616" xr:uid="{90CE25B5-6337-413A-8FBE-A1310A86C1F1}"/>
    <cellStyle name="Normal 5 2 2 2 7 2 3" xfId="20846" xr:uid="{EDFA9509-38D8-4091-B687-60215ABEF0AD}"/>
    <cellStyle name="Normal 5 2 2 2 7 2 4" xfId="12398" xr:uid="{EC703CA9-130C-465B-AEB5-96B37027A286}"/>
    <cellStyle name="Normal 5 2 2 2 7 3" xfId="6021" xr:uid="{00000000-0005-0000-0000-00008F170000}"/>
    <cellStyle name="Normal 5 2 2 2 7 3 2" xfId="22919" xr:uid="{BA0E0EE6-1410-4F82-946F-30F942C36971}"/>
    <cellStyle name="Normal 5 2 2 2 7 3 3" xfId="14471" xr:uid="{424BC850-7D04-4C3B-9AE1-A30D5BD4E731}"/>
    <cellStyle name="Normal 5 2 2 2 7 4" xfId="18701" xr:uid="{FB544715-B038-4BBE-AC98-CBFEBBE0E337}"/>
    <cellStyle name="Normal 5 2 2 2 7 5" xfId="10253" xr:uid="{7AF9B5A6-6331-4B7B-9675-9F8622EFB06C}"/>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25477" xr:uid="{8FD940AF-0F9D-4DF9-B59A-895509C9DA15}"/>
    <cellStyle name="Normal 5 2 2 2 8 2 2 3" xfId="17029" xr:uid="{04A65B50-531D-47BD-844E-2B6F43C800AB}"/>
    <cellStyle name="Normal 5 2 2 2 8 2 3" xfId="21259" xr:uid="{0540220C-7C63-499F-8BE8-7FA6C0760FD3}"/>
    <cellStyle name="Normal 5 2 2 2 8 2 4" xfId="12811" xr:uid="{9043F0C0-6B84-4680-9A7B-39088092C8CD}"/>
    <cellStyle name="Normal 5 2 2 2 8 3" xfId="6434" xr:uid="{00000000-0005-0000-0000-000093170000}"/>
    <cellStyle name="Normal 5 2 2 2 8 3 2" xfId="23332" xr:uid="{16EA4029-73E4-4D85-95FA-1D7A639D6169}"/>
    <cellStyle name="Normal 5 2 2 2 8 3 3" xfId="14884" xr:uid="{2BE1B4BE-17C5-4A13-8E1E-4F47D88B31CF}"/>
    <cellStyle name="Normal 5 2 2 2 8 4" xfId="19114" xr:uid="{DCEF9211-0A08-4054-8AA3-82A2E9E78C62}"/>
    <cellStyle name="Normal 5 2 2 2 8 5" xfId="10666" xr:uid="{FA901BE3-B0E5-4830-A836-04BACA306F1B}"/>
    <cellStyle name="Normal 5 2 2 2 9" xfId="2564" xr:uid="{00000000-0005-0000-0000-000094170000}"/>
    <cellStyle name="Normal 5 2 2 2 9 2" xfId="6847" xr:uid="{00000000-0005-0000-0000-000095170000}"/>
    <cellStyle name="Normal 5 2 2 2 9 2 2" xfId="23745" xr:uid="{84456A8A-E747-41AF-B559-A475351F237A}"/>
    <cellStyle name="Normal 5 2 2 2 9 2 3" xfId="15297" xr:uid="{0B5A2D0E-F611-4B95-85E6-2E3BEAA1F98C}"/>
    <cellStyle name="Normal 5 2 2 2 9 3" xfId="19527" xr:uid="{65244F34-6CD4-47A6-9942-7B9E55A2C080}"/>
    <cellStyle name="Normal 5 2 2 2 9 4" xfId="11079" xr:uid="{38B2B642-324F-4D44-99DB-A79535181BC1}"/>
    <cellStyle name="Normal 5 2 2 3" xfId="417" xr:uid="{00000000-0005-0000-0000-000096170000}"/>
    <cellStyle name="Normal 5 2 2 3 10" xfId="17470" xr:uid="{8F4CC949-41D9-4382-938B-57563DFAB32C}"/>
    <cellStyle name="Normal 5 2 2 3 11" xfId="9022" xr:uid="{E5461FF0-6C8A-48A7-9017-F23C42134015}"/>
    <cellStyle name="Normal 5 2 2 3 2" xfId="418" xr:uid="{00000000-0005-0000-0000-000097170000}"/>
    <cellStyle name="Normal 5 2 2 3 2 10" xfId="9023" xr:uid="{09EFC9AF-3095-47E2-B08E-CFA4ADF92E93}"/>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24248" xr:uid="{7328B3B2-35D8-4F27-ABEB-D647C6513F6E}"/>
    <cellStyle name="Normal 5 2 2 3 2 2 2 2 2 3" xfId="15800" xr:uid="{1E18767D-18E9-49B0-8D81-0BDC90B0E6C1}"/>
    <cellStyle name="Normal 5 2 2 3 2 2 2 2 3" xfId="20030" xr:uid="{9B1B6103-19CD-41A9-985B-7FB8F6CF9911}"/>
    <cellStyle name="Normal 5 2 2 3 2 2 2 2 4" xfId="11582" xr:uid="{2F1C0E81-8DF5-4AE7-AFF0-ADEC6D1E0CE7}"/>
    <cellStyle name="Normal 5 2 2 3 2 2 2 3" xfId="5205" xr:uid="{00000000-0005-0000-0000-00009C170000}"/>
    <cellStyle name="Normal 5 2 2 3 2 2 2 3 2" xfId="22103" xr:uid="{167AD4B2-629E-4929-ACDE-75A65F1F6444}"/>
    <cellStyle name="Normal 5 2 2 3 2 2 2 3 3" xfId="13655" xr:uid="{8440D99D-C459-44F7-8143-AA3CCED60A88}"/>
    <cellStyle name="Normal 5 2 2 3 2 2 2 4" xfId="17885" xr:uid="{1F0B5D68-13B3-4C77-8702-B8EEDCDED804}"/>
    <cellStyle name="Normal 5 2 2 3 2 2 2 5" xfId="9437" xr:uid="{E97C50C9-F523-45B0-A4C5-FDD1040DE49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24661" xr:uid="{CAAEF3DE-3CFB-411B-85CB-9BD6F424DD2F}"/>
    <cellStyle name="Normal 5 2 2 3 2 2 3 2 2 3" xfId="16213" xr:uid="{C63CC928-5B05-4D9F-8E17-80757E91875B}"/>
    <cellStyle name="Normal 5 2 2 3 2 2 3 2 3" xfId="20443" xr:uid="{BE19E778-6689-489D-B5A1-4CAD0DCDFDD9}"/>
    <cellStyle name="Normal 5 2 2 3 2 2 3 2 4" xfId="11995" xr:uid="{71DA4E89-96C0-4499-93BF-46731B9208AA}"/>
    <cellStyle name="Normal 5 2 2 3 2 2 3 3" xfId="5618" xr:uid="{00000000-0005-0000-0000-0000A0170000}"/>
    <cellStyle name="Normal 5 2 2 3 2 2 3 3 2" xfId="22516" xr:uid="{7AB9A939-1A61-4885-ACB6-732D491A5B80}"/>
    <cellStyle name="Normal 5 2 2 3 2 2 3 3 3" xfId="14068" xr:uid="{C1392881-355F-4ED9-A8B1-0371B7B62A37}"/>
    <cellStyle name="Normal 5 2 2 3 2 2 3 4" xfId="18298" xr:uid="{3AE95683-7BE5-4B9A-855D-153053A25BAA}"/>
    <cellStyle name="Normal 5 2 2 3 2 2 3 5" xfId="9850" xr:uid="{B6FE3FE0-EEB6-49E9-BFB9-AACF24E6D8FD}"/>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25074" xr:uid="{98E7D1D3-307E-4350-A925-41B712EBAF71}"/>
    <cellStyle name="Normal 5 2 2 3 2 2 4 2 2 3" xfId="16626" xr:uid="{EC1CEA6B-5394-4A24-9DE2-C61613E24D9F}"/>
    <cellStyle name="Normal 5 2 2 3 2 2 4 2 3" xfId="20856" xr:uid="{5B3D4A6C-2664-4420-A599-703C37FB0925}"/>
    <cellStyle name="Normal 5 2 2 3 2 2 4 2 4" xfId="12408" xr:uid="{FB186CBD-72BC-4DE7-94F0-6D7BB2A555CD}"/>
    <cellStyle name="Normal 5 2 2 3 2 2 4 3" xfId="6031" xr:uid="{00000000-0005-0000-0000-0000A4170000}"/>
    <cellStyle name="Normal 5 2 2 3 2 2 4 3 2" xfId="22929" xr:uid="{DE95C78A-0AD1-4FAF-9C36-748A514E8773}"/>
    <cellStyle name="Normal 5 2 2 3 2 2 4 3 3" xfId="14481" xr:uid="{C60B831A-F230-4ECF-A88B-95ED1017532D}"/>
    <cellStyle name="Normal 5 2 2 3 2 2 4 4" xfId="18711" xr:uid="{41693953-CB9B-470F-8003-8249C59CE6D2}"/>
    <cellStyle name="Normal 5 2 2 3 2 2 4 5" xfId="10263" xr:uid="{BFE8A2DA-3C0A-4CE3-9DF0-017D8B8C8C6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25487" xr:uid="{7D6C96C1-D7CB-470E-820B-D5C8E3C89D79}"/>
    <cellStyle name="Normal 5 2 2 3 2 2 5 2 2 3" xfId="17039" xr:uid="{DFA7CF88-9011-4319-8244-E9D19C34A745}"/>
    <cellStyle name="Normal 5 2 2 3 2 2 5 2 3" xfId="21269" xr:uid="{578DFA1F-7E84-4137-8F18-5AF1EA6AA12E}"/>
    <cellStyle name="Normal 5 2 2 3 2 2 5 2 4" xfId="12821" xr:uid="{3E4B3C9A-A9F2-4D78-8938-12A59A2584D7}"/>
    <cellStyle name="Normal 5 2 2 3 2 2 5 3" xfId="6444" xr:uid="{00000000-0005-0000-0000-0000A8170000}"/>
    <cellStyle name="Normal 5 2 2 3 2 2 5 3 2" xfId="23342" xr:uid="{120FB3D4-C009-4F40-A023-83D70C4F404B}"/>
    <cellStyle name="Normal 5 2 2 3 2 2 5 3 3" xfId="14894" xr:uid="{33764F42-A02D-495C-9D33-50D0AB68A6DC}"/>
    <cellStyle name="Normal 5 2 2 3 2 2 5 4" xfId="19124" xr:uid="{01D4CF73-518D-496A-99D5-0990E41D5773}"/>
    <cellStyle name="Normal 5 2 2 3 2 2 5 5" xfId="10676" xr:uid="{98091240-1236-4196-AAF9-04689B63A21C}"/>
    <cellStyle name="Normal 5 2 2 3 2 2 6" xfId="2574" xr:uid="{00000000-0005-0000-0000-0000A9170000}"/>
    <cellStyle name="Normal 5 2 2 3 2 2 6 2" xfId="6857" xr:uid="{00000000-0005-0000-0000-0000AA170000}"/>
    <cellStyle name="Normal 5 2 2 3 2 2 6 2 2" xfId="23755" xr:uid="{271D6450-E9B4-4D96-8792-0AABEEC7EF6E}"/>
    <cellStyle name="Normal 5 2 2 3 2 2 6 2 3" xfId="15307" xr:uid="{0878B94C-23FF-4E41-BE0C-CAA6997A6AF6}"/>
    <cellStyle name="Normal 5 2 2 3 2 2 6 3" xfId="19537" xr:uid="{99E96B2D-C53A-4752-BD99-165DCAD958FE}"/>
    <cellStyle name="Normal 5 2 2 3 2 2 6 4" xfId="11089" xr:uid="{6917E4A4-474B-46CD-8C48-042DFD5A41E1}"/>
    <cellStyle name="Normal 5 2 2 3 2 2 7" xfId="4792" xr:uid="{00000000-0005-0000-0000-0000AB170000}"/>
    <cellStyle name="Normal 5 2 2 3 2 2 7 2" xfId="21690" xr:uid="{8A013589-49AF-4A82-914C-865F98F9F8AB}"/>
    <cellStyle name="Normal 5 2 2 3 2 2 7 3" xfId="13242" xr:uid="{786D8329-012E-4EE0-800A-B8F7C0B199F8}"/>
    <cellStyle name="Normal 5 2 2 3 2 2 8" xfId="17472" xr:uid="{19B7A5C1-CF52-49AF-863B-7A9BC260FC34}"/>
    <cellStyle name="Normal 5 2 2 3 2 2 9" xfId="9024" xr:uid="{6B54F341-21DF-4E8C-9288-6C866BD7AF5A}"/>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24247" xr:uid="{BD53ECA1-F033-4EA8-85AE-E948610CB17E}"/>
    <cellStyle name="Normal 5 2 2 3 2 3 2 2 3" xfId="15799" xr:uid="{6E9A314B-D80A-4194-9247-078CAAAE9EB9}"/>
    <cellStyle name="Normal 5 2 2 3 2 3 2 3" xfId="20029" xr:uid="{2F08640F-5738-4990-8A2F-A62F2511FC44}"/>
    <cellStyle name="Normal 5 2 2 3 2 3 2 4" xfId="11581" xr:uid="{6FBB845F-92A5-4F20-9059-4FBB898DA8C7}"/>
    <cellStyle name="Normal 5 2 2 3 2 3 3" xfId="5204" xr:uid="{00000000-0005-0000-0000-0000AF170000}"/>
    <cellStyle name="Normal 5 2 2 3 2 3 3 2" xfId="22102" xr:uid="{6B3AD9E7-70C9-4525-97EE-3426B96D9EC2}"/>
    <cellStyle name="Normal 5 2 2 3 2 3 3 3" xfId="13654" xr:uid="{7C2D7E74-620A-4065-A2CA-247A2378E27B}"/>
    <cellStyle name="Normal 5 2 2 3 2 3 4" xfId="17884" xr:uid="{4B819CAC-FB61-461C-A7EE-36CA1D28D689}"/>
    <cellStyle name="Normal 5 2 2 3 2 3 5" xfId="9436" xr:uid="{53F2FD96-291D-46D6-AD08-DCA9232F2982}"/>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24660" xr:uid="{DEB2F09F-6887-4352-AF8A-F808928BEE44}"/>
    <cellStyle name="Normal 5 2 2 3 2 4 2 2 3" xfId="16212" xr:uid="{71B044CD-3A03-44C3-962D-C737B68800CE}"/>
    <cellStyle name="Normal 5 2 2 3 2 4 2 3" xfId="20442" xr:uid="{92E3C525-8940-4723-A599-13786E7ECFE2}"/>
    <cellStyle name="Normal 5 2 2 3 2 4 2 4" xfId="11994" xr:uid="{FE686052-2142-4B78-9392-E804C9FDBAF3}"/>
    <cellStyle name="Normal 5 2 2 3 2 4 3" xfId="5617" xr:uid="{00000000-0005-0000-0000-0000B3170000}"/>
    <cellStyle name="Normal 5 2 2 3 2 4 3 2" xfId="22515" xr:uid="{7463F975-605D-45EE-9A7A-A14D226A9774}"/>
    <cellStyle name="Normal 5 2 2 3 2 4 3 3" xfId="14067" xr:uid="{E4858B1A-07B5-4D0D-BA2E-11057201E46F}"/>
    <cellStyle name="Normal 5 2 2 3 2 4 4" xfId="18297" xr:uid="{9EA0C21D-4D34-4A33-B334-729C49E535F0}"/>
    <cellStyle name="Normal 5 2 2 3 2 4 5" xfId="9849" xr:uid="{E7A6D7A3-0B38-4AA4-B71C-C7D038C4FB17}"/>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25073" xr:uid="{2FFCD587-C9AC-4BFC-8C81-D860890C6F45}"/>
    <cellStyle name="Normal 5 2 2 3 2 5 2 2 3" xfId="16625" xr:uid="{D738D8FD-F7F3-4551-BCA2-F108291D71B0}"/>
    <cellStyle name="Normal 5 2 2 3 2 5 2 3" xfId="20855" xr:uid="{6637EB8C-13A5-44C1-806E-F58F8787BB2D}"/>
    <cellStyle name="Normal 5 2 2 3 2 5 2 4" xfId="12407" xr:uid="{80E21AEE-0369-4AFA-A636-3207A06AC04E}"/>
    <cellStyle name="Normal 5 2 2 3 2 5 3" xfId="6030" xr:uid="{00000000-0005-0000-0000-0000B7170000}"/>
    <cellStyle name="Normal 5 2 2 3 2 5 3 2" xfId="22928" xr:uid="{3FF3B425-2728-4646-9D4C-82A74D011DE7}"/>
    <cellStyle name="Normal 5 2 2 3 2 5 3 3" xfId="14480" xr:uid="{984A3366-1979-4C49-9660-679CA9D34C4C}"/>
    <cellStyle name="Normal 5 2 2 3 2 5 4" xfId="18710" xr:uid="{34EC6F43-D5E1-40CE-86B4-5EDED2672916}"/>
    <cellStyle name="Normal 5 2 2 3 2 5 5" xfId="10262" xr:uid="{0F291131-6DA9-4123-A432-FC743EB5FF4C}"/>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25486" xr:uid="{01B35E1C-6FA3-45BF-9FCE-11E9C167CEFE}"/>
    <cellStyle name="Normal 5 2 2 3 2 6 2 2 3" xfId="17038" xr:uid="{45D8D9BC-06AC-4BEC-B9DA-0560D0384300}"/>
    <cellStyle name="Normal 5 2 2 3 2 6 2 3" xfId="21268" xr:uid="{F2F7DE47-7852-4094-8D34-8A3598AE326F}"/>
    <cellStyle name="Normal 5 2 2 3 2 6 2 4" xfId="12820" xr:uid="{E6941A9A-4588-4456-A28C-A38811932DC8}"/>
    <cellStyle name="Normal 5 2 2 3 2 6 3" xfId="6443" xr:uid="{00000000-0005-0000-0000-0000BB170000}"/>
    <cellStyle name="Normal 5 2 2 3 2 6 3 2" xfId="23341" xr:uid="{F495B593-1E6A-4112-9FE1-7E05A5846D22}"/>
    <cellStyle name="Normal 5 2 2 3 2 6 3 3" xfId="14893" xr:uid="{390A95AA-6445-4749-A3DF-8600042FBD7A}"/>
    <cellStyle name="Normal 5 2 2 3 2 6 4" xfId="19123" xr:uid="{8A9A9205-2AA8-4472-AB63-51C4E9098EE9}"/>
    <cellStyle name="Normal 5 2 2 3 2 6 5" xfId="10675" xr:uid="{8E51F9C2-5557-4412-B5C3-A01F93FFF9C1}"/>
    <cellStyle name="Normal 5 2 2 3 2 7" xfId="2573" xr:uid="{00000000-0005-0000-0000-0000BC170000}"/>
    <cellStyle name="Normal 5 2 2 3 2 7 2" xfId="6856" xr:uid="{00000000-0005-0000-0000-0000BD170000}"/>
    <cellStyle name="Normal 5 2 2 3 2 7 2 2" xfId="23754" xr:uid="{04903A96-A2C8-4FC7-A6C5-A838711C9392}"/>
    <cellStyle name="Normal 5 2 2 3 2 7 2 3" xfId="15306" xr:uid="{7F6F1199-9EE9-4963-8534-E3E7CFDAFC29}"/>
    <cellStyle name="Normal 5 2 2 3 2 7 3" xfId="19536" xr:uid="{D333E523-76EC-480F-BA5E-EA7FE4D9CD64}"/>
    <cellStyle name="Normal 5 2 2 3 2 7 4" xfId="11088" xr:uid="{926C9733-8BBF-4438-B117-FA1C78869A67}"/>
    <cellStyle name="Normal 5 2 2 3 2 8" xfId="4791" xr:uid="{00000000-0005-0000-0000-0000BE170000}"/>
    <cellStyle name="Normal 5 2 2 3 2 8 2" xfId="21689" xr:uid="{5C4719D3-AFA1-47A0-9B46-7DB172A9A39B}"/>
    <cellStyle name="Normal 5 2 2 3 2 8 3" xfId="13241" xr:uid="{0FBC5F7B-9A70-4F71-91DE-974023AB1910}"/>
    <cellStyle name="Normal 5 2 2 3 2 9" xfId="17471" xr:uid="{A9FFD6B0-CD67-4FB9-90D2-FB263809B6DB}"/>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24249" xr:uid="{FC5D1102-5ACD-4021-8EBD-EDAD5D047E8F}"/>
    <cellStyle name="Normal 5 2 2 3 3 2 2 2 3" xfId="15801" xr:uid="{E5F6E7FD-C6E9-40B2-BE23-025F1528B6BE}"/>
    <cellStyle name="Normal 5 2 2 3 3 2 2 3" xfId="20031" xr:uid="{7395DB11-2DB5-4BC9-8E05-222B861581B7}"/>
    <cellStyle name="Normal 5 2 2 3 3 2 2 4" xfId="11583" xr:uid="{C6F9D906-EABD-42E6-ACDE-31B6F419547B}"/>
    <cellStyle name="Normal 5 2 2 3 3 2 3" xfId="5206" xr:uid="{00000000-0005-0000-0000-0000C3170000}"/>
    <cellStyle name="Normal 5 2 2 3 3 2 3 2" xfId="22104" xr:uid="{06E92348-0B57-47CB-B100-F1D32DD5AAF5}"/>
    <cellStyle name="Normal 5 2 2 3 3 2 3 3" xfId="13656" xr:uid="{1D399072-0371-4304-B0D1-BDC3416306EA}"/>
    <cellStyle name="Normal 5 2 2 3 3 2 4" xfId="17886" xr:uid="{AF106FB9-FCB3-4D34-9820-3D410CEEFEAB}"/>
    <cellStyle name="Normal 5 2 2 3 3 2 5" xfId="9438" xr:uid="{216DFB1B-A854-4411-B358-929C3983B4B7}"/>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24662" xr:uid="{33CF1621-68A1-4074-8132-8D627DFA7FAD}"/>
    <cellStyle name="Normal 5 2 2 3 3 3 2 2 3" xfId="16214" xr:uid="{3F87CA07-BBB0-44EC-B864-D34FE0D8A281}"/>
    <cellStyle name="Normal 5 2 2 3 3 3 2 3" xfId="20444" xr:uid="{1565F895-A2FF-4099-B25C-EF3895E06502}"/>
    <cellStyle name="Normal 5 2 2 3 3 3 2 4" xfId="11996" xr:uid="{29E1D0FF-4309-409C-B552-9B8F4D41BDB7}"/>
    <cellStyle name="Normal 5 2 2 3 3 3 3" xfId="5619" xr:uid="{00000000-0005-0000-0000-0000C7170000}"/>
    <cellStyle name="Normal 5 2 2 3 3 3 3 2" xfId="22517" xr:uid="{580E1438-3953-4361-A4BA-2FEA1FC93605}"/>
    <cellStyle name="Normal 5 2 2 3 3 3 3 3" xfId="14069" xr:uid="{2BF24782-5027-40E3-8717-312F41A43C21}"/>
    <cellStyle name="Normal 5 2 2 3 3 3 4" xfId="18299" xr:uid="{25A7E483-0BAA-4787-8289-F982DAF55AEE}"/>
    <cellStyle name="Normal 5 2 2 3 3 3 5" xfId="9851" xr:uid="{2B0EAFE2-A453-46A6-B218-8694C55EA88B}"/>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25075" xr:uid="{21B8D790-377A-40C8-A297-EB980F274890}"/>
    <cellStyle name="Normal 5 2 2 3 3 4 2 2 3" xfId="16627" xr:uid="{02A70FC4-AE3D-43FE-ABAB-1A1829BB0EFD}"/>
    <cellStyle name="Normal 5 2 2 3 3 4 2 3" xfId="20857" xr:uid="{9AED459E-52DB-4EA9-BF68-8868EC9D0D7A}"/>
    <cellStyle name="Normal 5 2 2 3 3 4 2 4" xfId="12409" xr:uid="{89572E12-0159-4A00-817A-2EA9BDDF56BB}"/>
    <cellStyle name="Normal 5 2 2 3 3 4 3" xfId="6032" xr:uid="{00000000-0005-0000-0000-0000CB170000}"/>
    <cellStyle name="Normal 5 2 2 3 3 4 3 2" xfId="22930" xr:uid="{66C9E061-4049-4D7F-A049-D743921310FD}"/>
    <cellStyle name="Normal 5 2 2 3 3 4 3 3" xfId="14482" xr:uid="{DBB0CE9E-6EA3-4E3F-A3E6-C50FD2DE7AE2}"/>
    <cellStyle name="Normal 5 2 2 3 3 4 4" xfId="18712" xr:uid="{3D24C739-D52E-4533-A1AE-52E8A9A95D31}"/>
    <cellStyle name="Normal 5 2 2 3 3 4 5" xfId="10264" xr:uid="{595675C8-C2E1-410B-859D-2869BC204BC8}"/>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25488" xr:uid="{27ECC054-F58A-4109-950A-140C6FA4EA06}"/>
    <cellStyle name="Normal 5 2 2 3 3 5 2 2 3" xfId="17040" xr:uid="{91643FCE-0371-4D9C-B942-9EAF82568E86}"/>
    <cellStyle name="Normal 5 2 2 3 3 5 2 3" xfId="21270" xr:uid="{0B4D92FD-BAC6-4BDA-A87C-1AEB019E1AD6}"/>
    <cellStyle name="Normal 5 2 2 3 3 5 2 4" xfId="12822" xr:uid="{3063B3DD-4C58-4CB3-8B1A-6C61640F84A8}"/>
    <cellStyle name="Normal 5 2 2 3 3 5 3" xfId="6445" xr:uid="{00000000-0005-0000-0000-0000CF170000}"/>
    <cellStyle name="Normal 5 2 2 3 3 5 3 2" xfId="23343" xr:uid="{C653E933-7DC3-4817-97A3-4BCE3E909781}"/>
    <cellStyle name="Normal 5 2 2 3 3 5 3 3" xfId="14895" xr:uid="{F0AEBAC9-6FF8-4D29-A2D2-922072A57BC5}"/>
    <cellStyle name="Normal 5 2 2 3 3 5 4" xfId="19125" xr:uid="{20599224-46C5-476C-8E37-A14E1671FE10}"/>
    <cellStyle name="Normal 5 2 2 3 3 5 5" xfId="10677" xr:uid="{DD7FF19F-A23A-4993-979E-134E589964A3}"/>
    <cellStyle name="Normal 5 2 2 3 3 6" xfId="2575" xr:uid="{00000000-0005-0000-0000-0000D0170000}"/>
    <cellStyle name="Normal 5 2 2 3 3 6 2" xfId="6858" xr:uid="{00000000-0005-0000-0000-0000D1170000}"/>
    <cellStyle name="Normal 5 2 2 3 3 6 2 2" xfId="23756" xr:uid="{62131A50-8334-413E-B70A-9E54C688DFC3}"/>
    <cellStyle name="Normal 5 2 2 3 3 6 2 3" xfId="15308" xr:uid="{83B63DA9-6507-403E-9F07-16F09F75516D}"/>
    <cellStyle name="Normal 5 2 2 3 3 6 3" xfId="19538" xr:uid="{DE808375-5CCA-46DB-AAF2-E0DEE18AA977}"/>
    <cellStyle name="Normal 5 2 2 3 3 6 4" xfId="11090" xr:uid="{78481D76-595D-4962-BBE7-DC0423F6587B}"/>
    <cellStyle name="Normal 5 2 2 3 3 7" xfId="4793" xr:uid="{00000000-0005-0000-0000-0000D2170000}"/>
    <cellStyle name="Normal 5 2 2 3 3 7 2" xfId="21691" xr:uid="{ED6308C2-15DE-4396-BDC6-FA0E0A5FA039}"/>
    <cellStyle name="Normal 5 2 2 3 3 7 3" xfId="13243" xr:uid="{4A87614D-0B51-468B-8C03-E44D3DD3C5C4}"/>
    <cellStyle name="Normal 5 2 2 3 3 8" xfId="17473" xr:uid="{B63357B6-CBF8-46C8-9359-00911D528269}"/>
    <cellStyle name="Normal 5 2 2 3 3 9" xfId="9025" xr:uid="{9E12D4D9-A77C-4CE4-B03B-71E68AF9197B}"/>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24246" xr:uid="{A5C065A8-2248-4A7C-8322-08D79F7814FE}"/>
    <cellStyle name="Normal 5 2 2 3 4 2 2 3" xfId="15798" xr:uid="{764A2FAF-6ED3-4EC3-AEB4-11BB0A23C8E4}"/>
    <cellStyle name="Normal 5 2 2 3 4 2 3" xfId="20028" xr:uid="{A8E27E4D-17A7-4EA6-B693-F389FBB0D579}"/>
    <cellStyle name="Normal 5 2 2 3 4 2 4" xfId="11580" xr:uid="{2CEF5F57-4573-45FB-8BAD-AAE22EE22A97}"/>
    <cellStyle name="Normal 5 2 2 3 4 3" xfId="5203" xr:uid="{00000000-0005-0000-0000-0000D6170000}"/>
    <cellStyle name="Normal 5 2 2 3 4 3 2" xfId="22101" xr:uid="{256484EB-5206-4F15-A8C6-731D76AA0F8F}"/>
    <cellStyle name="Normal 5 2 2 3 4 3 3" xfId="13653" xr:uid="{4B7A096D-D33B-4DBB-AD4F-4BB821D3BFA0}"/>
    <cellStyle name="Normal 5 2 2 3 4 4" xfId="17883" xr:uid="{166DEC10-EA93-440B-BD16-063CC36F3856}"/>
    <cellStyle name="Normal 5 2 2 3 4 5" xfId="9435" xr:uid="{5CDB1FE5-BC2B-4F7B-87A3-0AB6B2817BED}"/>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24659" xr:uid="{0B46433F-A96B-4CD8-B853-9E6CD4E4DC2A}"/>
    <cellStyle name="Normal 5 2 2 3 5 2 2 3" xfId="16211" xr:uid="{FAE72226-0EF2-4E46-B547-D70A9DA61B73}"/>
    <cellStyle name="Normal 5 2 2 3 5 2 3" xfId="20441" xr:uid="{54404BF2-2B7A-4C8B-9419-D064899087E1}"/>
    <cellStyle name="Normal 5 2 2 3 5 2 4" xfId="11993" xr:uid="{665B5960-7184-4648-8BC9-02655346B0C1}"/>
    <cellStyle name="Normal 5 2 2 3 5 3" xfId="5616" xr:uid="{00000000-0005-0000-0000-0000DA170000}"/>
    <cellStyle name="Normal 5 2 2 3 5 3 2" xfId="22514" xr:uid="{2C754C2C-42A2-4F8D-B24B-E05DD6A3644E}"/>
    <cellStyle name="Normal 5 2 2 3 5 3 3" xfId="14066" xr:uid="{231BB1F5-E7EB-42F6-8E96-22CD89E7B9DA}"/>
    <cellStyle name="Normal 5 2 2 3 5 4" xfId="18296" xr:uid="{BB81CAC8-9AFE-41CF-850D-1C8CA51094BC}"/>
    <cellStyle name="Normal 5 2 2 3 5 5" xfId="9848" xr:uid="{75B3E9FE-442A-4C02-9076-B1A7EC8875DB}"/>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25072" xr:uid="{43E1F282-7B52-4923-855D-76C98E06EB40}"/>
    <cellStyle name="Normal 5 2 2 3 6 2 2 3" xfId="16624" xr:uid="{7C9F93B7-4E29-4067-808F-9FA0E7FB35C4}"/>
    <cellStyle name="Normal 5 2 2 3 6 2 3" xfId="20854" xr:uid="{A4204ADF-D919-407A-8FAD-18B9DBA30592}"/>
    <cellStyle name="Normal 5 2 2 3 6 2 4" xfId="12406" xr:uid="{3D420587-6B2F-443A-8F4C-1A03F0EDD2A1}"/>
    <cellStyle name="Normal 5 2 2 3 6 3" xfId="6029" xr:uid="{00000000-0005-0000-0000-0000DE170000}"/>
    <cellStyle name="Normal 5 2 2 3 6 3 2" xfId="22927" xr:uid="{87C0942B-1FD2-46CE-87DF-10577FCFD6B3}"/>
    <cellStyle name="Normal 5 2 2 3 6 3 3" xfId="14479" xr:uid="{4D210E6E-F360-472E-96BB-CDAEE140F5CC}"/>
    <cellStyle name="Normal 5 2 2 3 6 4" xfId="18709" xr:uid="{16A5BE70-F84D-4431-BCFC-A3E4AC3D4FEA}"/>
    <cellStyle name="Normal 5 2 2 3 6 5" xfId="10261" xr:uid="{150D86C7-227A-4C91-BC8F-2ECA5812DA78}"/>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25485" xr:uid="{C2AD402B-460A-45E8-8CEB-C5B295366B0D}"/>
    <cellStyle name="Normal 5 2 2 3 7 2 2 3" xfId="17037" xr:uid="{360BE0EE-1477-4DDB-8FC4-41B0FB3433BD}"/>
    <cellStyle name="Normal 5 2 2 3 7 2 3" xfId="21267" xr:uid="{3F4B82CA-781E-4E88-9BA8-93DE4050E47A}"/>
    <cellStyle name="Normal 5 2 2 3 7 2 4" xfId="12819" xr:uid="{98F398E3-1854-4ED1-9F76-33A3F86DDA8A}"/>
    <cellStyle name="Normal 5 2 2 3 7 3" xfId="6442" xr:uid="{00000000-0005-0000-0000-0000E2170000}"/>
    <cellStyle name="Normal 5 2 2 3 7 3 2" xfId="23340" xr:uid="{A861B686-4252-4687-9CBB-6490C48E076D}"/>
    <cellStyle name="Normal 5 2 2 3 7 3 3" xfId="14892" xr:uid="{64D8D178-9728-401F-A47A-6799E5B02159}"/>
    <cellStyle name="Normal 5 2 2 3 7 4" xfId="19122" xr:uid="{962A7903-9E0B-4DE6-AA5C-FB8BC6794A1B}"/>
    <cellStyle name="Normal 5 2 2 3 7 5" xfId="10674" xr:uid="{03EF3D6A-D42E-45DD-B4B3-465B22A08E0A}"/>
    <cellStyle name="Normal 5 2 2 3 8" xfId="2572" xr:uid="{00000000-0005-0000-0000-0000E3170000}"/>
    <cellStyle name="Normal 5 2 2 3 8 2" xfId="6855" xr:uid="{00000000-0005-0000-0000-0000E4170000}"/>
    <cellStyle name="Normal 5 2 2 3 8 2 2" xfId="23753" xr:uid="{A93DF1CA-E44E-418C-9D8B-9150E42D77C7}"/>
    <cellStyle name="Normal 5 2 2 3 8 2 3" xfId="15305" xr:uid="{56FF81ED-08CA-4698-B82A-314BC455E6FF}"/>
    <cellStyle name="Normal 5 2 2 3 8 3" xfId="19535" xr:uid="{0E4EEE82-D871-4047-980D-212AF9EFD972}"/>
    <cellStyle name="Normal 5 2 2 3 8 4" xfId="11087" xr:uid="{1544C507-9CB6-466A-B3F4-27E52A026677}"/>
    <cellStyle name="Normal 5 2 2 3 9" xfId="4790" xr:uid="{00000000-0005-0000-0000-0000E5170000}"/>
    <cellStyle name="Normal 5 2 2 3 9 2" xfId="21688" xr:uid="{A4EE92F0-4EC5-48F2-A59C-0055F98DF3E6}"/>
    <cellStyle name="Normal 5 2 2 3 9 3" xfId="13240" xr:uid="{3462869D-CC19-4F1E-85C6-B57061FD5C3A}"/>
    <cellStyle name="Normal 5 2 2 4" xfId="421" xr:uid="{00000000-0005-0000-0000-0000E6170000}"/>
    <cellStyle name="Normal 5 2 2 4 10" xfId="9026" xr:uid="{3658ABBC-EFC3-4F6D-AD84-568537806071}"/>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24251" xr:uid="{C20F9518-354D-4A71-9863-24E95BC82C45}"/>
    <cellStyle name="Normal 5 2 2 4 2 2 2 2 3" xfId="15803" xr:uid="{3C10D8B3-35D8-4F43-8B9B-B8070CDF5AAA}"/>
    <cellStyle name="Normal 5 2 2 4 2 2 2 3" xfId="20033" xr:uid="{B19E0C1C-30EA-4319-B01E-5A0CB64F4C59}"/>
    <cellStyle name="Normal 5 2 2 4 2 2 2 4" xfId="11585" xr:uid="{33EACBF9-6FCD-49FC-B490-2021E16CF6F7}"/>
    <cellStyle name="Normal 5 2 2 4 2 2 3" xfId="5208" xr:uid="{00000000-0005-0000-0000-0000EB170000}"/>
    <cellStyle name="Normal 5 2 2 4 2 2 3 2" xfId="22106" xr:uid="{C6E11FC7-9EC3-47FA-AC04-432FD8B0FD56}"/>
    <cellStyle name="Normal 5 2 2 4 2 2 3 3" xfId="13658" xr:uid="{FFB1A5BD-83FD-41F8-A8EB-DE7605222A4F}"/>
    <cellStyle name="Normal 5 2 2 4 2 2 4" xfId="17888" xr:uid="{0441301F-4C07-4386-9BB4-8D5007847D76}"/>
    <cellStyle name="Normal 5 2 2 4 2 2 5" xfId="9440" xr:uid="{69FD0E07-DF18-473B-80F2-CCF311FF4B9C}"/>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24664" xr:uid="{65D82190-A218-4192-9AD5-FEE6AB4379CF}"/>
    <cellStyle name="Normal 5 2 2 4 2 3 2 2 3" xfId="16216" xr:uid="{AFDEE9BE-A37B-4E3B-83B6-50CA0F4A062A}"/>
    <cellStyle name="Normal 5 2 2 4 2 3 2 3" xfId="20446" xr:uid="{154EE1B8-CD57-41FB-945B-FA06CABFE21E}"/>
    <cellStyle name="Normal 5 2 2 4 2 3 2 4" xfId="11998" xr:uid="{BEF805F7-7502-48D6-A7C7-1885C256A34D}"/>
    <cellStyle name="Normal 5 2 2 4 2 3 3" xfId="5621" xr:uid="{00000000-0005-0000-0000-0000EF170000}"/>
    <cellStyle name="Normal 5 2 2 4 2 3 3 2" xfId="22519" xr:uid="{D34757BE-2360-4F12-817F-4655B87132C7}"/>
    <cellStyle name="Normal 5 2 2 4 2 3 3 3" xfId="14071" xr:uid="{15C293C7-3A92-4A7E-8437-FDDC5A34C01F}"/>
    <cellStyle name="Normal 5 2 2 4 2 3 4" xfId="18301" xr:uid="{E94F3B95-8A11-4F78-87BF-95B05EA208BE}"/>
    <cellStyle name="Normal 5 2 2 4 2 3 5" xfId="9853" xr:uid="{574CC54A-804C-47B6-AA5A-C319D5D6BC66}"/>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25077" xr:uid="{D2E3CF2B-4BA7-4E1C-B1DC-90DBD5F163D6}"/>
    <cellStyle name="Normal 5 2 2 4 2 4 2 2 3" xfId="16629" xr:uid="{831FB2E1-A246-4422-A919-76EFFEEA1309}"/>
    <cellStyle name="Normal 5 2 2 4 2 4 2 3" xfId="20859" xr:uid="{86B7E615-6F34-48FE-8F51-7A54FD5BADE2}"/>
    <cellStyle name="Normal 5 2 2 4 2 4 2 4" xfId="12411" xr:uid="{8903AA2C-271F-4AE8-8FFA-77DA390B923C}"/>
    <cellStyle name="Normal 5 2 2 4 2 4 3" xfId="6034" xr:uid="{00000000-0005-0000-0000-0000F3170000}"/>
    <cellStyle name="Normal 5 2 2 4 2 4 3 2" xfId="22932" xr:uid="{FB4DB9B9-963B-421E-8793-CD756EB44717}"/>
    <cellStyle name="Normal 5 2 2 4 2 4 3 3" xfId="14484" xr:uid="{A189E65D-2FB7-4CA0-B24F-033F2220C8E9}"/>
    <cellStyle name="Normal 5 2 2 4 2 4 4" xfId="18714" xr:uid="{B18A8DAB-A5AD-4EE7-9DA9-24F8ED175B96}"/>
    <cellStyle name="Normal 5 2 2 4 2 4 5" xfId="10266" xr:uid="{BF1F23EE-9EFE-4A20-82BD-EDB00D01785D}"/>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25490" xr:uid="{AFF69DD5-21C1-4061-8396-86C3F4EB7F08}"/>
    <cellStyle name="Normal 5 2 2 4 2 5 2 2 3" xfId="17042" xr:uid="{7269FBD4-E082-4EA1-971D-405C81DFB22B}"/>
    <cellStyle name="Normal 5 2 2 4 2 5 2 3" xfId="21272" xr:uid="{5536111D-C618-4048-929B-926B427739F8}"/>
    <cellStyle name="Normal 5 2 2 4 2 5 2 4" xfId="12824" xr:uid="{A6960E70-C84D-4C7C-88F0-590B67893A02}"/>
    <cellStyle name="Normal 5 2 2 4 2 5 3" xfId="6447" xr:uid="{00000000-0005-0000-0000-0000F7170000}"/>
    <cellStyle name="Normal 5 2 2 4 2 5 3 2" xfId="23345" xr:uid="{265B2CD8-1DDE-428F-9267-71F80111A136}"/>
    <cellStyle name="Normal 5 2 2 4 2 5 3 3" xfId="14897" xr:uid="{DD80B232-4C3D-4776-AB56-7DFE8FE9C5DF}"/>
    <cellStyle name="Normal 5 2 2 4 2 5 4" xfId="19127" xr:uid="{55292301-D69E-4841-9E85-78A73B771219}"/>
    <cellStyle name="Normal 5 2 2 4 2 5 5" xfId="10679" xr:uid="{436656C8-2E13-4FA7-9EC7-357D2AD75A18}"/>
    <cellStyle name="Normal 5 2 2 4 2 6" xfId="2577" xr:uid="{00000000-0005-0000-0000-0000F8170000}"/>
    <cellStyle name="Normal 5 2 2 4 2 6 2" xfId="6860" xr:uid="{00000000-0005-0000-0000-0000F9170000}"/>
    <cellStyle name="Normal 5 2 2 4 2 6 2 2" xfId="23758" xr:uid="{522DD87F-2D76-4100-A74C-786D066C77F4}"/>
    <cellStyle name="Normal 5 2 2 4 2 6 2 3" xfId="15310" xr:uid="{A1D252C0-7372-477B-A57A-6B26AA85566E}"/>
    <cellStyle name="Normal 5 2 2 4 2 6 3" xfId="19540" xr:uid="{9B08F241-AD8A-459F-9BCE-E723FF76F5B2}"/>
    <cellStyle name="Normal 5 2 2 4 2 6 4" xfId="11092" xr:uid="{0915B79E-3A34-4ABC-9EC1-905EE434C298}"/>
    <cellStyle name="Normal 5 2 2 4 2 7" xfId="4795" xr:uid="{00000000-0005-0000-0000-0000FA170000}"/>
    <cellStyle name="Normal 5 2 2 4 2 7 2" xfId="21693" xr:uid="{E331D704-4200-492F-B48C-50A543AD3B85}"/>
    <cellStyle name="Normal 5 2 2 4 2 7 3" xfId="13245" xr:uid="{13A6F882-90A5-4297-8796-FAA59AD33A08}"/>
    <cellStyle name="Normal 5 2 2 4 2 8" xfId="17475" xr:uid="{1B52E15D-A197-4222-9244-795A9EBDA84E}"/>
    <cellStyle name="Normal 5 2 2 4 2 9" xfId="9027" xr:uid="{517DBFC0-F51B-4210-A472-39E9DB1D17FF}"/>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24250" xr:uid="{4E101C53-013C-4700-8538-D153B6E5EC53}"/>
    <cellStyle name="Normal 5 2 2 4 3 2 2 3" xfId="15802" xr:uid="{A12C1E1C-0280-479E-A18B-8575D945D238}"/>
    <cellStyle name="Normal 5 2 2 4 3 2 3" xfId="20032" xr:uid="{ADA2B2B0-14B9-4E21-8D55-3B5930AF5010}"/>
    <cellStyle name="Normal 5 2 2 4 3 2 4" xfId="11584" xr:uid="{D19E8DC7-02B4-4707-BD07-453D745E1B76}"/>
    <cellStyle name="Normal 5 2 2 4 3 3" xfId="5207" xr:uid="{00000000-0005-0000-0000-0000FE170000}"/>
    <cellStyle name="Normal 5 2 2 4 3 3 2" xfId="22105" xr:uid="{5971D7BC-70D1-4F39-A870-8D34ED906430}"/>
    <cellStyle name="Normal 5 2 2 4 3 3 3" xfId="13657" xr:uid="{D82C5AF7-3927-4157-A2E8-C99BDE431704}"/>
    <cellStyle name="Normal 5 2 2 4 3 4" xfId="17887" xr:uid="{1B7BDFCF-5A94-42CD-9CB5-0A6549DD5983}"/>
    <cellStyle name="Normal 5 2 2 4 3 5" xfId="9439" xr:uid="{78E3AD4D-4324-4E27-9DA5-C2B511D7FFB3}"/>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24663" xr:uid="{9E42591A-5DA4-47E8-8F88-21C0ADEA76B2}"/>
    <cellStyle name="Normal 5 2 2 4 4 2 2 3" xfId="16215" xr:uid="{98AF2145-2A68-460E-9B17-F4A15E8EFE30}"/>
    <cellStyle name="Normal 5 2 2 4 4 2 3" xfId="20445" xr:uid="{EFB117BD-3058-4DA2-9987-41D83E2725D4}"/>
    <cellStyle name="Normal 5 2 2 4 4 2 4" xfId="11997" xr:uid="{EAEC47F1-5A57-4CA8-9263-281B7422E555}"/>
    <cellStyle name="Normal 5 2 2 4 4 3" xfId="5620" xr:uid="{00000000-0005-0000-0000-000002180000}"/>
    <cellStyle name="Normal 5 2 2 4 4 3 2" xfId="22518" xr:uid="{A07F7EDB-9EB5-4845-A18A-18525CDB54F0}"/>
    <cellStyle name="Normal 5 2 2 4 4 3 3" xfId="14070" xr:uid="{DEBBCACE-76F7-4BF0-A2CC-F0F9948D3558}"/>
    <cellStyle name="Normal 5 2 2 4 4 4" xfId="18300" xr:uid="{8F808D10-9FE9-4079-AB01-343BC62260AD}"/>
    <cellStyle name="Normal 5 2 2 4 4 5" xfId="9852" xr:uid="{DCDB2070-4B98-4E93-9792-A049D0A8AA5B}"/>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25076" xr:uid="{B19B9184-2918-404C-B1CB-C0298FF659F6}"/>
    <cellStyle name="Normal 5 2 2 4 5 2 2 3" xfId="16628" xr:uid="{A72E3478-DB74-4D71-8AAB-154D77BEC82B}"/>
    <cellStyle name="Normal 5 2 2 4 5 2 3" xfId="20858" xr:uid="{2859037F-9F55-42B2-8CC6-E73C6683E184}"/>
    <cellStyle name="Normal 5 2 2 4 5 2 4" xfId="12410" xr:uid="{281E8A61-A951-4DB8-8300-27715904929B}"/>
    <cellStyle name="Normal 5 2 2 4 5 3" xfId="6033" xr:uid="{00000000-0005-0000-0000-000006180000}"/>
    <cellStyle name="Normal 5 2 2 4 5 3 2" xfId="22931" xr:uid="{956259C1-9622-4844-A660-323494C52853}"/>
    <cellStyle name="Normal 5 2 2 4 5 3 3" xfId="14483" xr:uid="{7BFEFFA9-9493-44F9-A55A-E45D40A4979A}"/>
    <cellStyle name="Normal 5 2 2 4 5 4" xfId="18713" xr:uid="{E500CAB0-E5EB-4174-9BE3-E79D74A29196}"/>
    <cellStyle name="Normal 5 2 2 4 5 5" xfId="10265" xr:uid="{AF6F7AA2-478F-4074-A81A-F51FC76226F3}"/>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25489" xr:uid="{8357C241-0973-4019-A7AB-AB47EC029133}"/>
    <cellStyle name="Normal 5 2 2 4 6 2 2 3" xfId="17041" xr:uid="{167BBA11-EC5C-4052-BD6F-6F9A075DE06E}"/>
    <cellStyle name="Normal 5 2 2 4 6 2 3" xfId="21271" xr:uid="{88DAD3A2-1CF7-461B-8408-023CDE7C5948}"/>
    <cellStyle name="Normal 5 2 2 4 6 2 4" xfId="12823" xr:uid="{45ED2C86-B8B2-4194-9C32-6D03E182B7F3}"/>
    <cellStyle name="Normal 5 2 2 4 6 3" xfId="6446" xr:uid="{00000000-0005-0000-0000-00000A180000}"/>
    <cellStyle name="Normal 5 2 2 4 6 3 2" xfId="23344" xr:uid="{B3D5AD6E-097B-4680-93AD-343E98E857A2}"/>
    <cellStyle name="Normal 5 2 2 4 6 3 3" xfId="14896" xr:uid="{7141DE79-0984-47C7-B67B-89D0594DDF62}"/>
    <cellStyle name="Normal 5 2 2 4 6 4" xfId="19126" xr:uid="{CB35EC92-5D80-426A-B25F-3CF069A2C193}"/>
    <cellStyle name="Normal 5 2 2 4 6 5" xfId="10678" xr:uid="{88624153-CCED-49C5-BACC-FA96B6F85E5C}"/>
    <cellStyle name="Normal 5 2 2 4 7" xfId="2576" xr:uid="{00000000-0005-0000-0000-00000B180000}"/>
    <cellStyle name="Normal 5 2 2 4 7 2" xfId="6859" xr:uid="{00000000-0005-0000-0000-00000C180000}"/>
    <cellStyle name="Normal 5 2 2 4 7 2 2" xfId="23757" xr:uid="{B96D230A-6FBE-455E-9396-AF043C65D76A}"/>
    <cellStyle name="Normal 5 2 2 4 7 2 3" xfId="15309" xr:uid="{27B45DE3-DA52-45F3-BC75-E87D7E841109}"/>
    <cellStyle name="Normal 5 2 2 4 7 3" xfId="19539" xr:uid="{4AB61474-F2E1-4A08-87A4-674F11153D66}"/>
    <cellStyle name="Normal 5 2 2 4 7 4" xfId="11091" xr:uid="{20CF8C25-2487-4DD6-99ED-0E5235F81E25}"/>
    <cellStyle name="Normal 5 2 2 4 8" xfId="4794" xr:uid="{00000000-0005-0000-0000-00000D180000}"/>
    <cellStyle name="Normal 5 2 2 4 8 2" xfId="21692" xr:uid="{C9055BFD-137A-43A2-890B-5426D044A500}"/>
    <cellStyle name="Normal 5 2 2 4 8 3" xfId="13244" xr:uid="{EC66244C-9C9B-4262-928A-176AF7BF404A}"/>
    <cellStyle name="Normal 5 2 2 4 9" xfId="17474" xr:uid="{14241BB8-740D-49F1-A026-332D19D5EAB9}"/>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24252" xr:uid="{9D830B86-619B-4A62-BB08-A65F84849A9D}"/>
    <cellStyle name="Normal 5 2 2 5 2 2 2 3" xfId="15804" xr:uid="{42FBABA1-1F51-4C5E-8810-7D4B751500C4}"/>
    <cellStyle name="Normal 5 2 2 5 2 2 3" xfId="20034" xr:uid="{A0A46B4F-8A6D-4737-8D6E-F20749B79246}"/>
    <cellStyle name="Normal 5 2 2 5 2 2 4" xfId="11586" xr:uid="{C5E2DB9A-32C8-4749-95D8-727B76423126}"/>
    <cellStyle name="Normal 5 2 2 5 2 3" xfId="5209" xr:uid="{00000000-0005-0000-0000-000012180000}"/>
    <cellStyle name="Normal 5 2 2 5 2 3 2" xfId="22107" xr:uid="{3274DB99-5DCD-4A06-BD86-FC0158A228C8}"/>
    <cellStyle name="Normal 5 2 2 5 2 3 3" xfId="13659" xr:uid="{6A63148A-29FE-4059-A24D-8CFE70F95605}"/>
    <cellStyle name="Normal 5 2 2 5 2 4" xfId="17889" xr:uid="{26AFABBF-82F1-427C-AE8D-9238389D4C2B}"/>
    <cellStyle name="Normal 5 2 2 5 2 5" xfId="9441" xr:uid="{E8E12E51-3DE8-4DEB-904D-81779C0D0005}"/>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24665" xr:uid="{DE0B73C3-EA9A-4384-8349-CA5A01F2580F}"/>
    <cellStyle name="Normal 5 2 2 5 3 2 2 3" xfId="16217" xr:uid="{6767124B-1103-4995-B35A-37468FA8637F}"/>
    <cellStyle name="Normal 5 2 2 5 3 2 3" xfId="20447" xr:uid="{C3823DC0-D30F-460E-AAC5-0C1F3B6207F5}"/>
    <cellStyle name="Normal 5 2 2 5 3 2 4" xfId="11999" xr:uid="{668A4150-4E9A-40BB-BAA8-E9C57EF582EA}"/>
    <cellStyle name="Normal 5 2 2 5 3 3" xfId="5622" xr:uid="{00000000-0005-0000-0000-000016180000}"/>
    <cellStyle name="Normal 5 2 2 5 3 3 2" xfId="22520" xr:uid="{AB231A84-8E55-4A72-A4A6-E716D5D1737C}"/>
    <cellStyle name="Normal 5 2 2 5 3 3 3" xfId="14072" xr:uid="{8B6D4398-1D87-4902-9F1F-44CCA8EA27E5}"/>
    <cellStyle name="Normal 5 2 2 5 3 4" xfId="18302" xr:uid="{7C9D9818-4BC2-44A6-89E9-D76D8074EC38}"/>
    <cellStyle name="Normal 5 2 2 5 3 5" xfId="9854" xr:uid="{2096E896-41DA-4E18-8F84-9AFEC211BD21}"/>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25078" xr:uid="{2035D617-ED7C-487A-A0B6-5EC4CD86B422}"/>
    <cellStyle name="Normal 5 2 2 5 4 2 2 3" xfId="16630" xr:uid="{7D556678-7A02-4E75-A8F0-93A80820C5A3}"/>
    <cellStyle name="Normal 5 2 2 5 4 2 3" xfId="20860" xr:uid="{3E41B156-30B4-440D-8B19-00F97C12548B}"/>
    <cellStyle name="Normal 5 2 2 5 4 2 4" xfId="12412" xr:uid="{32748B3A-BDA7-4C1A-8EDF-043051983B45}"/>
    <cellStyle name="Normal 5 2 2 5 4 3" xfId="6035" xr:uid="{00000000-0005-0000-0000-00001A180000}"/>
    <cellStyle name="Normal 5 2 2 5 4 3 2" xfId="22933" xr:uid="{F33FB003-46D9-4123-BB61-64B9654997CD}"/>
    <cellStyle name="Normal 5 2 2 5 4 3 3" xfId="14485" xr:uid="{58DA3842-FF08-43E3-8F40-810A1B9E6249}"/>
    <cellStyle name="Normal 5 2 2 5 4 4" xfId="18715" xr:uid="{1A4AF709-B036-4231-95BF-4051CDE63148}"/>
    <cellStyle name="Normal 5 2 2 5 4 5" xfId="10267" xr:uid="{E061F31E-0C76-489C-8065-66420FE80D83}"/>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25491" xr:uid="{AA0A907D-A1C9-4CF1-A356-15A282BF3C2D}"/>
    <cellStyle name="Normal 5 2 2 5 5 2 2 3" xfId="17043" xr:uid="{5248E8FA-81B0-43D4-8497-CF6D235761B0}"/>
    <cellStyle name="Normal 5 2 2 5 5 2 3" xfId="21273" xr:uid="{C2F39667-5C1C-48B0-A0E2-58D5CFAFED03}"/>
    <cellStyle name="Normal 5 2 2 5 5 2 4" xfId="12825" xr:uid="{86D520EE-F53F-4135-907C-D98E490C4C11}"/>
    <cellStyle name="Normal 5 2 2 5 5 3" xfId="6448" xr:uid="{00000000-0005-0000-0000-00001E180000}"/>
    <cellStyle name="Normal 5 2 2 5 5 3 2" xfId="23346" xr:uid="{F0A94933-3932-4564-AF8F-AD61DBD47D57}"/>
    <cellStyle name="Normal 5 2 2 5 5 3 3" xfId="14898" xr:uid="{B8E6E816-B51F-4257-9CC9-852E50133AD2}"/>
    <cellStyle name="Normal 5 2 2 5 5 4" xfId="19128" xr:uid="{FB7CF7FD-406D-466B-80CF-BDA7223E2EF6}"/>
    <cellStyle name="Normal 5 2 2 5 5 5" xfId="10680" xr:uid="{17D85E1F-0932-4F69-827C-EB84421420C0}"/>
    <cellStyle name="Normal 5 2 2 5 6" xfId="2578" xr:uid="{00000000-0005-0000-0000-00001F180000}"/>
    <cellStyle name="Normal 5 2 2 5 6 2" xfId="6861" xr:uid="{00000000-0005-0000-0000-000020180000}"/>
    <cellStyle name="Normal 5 2 2 5 6 2 2" xfId="23759" xr:uid="{E9615462-3FCC-48FC-A6DC-AFB278433570}"/>
    <cellStyle name="Normal 5 2 2 5 6 2 3" xfId="15311" xr:uid="{B4680A9D-59FE-494A-B750-1AED85F09C51}"/>
    <cellStyle name="Normal 5 2 2 5 6 3" xfId="19541" xr:uid="{9DFC230F-0D2A-4DD2-A3CF-2FF29EC269B5}"/>
    <cellStyle name="Normal 5 2 2 5 6 4" xfId="11093" xr:uid="{99E981BF-6A15-4B30-AFA3-844000F693AA}"/>
    <cellStyle name="Normal 5 2 2 5 7" xfId="4796" xr:uid="{00000000-0005-0000-0000-000021180000}"/>
    <cellStyle name="Normal 5 2 2 5 7 2" xfId="21694" xr:uid="{9BAD0AF8-3353-4E6C-8D54-FD65CB71E646}"/>
    <cellStyle name="Normal 5 2 2 5 7 3" xfId="13246" xr:uid="{2E4853D8-0B7D-4301-B510-9949DC36C4DE}"/>
    <cellStyle name="Normal 5 2 2 5 8" xfId="17476" xr:uid="{04A2CD3E-D4D9-47D7-A763-8427C54BEDAC}"/>
    <cellStyle name="Normal 5 2 2 5 9" xfId="9028" xr:uid="{446DC4E8-29D6-4709-A0DA-2936F67957A7}"/>
    <cellStyle name="Normal 5 2 2 6" xfId="882" xr:uid="{00000000-0005-0000-0000-000022180000}"/>
    <cellStyle name="Normal 5 2 2 6 2" xfId="3117" xr:uid="{00000000-0005-0000-0000-000023180000}"/>
    <cellStyle name="Normal 5 2 2 6 2 2" xfId="7339" xr:uid="{00000000-0005-0000-0000-000024180000}"/>
    <cellStyle name="Normal 5 2 2 6 2 2 2" xfId="24237" xr:uid="{E18BAA30-B34D-429A-A840-8DEEF537F409}"/>
    <cellStyle name="Normal 5 2 2 6 2 2 3" xfId="15789" xr:uid="{304A0907-1A61-4E1C-A3C3-2BFF25F29971}"/>
    <cellStyle name="Normal 5 2 2 6 2 3" xfId="20019" xr:uid="{EB1931BC-57EE-4B24-9D56-886AFD423EC9}"/>
    <cellStyle name="Normal 5 2 2 6 2 4" xfId="11571" xr:uid="{596D52FA-A18E-4A59-BB8B-48313E5BC23E}"/>
    <cellStyle name="Normal 5 2 2 6 3" xfId="5194" xr:uid="{00000000-0005-0000-0000-000025180000}"/>
    <cellStyle name="Normal 5 2 2 6 3 2" xfId="22092" xr:uid="{9C6BA760-D4CA-4F68-B8EA-A54B5029FF69}"/>
    <cellStyle name="Normal 5 2 2 6 3 3" xfId="13644" xr:uid="{32A174A4-E8E6-4E89-BA2F-E28C675FF73E}"/>
    <cellStyle name="Normal 5 2 2 6 4" xfId="17874" xr:uid="{612C2F46-BA2C-437F-B7E2-F9628B786341}"/>
    <cellStyle name="Normal 5 2 2 6 5" xfId="9426" xr:uid="{6A720206-B55A-4AE3-8CF9-91B1CFE966B6}"/>
    <cellStyle name="Normal 5 2 2 7" xfId="1300" xr:uid="{00000000-0005-0000-0000-000026180000}"/>
    <cellStyle name="Normal 5 2 2 7 2" xfId="3530" xr:uid="{00000000-0005-0000-0000-000027180000}"/>
    <cellStyle name="Normal 5 2 2 7 2 2" xfId="7752" xr:uid="{00000000-0005-0000-0000-000028180000}"/>
    <cellStyle name="Normal 5 2 2 7 2 2 2" xfId="24650" xr:uid="{2F060428-20BE-40D7-BB7D-ADA811AA0776}"/>
    <cellStyle name="Normal 5 2 2 7 2 2 3" xfId="16202" xr:uid="{39DA18DD-3978-4CB9-82F0-0A8D506616FC}"/>
    <cellStyle name="Normal 5 2 2 7 2 3" xfId="20432" xr:uid="{FD4EDD10-4186-473D-BC20-E6B84B34E55B}"/>
    <cellStyle name="Normal 5 2 2 7 2 4" xfId="11984" xr:uid="{AD92879E-A955-4124-A10B-DFCA5C4DB971}"/>
    <cellStyle name="Normal 5 2 2 7 3" xfId="5607" xr:uid="{00000000-0005-0000-0000-000029180000}"/>
    <cellStyle name="Normal 5 2 2 7 3 2" xfId="22505" xr:uid="{C8DD2805-6565-43FD-BA6F-15A3762E228F}"/>
    <cellStyle name="Normal 5 2 2 7 3 3" xfId="14057" xr:uid="{A4F3BF0E-EEBD-40B3-B774-E4C5ACE5F705}"/>
    <cellStyle name="Normal 5 2 2 7 4" xfId="18287" xr:uid="{9750C1A1-61EF-4702-BA65-7FCE97C311E7}"/>
    <cellStyle name="Normal 5 2 2 7 5" xfId="9839" xr:uid="{C63E4280-F2D9-4B57-B962-3E46323B5117}"/>
    <cellStyle name="Normal 5 2 2 8" xfId="1713" xr:uid="{00000000-0005-0000-0000-00002A180000}"/>
    <cellStyle name="Normal 5 2 2 8 2" xfId="3943" xr:uid="{00000000-0005-0000-0000-00002B180000}"/>
    <cellStyle name="Normal 5 2 2 8 2 2" xfId="8165" xr:uid="{00000000-0005-0000-0000-00002C180000}"/>
    <cellStyle name="Normal 5 2 2 8 2 2 2" xfId="25063" xr:uid="{D673AACE-2F53-4D90-9E5D-D37E89CF9821}"/>
    <cellStyle name="Normal 5 2 2 8 2 2 3" xfId="16615" xr:uid="{CE5DC868-80EE-4FE8-8B44-0433D26457F1}"/>
    <cellStyle name="Normal 5 2 2 8 2 3" xfId="20845" xr:uid="{5DF187F9-E52C-4804-AFA4-3C286D54D134}"/>
    <cellStyle name="Normal 5 2 2 8 2 4" xfId="12397" xr:uid="{BE5CAFE9-96FA-4021-838B-595C5CE2F694}"/>
    <cellStyle name="Normal 5 2 2 8 3" xfId="6020" xr:uid="{00000000-0005-0000-0000-00002D180000}"/>
    <cellStyle name="Normal 5 2 2 8 3 2" xfId="22918" xr:uid="{EF9E80FD-14B0-41A0-9ABB-B85D79039E77}"/>
    <cellStyle name="Normal 5 2 2 8 3 3" xfId="14470" xr:uid="{977CDD3B-3C52-4DE5-8FF1-646D374CCFA2}"/>
    <cellStyle name="Normal 5 2 2 8 4" xfId="18700" xr:uid="{1090E6B7-0AF7-4D5B-8335-920C7EF6805C}"/>
    <cellStyle name="Normal 5 2 2 8 5" xfId="10252" xr:uid="{0D9A4AD8-05CE-40EF-8587-5AB4941C02E7}"/>
    <cellStyle name="Normal 5 2 2 9" xfId="2127" xr:uid="{00000000-0005-0000-0000-00002E180000}"/>
    <cellStyle name="Normal 5 2 2 9 2" xfId="4356" xr:uid="{00000000-0005-0000-0000-00002F180000}"/>
    <cellStyle name="Normal 5 2 2 9 2 2" xfId="8578" xr:uid="{00000000-0005-0000-0000-000030180000}"/>
    <cellStyle name="Normal 5 2 2 9 2 2 2" xfId="25476" xr:uid="{163F2C52-BEF0-48FE-939F-B39B6A77780D}"/>
    <cellStyle name="Normal 5 2 2 9 2 2 3" xfId="17028" xr:uid="{A7257ACE-3992-4B72-BE86-14491D30471C}"/>
    <cellStyle name="Normal 5 2 2 9 2 3" xfId="21258" xr:uid="{009BA2BB-6B55-495D-8260-3B2E974EFF7D}"/>
    <cellStyle name="Normal 5 2 2 9 2 4" xfId="12810" xr:uid="{033E8323-44E0-49DA-8F6A-A8EDCD0124AF}"/>
    <cellStyle name="Normal 5 2 2 9 3" xfId="6433" xr:uid="{00000000-0005-0000-0000-000031180000}"/>
    <cellStyle name="Normal 5 2 2 9 3 2" xfId="23331" xr:uid="{607F84DE-B885-45FA-8880-1790F05FF844}"/>
    <cellStyle name="Normal 5 2 2 9 3 3" xfId="14883" xr:uid="{387768E6-DEB4-4894-B058-C49B74383310}"/>
    <cellStyle name="Normal 5 2 2 9 4" xfId="19113" xr:uid="{683A9698-8D18-446A-A5F0-BB298E43BA47}"/>
    <cellStyle name="Normal 5 2 2 9 5" xfId="10665" xr:uid="{FACD1B44-5B3E-4138-8067-20E25ACE50A2}"/>
    <cellStyle name="Normal 5 2 3" xfId="424" xr:uid="{00000000-0005-0000-0000-000032180000}"/>
    <cellStyle name="Normal 5 2 3 10" xfId="4797" xr:uid="{00000000-0005-0000-0000-000033180000}"/>
    <cellStyle name="Normal 5 2 3 10 2" xfId="21695" xr:uid="{07E22F29-9968-45DF-A1E8-BA45D6ED97AE}"/>
    <cellStyle name="Normal 5 2 3 10 3" xfId="13247" xr:uid="{36C077E9-0475-4C2A-B39A-6610E72AA67F}"/>
    <cellStyle name="Normal 5 2 3 11" xfId="17477" xr:uid="{97FC3023-E5A5-45F4-BA79-BDE3F05C4D3B}"/>
    <cellStyle name="Normal 5 2 3 12" xfId="9029" xr:uid="{3966427E-0100-4BD7-ADA4-EDE5FDFBAB9C}"/>
    <cellStyle name="Normal 5 2 3 2" xfId="425" xr:uid="{00000000-0005-0000-0000-000034180000}"/>
    <cellStyle name="Normal 5 2 3 2 10" xfId="17478" xr:uid="{7741730D-8E54-41B4-BB76-7476719B7AE6}"/>
    <cellStyle name="Normal 5 2 3 2 11" xfId="9030" xr:uid="{8D81A83A-CB92-4B82-B2DD-B029431CB3F6}"/>
    <cellStyle name="Normal 5 2 3 2 2" xfId="426" xr:uid="{00000000-0005-0000-0000-000035180000}"/>
    <cellStyle name="Normal 5 2 3 2 2 10" xfId="9031" xr:uid="{4F639A13-4E2A-4340-9F31-956B212FB999}"/>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24256" xr:uid="{31D04A8D-162B-47CA-A49B-A74E0086246C}"/>
    <cellStyle name="Normal 5 2 3 2 2 2 2 2 2 3" xfId="15808" xr:uid="{7AE7FD07-AD70-4AA6-9BA6-7CA2178184AA}"/>
    <cellStyle name="Normal 5 2 3 2 2 2 2 2 3" xfId="20038" xr:uid="{DB8B8EE6-5751-45DD-A339-F23CC8F68917}"/>
    <cellStyle name="Normal 5 2 3 2 2 2 2 2 4" xfId="11590" xr:uid="{9D29BF99-02AB-4E90-B499-38D8B191F4B1}"/>
    <cellStyle name="Normal 5 2 3 2 2 2 2 3" xfId="5213" xr:uid="{00000000-0005-0000-0000-00003A180000}"/>
    <cellStyle name="Normal 5 2 3 2 2 2 2 3 2" xfId="22111" xr:uid="{C3ECAEA6-7656-401F-B32B-7475BD51C931}"/>
    <cellStyle name="Normal 5 2 3 2 2 2 2 3 3" xfId="13663" xr:uid="{11A0B24F-708B-45A4-B790-06B678AB0FD9}"/>
    <cellStyle name="Normal 5 2 3 2 2 2 2 4" xfId="17893" xr:uid="{B4AEAF64-5625-49EA-B34B-2F5679D34849}"/>
    <cellStyle name="Normal 5 2 3 2 2 2 2 5" xfId="9445" xr:uid="{14427FDB-3EFC-47A9-B8D2-985682D81DEA}"/>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24669" xr:uid="{7B37CEE8-6552-4BE3-8923-12DDCBAB2638}"/>
    <cellStyle name="Normal 5 2 3 2 2 2 3 2 2 3" xfId="16221" xr:uid="{C778A671-7D07-429D-9F1E-B3C9C6F28C01}"/>
    <cellStyle name="Normal 5 2 3 2 2 2 3 2 3" xfId="20451" xr:uid="{8F478F0A-A062-41EF-A615-CC44EB9372B1}"/>
    <cellStyle name="Normal 5 2 3 2 2 2 3 2 4" xfId="12003" xr:uid="{422B029B-A097-40DE-A668-70FC4EFD6038}"/>
    <cellStyle name="Normal 5 2 3 2 2 2 3 3" xfId="5626" xr:uid="{00000000-0005-0000-0000-00003E180000}"/>
    <cellStyle name="Normal 5 2 3 2 2 2 3 3 2" xfId="22524" xr:uid="{49C55C99-489F-4898-9993-190A3785D659}"/>
    <cellStyle name="Normal 5 2 3 2 2 2 3 3 3" xfId="14076" xr:uid="{F162B20A-ADEB-4F63-9882-2D8ADF9851D6}"/>
    <cellStyle name="Normal 5 2 3 2 2 2 3 4" xfId="18306" xr:uid="{EF5FDE71-1975-430F-878B-8CAC0468CA4F}"/>
    <cellStyle name="Normal 5 2 3 2 2 2 3 5" xfId="9858" xr:uid="{14E3CC0F-38F4-4051-A86A-4B18D9720CEB}"/>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25082" xr:uid="{786EE822-1898-4ADE-8630-15D61DDD2992}"/>
    <cellStyle name="Normal 5 2 3 2 2 2 4 2 2 3" xfId="16634" xr:uid="{88B621E9-79AD-4376-A0C4-5A11FEDC3D70}"/>
    <cellStyle name="Normal 5 2 3 2 2 2 4 2 3" xfId="20864" xr:uid="{A576D912-B9D7-470C-BC7A-9899965E8F2B}"/>
    <cellStyle name="Normal 5 2 3 2 2 2 4 2 4" xfId="12416" xr:uid="{3B47D9A7-35AE-4890-95CD-E0A762561D29}"/>
    <cellStyle name="Normal 5 2 3 2 2 2 4 3" xfId="6039" xr:uid="{00000000-0005-0000-0000-000042180000}"/>
    <cellStyle name="Normal 5 2 3 2 2 2 4 3 2" xfId="22937" xr:uid="{72459765-CEE9-4844-AFA6-7D02180C9ED6}"/>
    <cellStyle name="Normal 5 2 3 2 2 2 4 3 3" xfId="14489" xr:uid="{F63D8587-04CF-4F70-B686-85784741C1E3}"/>
    <cellStyle name="Normal 5 2 3 2 2 2 4 4" xfId="18719" xr:uid="{A6B37B0A-2D42-436B-806F-65E46802982D}"/>
    <cellStyle name="Normal 5 2 3 2 2 2 4 5" xfId="10271" xr:uid="{CFEC64BA-48F1-444C-85C6-4FAE9DDD4832}"/>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25495" xr:uid="{3738DBFA-928C-454B-A7D7-118C3784944E}"/>
    <cellStyle name="Normal 5 2 3 2 2 2 5 2 2 3" xfId="17047" xr:uid="{F90C0475-17A2-422C-BDD0-D31C5FD5A81D}"/>
    <cellStyle name="Normal 5 2 3 2 2 2 5 2 3" xfId="21277" xr:uid="{0A856842-B888-4184-9AFC-BC1DAD1B5260}"/>
    <cellStyle name="Normal 5 2 3 2 2 2 5 2 4" xfId="12829" xr:uid="{B8B60AE3-DBD3-45B1-9121-7BAE5A037B03}"/>
    <cellStyle name="Normal 5 2 3 2 2 2 5 3" xfId="6452" xr:uid="{00000000-0005-0000-0000-000046180000}"/>
    <cellStyle name="Normal 5 2 3 2 2 2 5 3 2" xfId="23350" xr:uid="{CB5C0AB6-DEED-4EC2-9B6E-4C2819C2504D}"/>
    <cellStyle name="Normal 5 2 3 2 2 2 5 3 3" xfId="14902" xr:uid="{49C6FA9A-F500-4CDE-9644-BDD12A1DAD08}"/>
    <cellStyle name="Normal 5 2 3 2 2 2 5 4" xfId="19132" xr:uid="{ACE7DDF1-11CB-445D-8FCE-B903413EBAF4}"/>
    <cellStyle name="Normal 5 2 3 2 2 2 5 5" xfId="10684" xr:uid="{0F746425-4B97-44D2-8D47-751E785267C8}"/>
    <cellStyle name="Normal 5 2 3 2 2 2 6" xfId="2582" xr:uid="{00000000-0005-0000-0000-000047180000}"/>
    <cellStyle name="Normal 5 2 3 2 2 2 6 2" xfId="6865" xr:uid="{00000000-0005-0000-0000-000048180000}"/>
    <cellStyle name="Normal 5 2 3 2 2 2 6 2 2" xfId="23763" xr:uid="{641237D4-D7D0-4EB9-9ED6-A8E8CE3B615F}"/>
    <cellStyle name="Normal 5 2 3 2 2 2 6 2 3" xfId="15315" xr:uid="{9448ABF5-9F7F-44F9-BE30-230467952217}"/>
    <cellStyle name="Normal 5 2 3 2 2 2 6 3" xfId="19545" xr:uid="{8717D79B-E089-4FAD-B0DA-56BB1D326079}"/>
    <cellStyle name="Normal 5 2 3 2 2 2 6 4" xfId="11097" xr:uid="{5F7CC0F5-3709-40A7-AC9E-C1670E6E11CC}"/>
    <cellStyle name="Normal 5 2 3 2 2 2 7" xfId="4800" xr:uid="{00000000-0005-0000-0000-000049180000}"/>
    <cellStyle name="Normal 5 2 3 2 2 2 7 2" xfId="21698" xr:uid="{1359E80A-03F8-4A8A-8716-D458A9EA4279}"/>
    <cellStyle name="Normal 5 2 3 2 2 2 7 3" xfId="13250" xr:uid="{66971E3A-372B-4132-973B-C97EB7B1B5C5}"/>
    <cellStyle name="Normal 5 2 3 2 2 2 8" xfId="17480" xr:uid="{0A6BAF36-DE06-40D8-B637-B952B5EC77BC}"/>
    <cellStyle name="Normal 5 2 3 2 2 2 9" xfId="9032" xr:uid="{D64819D7-AC44-4E3D-BC9F-712B94680B4F}"/>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24255" xr:uid="{EF67154F-B842-4B9D-A257-4F19D274E9A4}"/>
    <cellStyle name="Normal 5 2 3 2 2 3 2 2 3" xfId="15807" xr:uid="{C7FDF45F-0DAF-4AF0-831A-A29DEAF271DA}"/>
    <cellStyle name="Normal 5 2 3 2 2 3 2 3" xfId="20037" xr:uid="{14CA11F1-82AA-4677-92CB-DAEFB659DE57}"/>
    <cellStyle name="Normal 5 2 3 2 2 3 2 4" xfId="11589" xr:uid="{E50AFA17-0F46-4691-A39E-EB9A610FA4B1}"/>
    <cellStyle name="Normal 5 2 3 2 2 3 3" xfId="5212" xr:uid="{00000000-0005-0000-0000-00004D180000}"/>
    <cellStyle name="Normal 5 2 3 2 2 3 3 2" xfId="22110" xr:uid="{169C6A0D-2F1E-4376-A9C9-2E53F7ACFD04}"/>
    <cellStyle name="Normal 5 2 3 2 2 3 3 3" xfId="13662" xr:uid="{838A8908-45D6-4CA8-8391-B4A008D3DD4B}"/>
    <cellStyle name="Normal 5 2 3 2 2 3 4" xfId="17892" xr:uid="{22BC193E-53E2-4C41-9DBE-F26CA378542F}"/>
    <cellStyle name="Normal 5 2 3 2 2 3 5" xfId="9444" xr:uid="{8ED9E579-6FDC-46D0-BC85-02B0B7A46E15}"/>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24668" xr:uid="{A941FE72-461A-4571-8E08-8B4AD986A9DF}"/>
    <cellStyle name="Normal 5 2 3 2 2 4 2 2 3" xfId="16220" xr:uid="{C38BCA2D-BA02-47E9-B54E-80E705B81038}"/>
    <cellStyle name="Normal 5 2 3 2 2 4 2 3" xfId="20450" xr:uid="{75393CD5-0775-40E5-A7BD-5A5E330B2EB7}"/>
    <cellStyle name="Normal 5 2 3 2 2 4 2 4" xfId="12002" xr:uid="{B295FE03-B449-45CD-87ED-3169D083167F}"/>
    <cellStyle name="Normal 5 2 3 2 2 4 3" xfId="5625" xr:uid="{00000000-0005-0000-0000-000051180000}"/>
    <cellStyle name="Normal 5 2 3 2 2 4 3 2" xfId="22523" xr:uid="{23966F34-B4D4-473D-ACE9-CC3C0442380B}"/>
    <cellStyle name="Normal 5 2 3 2 2 4 3 3" xfId="14075" xr:uid="{C8B24878-6E4A-42B0-8C2C-9E57CA771DF6}"/>
    <cellStyle name="Normal 5 2 3 2 2 4 4" xfId="18305" xr:uid="{C9A4B1F0-7D6C-4C0D-A479-9039A3BB5469}"/>
    <cellStyle name="Normal 5 2 3 2 2 4 5" xfId="9857" xr:uid="{F88A0544-DDBE-4761-8FA8-F37D249EA6A6}"/>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25081" xr:uid="{0FACC4E0-8A24-4F47-A1D4-04AA482F69DB}"/>
    <cellStyle name="Normal 5 2 3 2 2 5 2 2 3" xfId="16633" xr:uid="{A189D689-28E8-4F49-9E0B-8BF71C413D02}"/>
    <cellStyle name="Normal 5 2 3 2 2 5 2 3" xfId="20863" xr:uid="{EF6288C9-D771-449B-BCE0-E1789449CECC}"/>
    <cellStyle name="Normal 5 2 3 2 2 5 2 4" xfId="12415" xr:uid="{9723D300-B8B0-4596-8913-129CF508CEDF}"/>
    <cellStyle name="Normal 5 2 3 2 2 5 3" xfId="6038" xr:uid="{00000000-0005-0000-0000-000055180000}"/>
    <cellStyle name="Normal 5 2 3 2 2 5 3 2" xfId="22936" xr:uid="{A11C234D-A1C2-4291-99CB-367DA6A311D0}"/>
    <cellStyle name="Normal 5 2 3 2 2 5 3 3" xfId="14488" xr:uid="{0C619C6A-CB1D-459B-A1C7-3F327E999EE6}"/>
    <cellStyle name="Normal 5 2 3 2 2 5 4" xfId="18718" xr:uid="{CD37E472-411E-41F7-A6A4-CEFC3D4F3FEB}"/>
    <cellStyle name="Normal 5 2 3 2 2 5 5" xfId="10270" xr:uid="{6E7D47B7-CBBD-40B8-9444-8F9DA7C96391}"/>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25494" xr:uid="{60B814DD-48E8-43E5-8B4F-A459443919B3}"/>
    <cellStyle name="Normal 5 2 3 2 2 6 2 2 3" xfId="17046" xr:uid="{A66D17A5-7C87-46E5-A4B9-0F5696CB1683}"/>
    <cellStyle name="Normal 5 2 3 2 2 6 2 3" xfId="21276" xr:uid="{08117079-1012-4F74-9502-EA7CB72C0CA3}"/>
    <cellStyle name="Normal 5 2 3 2 2 6 2 4" xfId="12828" xr:uid="{A1A4372B-D55A-4E70-A108-32AEFE00C285}"/>
    <cellStyle name="Normal 5 2 3 2 2 6 3" xfId="6451" xr:uid="{00000000-0005-0000-0000-000059180000}"/>
    <cellStyle name="Normal 5 2 3 2 2 6 3 2" xfId="23349" xr:uid="{190C2D05-22CF-4CE6-AACC-46B781BBF06D}"/>
    <cellStyle name="Normal 5 2 3 2 2 6 3 3" xfId="14901" xr:uid="{453B9161-DF66-4CD4-9AF5-EF41CB09D772}"/>
    <cellStyle name="Normal 5 2 3 2 2 6 4" xfId="19131" xr:uid="{5E56EB95-FFD0-4909-83A7-D4B08F6B76F8}"/>
    <cellStyle name="Normal 5 2 3 2 2 6 5" xfId="10683" xr:uid="{4F67EA66-C1EA-42DE-9F8F-75F21727FF41}"/>
    <cellStyle name="Normal 5 2 3 2 2 7" xfId="2581" xr:uid="{00000000-0005-0000-0000-00005A180000}"/>
    <cellStyle name="Normal 5 2 3 2 2 7 2" xfId="6864" xr:uid="{00000000-0005-0000-0000-00005B180000}"/>
    <cellStyle name="Normal 5 2 3 2 2 7 2 2" xfId="23762" xr:uid="{1EEAF3B8-4A13-4AFF-8686-3866524B81BA}"/>
    <cellStyle name="Normal 5 2 3 2 2 7 2 3" xfId="15314" xr:uid="{37CF205E-AA32-4B37-AB79-B6B4ADFD39AB}"/>
    <cellStyle name="Normal 5 2 3 2 2 7 3" xfId="19544" xr:uid="{1EE223D5-66AB-4062-A48E-3D6B3FD0121F}"/>
    <cellStyle name="Normal 5 2 3 2 2 7 4" xfId="11096" xr:uid="{57666E9F-6576-46E1-A90E-F6399802D49F}"/>
    <cellStyle name="Normal 5 2 3 2 2 8" xfId="4799" xr:uid="{00000000-0005-0000-0000-00005C180000}"/>
    <cellStyle name="Normal 5 2 3 2 2 8 2" xfId="21697" xr:uid="{B8A47AD0-07E2-4330-B8C0-BF0BFA0A9F7F}"/>
    <cellStyle name="Normal 5 2 3 2 2 8 3" xfId="13249" xr:uid="{DA70B8C0-99EB-40FB-9C63-91948F78F3ED}"/>
    <cellStyle name="Normal 5 2 3 2 2 9" xfId="17479" xr:uid="{890D0552-CA0A-4C7D-954C-A69125AC988A}"/>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24257" xr:uid="{AFBB9A3D-EB2D-446D-B34E-82C6B1AFDD68}"/>
    <cellStyle name="Normal 5 2 3 2 3 2 2 2 3" xfId="15809" xr:uid="{D4882DA3-E626-4BEF-8F73-F370539C7A31}"/>
    <cellStyle name="Normal 5 2 3 2 3 2 2 3" xfId="20039" xr:uid="{B0DEFEF9-0D98-4E18-8362-D36E4FF1E223}"/>
    <cellStyle name="Normal 5 2 3 2 3 2 2 4" xfId="11591" xr:uid="{08685F6A-7F87-44A7-91D3-33B05CB2BE49}"/>
    <cellStyle name="Normal 5 2 3 2 3 2 3" xfId="5214" xr:uid="{00000000-0005-0000-0000-000061180000}"/>
    <cellStyle name="Normal 5 2 3 2 3 2 3 2" xfId="22112" xr:uid="{7B9196F0-6639-497D-B66F-E3139E24ADF9}"/>
    <cellStyle name="Normal 5 2 3 2 3 2 3 3" xfId="13664" xr:uid="{6A1755CB-0DCF-4003-A1A4-B544530A7A80}"/>
    <cellStyle name="Normal 5 2 3 2 3 2 4" xfId="17894" xr:uid="{B835BD1A-9C91-4211-ABAF-6EFAE285C91D}"/>
    <cellStyle name="Normal 5 2 3 2 3 2 5" xfId="9446" xr:uid="{7B472DFC-435F-4B4E-87D3-C11806B926FF}"/>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24670" xr:uid="{827A6E62-52EB-4C1D-AF6F-6CFB34D5BE5F}"/>
    <cellStyle name="Normal 5 2 3 2 3 3 2 2 3" xfId="16222" xr:uid="{E60062AD-2429-49E2-96EB-EF5194CB022C}"/>
    <cellStyle name="Normal 5 2 3 2 3 3 2 3" xfId="20452" xr:uid="{FF2E8DA8-A162-41DD-9B9A-14072F6D3CCC}"/>
    <cellStyle name="Normal 5 2 3 2 3 3 2 4" xfId="12004" xr:uid="{F991C5DA-8F79-41DD-9D8E-8ECC0B7D8384}"/>
    <cellStyle name="Normal 5 2 3 2 3 3 3" xfId="5627" xr:uid="{00000000-0005-0000-0000-000065180000}"/>
    <cellStyle name="Normal 5 2 3 2 3 3 3 2" xfId="22525" xr:uid="{71DCEB0F-DA71-4F3E-9CC7-17501387DF39}"/>
    <cellStyle name="Normal 5 2 3 2 3 3 3 3" xfId="14077" xr:uid="{BF515FE3-6384-4945-8D83-4A00627AE70B}"/>
    <cellStyle name="Normal 5 2 3 2 3 3 4" xfId="18307" xr:uid="{A00C0466-19CF-477E-AB73-34C769147509}"/>
    <cellStyle name="Normal 5 2 3 2 3 3 5" xfId="9859" xr:uid="{8C73ADA3-7219-47CA-8413-D88B3B255AB5}"/>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25083" xr:uid="{D730D7A2-4702-4C78-9A13-0D950E5FF466}"/>
    <cellStyle name="Normal 5 2 3 2 3 4 2 2 3" xfId="16635" xr:uid="{26C57E60-0D0B-4A47-A736-1D75E9A186E6}"/>
    <cellStyle name="Normal 5 2 3 2 3 4 2 3" xfId="20865" xr:uid="{F07023E0-05F9-4725-8AEA-705F6B1FBBAF}"/>
    <cellStyle name="Normal 5 2 3 2 3 4 2 4" xfId="12417" xr:uid="{8F17C5D1-A960-4512-8B65-F5E3C247C2A4}"/>
    <cellStyle name="Normal 5 2 3 2 3 4 3" xfId="6040" xr:uid="{00000000-0005-0000-0000-000069180000}"/>
    <cellStyle name="Normal 5 2 3 2 3 4 3 2" xfId="22938" xr:uid="{7DD01A0F-7416-4A8F-B0A3-591A34B450FF}"/>
    <cellStyle name="Normal 5 2 3 2 3 4 3 3" xfId="14490" xr:uid="{045A3478-FEDD-44E6-852B-4985D4EC948C}"/>
    <cellStyle name="Normal 5 2 3 2 3 4 4" xfId="18720" xr:uid="{AE76EF79-8BF5-406C-B45E-8984F374F814}"/>
    <cellStyle name="Normal 5 2 3 2 3 4 5" xfId="10272" xr:uid="{4B0C54FA-DC38-43D8-9499-DE8405610B5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25496" xr:uid="{D934FA5E-7210-40EA-BB83-394419630777}"/>
    <cellStyle name="Normal 5 2 3 2 3 5 2 2 3" xfId="17048" xr:uid="{2A4396A7-197A-468E-A04E-DF45025A6F0C}"/>
    <cellStyle name="Normal 5 2 3 2 3 5 2 3" xfId="21278" xr:uid="{C6404264-2C0E-4A00-8560-A48DB3800FCC}"/>
    <cellStyle name="Normal 5 2 3 2 3 5 2 4" xfId="12830" xr:uid="{0E32BE89-60BD-4976-835C-554ED3A1AA95}"/>
    <cellStyle name="Normal 5 2 3 2 3 5 3" xfId="6453" xr:uid="{00000000-0005-0000-0000-00006D180000}"/>
    <cellStyle name="Normal 5 2 3 2 3 5 3 2" xfId="23351" xr:uid="{27370826-CC1F-4088-AAF6-48678DAF9E61}"/>
    <cellStyle name="Normal 5 2 3 2 3 5 3 3" xfId="14903" xr:uid="{5E430816-940F-4A6A-A8B7-912530E7B2C9}"/>
    <cellStyle name="Normal 5 2 3 2 3 5 4" xfId="19133" xr:uid="{0D65FE0B-0E23-4DBF-B229-33B0AC9C2296}"/>
    <cellStyle name="Normal 5 2 3 2 3 5 5" xfId="10685" xr:uid="{D9D0FB3C-BD20-4F9D-A484-F2B147CFE176}"/>
    <cellStyle name="Normal 5 2 3 2 3 6" xfId="2583" xr:uid="{00000000-0005-0000-0000-00006E180000}"/>
    <cellStyle name="Normal 5 2 3 2 3 6 2" xfId="6866" xr:uid="{00000000-0005-0000-0000-00006F180000}"/>
    <cellStyle name="Normal 5 2 3 2 3 6 2 2" xfId="23764" xr:uid="{AFD8AC32-B691-46D6-A810-33E0150D5EDF}"/>
    <cellStyle name="Normal 5 2 3 2 3 6 2 3" xfId="15316" xr:uid="{525FE8B1-F171-4271-A0A4-DDCCE007FE4C}"/>
    <cellStyle name="Normal 5 2 3 2 3 6 3" xfId="19546" xr:uid="{CB81ADB4-6EE1-4FD9-B337-E3DFF59AA21B}"/>
    <cellStyle name="Normal 5 2 3 2 3 6 4" xfId="11098" xr:uid="{77941DBD-3BA9-4719-B789-B7E034203463}"/>
    <cellStyle name="Normal 5 2 3 2 3 7" xfId="4801" xr:uid="{00000000-0005-0000-0000-000070180000}"/>
    <cellStyle name="Normal 5 2 3 2 3 7 2" xfId="21699" xr:uid="{8372F8AA-A830-4C87-85A2-A6FBC14766C7}"/>
    <cellStyle name="Normal 5 2 3 2 3 7 3" xfId="13251" xr:uid="{DF6B78C5-CADC-49E3-9169-874D0C753101}"/>
    <cellStyle name="Normal 5 2 3 2 3 8" xfId="17481" xr:uid="{FB5D1178-3215-447E-A2DF-65365B82AE8E}"/>
    <cellStyle name="Normal 5 2 3 2 3 9" xfId="9033" xr:uid="{BB460C5C-98CB-4E01-AE90-E6D634B5FE03}"/>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24254" xr:uid="{E68D9E69-30C0-4CA1-8582-5445B56096A1}"/>
    <cellStyle name="Normal 5 2 3 2 4 2 2 3" xfId="15806" xr:uid="{FF74F781-AF39-434A-A90D-FFE94157B413}"/>
    <cellStyle name="Normal 5 2 3 2 4 2 3" xfId="20036" xr:uid="{5EDF4812-A5A9-47C7-A33E-5716F7C2CC52}"/>
    <cellStyle name="Normal 5 2 3 2 4 2 4" xfId="11588" xr:uid="{55D14198-9208-40FE-B98B-76801B114FDC}"/>
    <cellStyle name="Normal 5 2 3 2 4 3" xfId="5211" xr:uid="{00000000-0005-0000-0000-000074180000}"/>
    <cellStyle name="Normal 5 2 3 2 4 3 2" xfId="22109" xr:uid="{F028C5B7-1F9E-4412-8B45-1A659838784E}"/>
    <cellStyle name="Normal 5 2 3 2 4 3 3" xfId="13661" xr:uid="{51A8519B-980C-4D3C-AA71-9F3D38A4486E}"/>
    <cellStyle name="Normal 5 2 3 2 4 4" xfId="17891" xr:uid="{A3904FA3-864D-4161-A34E-99979013C167}"/>
    <cellStyle name="Normal 5 2 3 2 4 5" xfId="9443" xr:uid="{E3549B93-3E2E-4026-87C6-6977DDA058D3}"/>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24667" xr:uid="{8E32E0A8-140D-4C1D-B800-904E907ACFDF}"/>
    <cellStyle name="Normal 5 2 3 2 5 2 2 3" xfId="16219" xr:uid="{387CEA94-8832-493E-8836-68BB95907A09}"/>
    <cellStyle name="Normal 5 2 3 2 5 2 3" xfId="20449" xr:uid="{380056D3-9994-425C-B4AB-F34D6CC02C7C}"/>
    <cellStyle name="Normal 5 2 3 2 5 2 4" xfId="12001" xr:uid="{DDBA4034-3169-4CCE-8019-E6D7E5E38667}"/>
    <cellStyle name="Normal 5 2 3 2 5 3" xfId="5624" xr:uid="{00000000-0005-0000-0000-000078180000}"/>
    <cellStyle name="Normal 5 2 3 2 5 3 2" xfId="22522" xr:uid="{EA90ADB1-082B-45CF-AA86-0C437A2DF918}"/>
    <cellStyle name="Normal 5 2 3 2 5 3 3" xfId="14074" xr:uid="{A64CB632-B1A1-4642-847B-2B543B789B63}"/>
    <cellStyle name="Normal 5 2 3 2 5 4" xfId="18304" xr:uid="{F20A7C22-7C57-445E-AC1B-F70BD61DF0D7}"/>
    <cellStyle name="Normal 5 2 3 2 5 5" xfId="9856" xr:uid="{A345C03D-0CB9-4689-A3E1-5833CBFFBEA9}"/>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25080" xr:uid="{5C34ADE1-30F3-4B6D-8FD6-5D0ECCD7B2C9}"/>
    <cellStyle name="Normal 5 2 3 2 6 2 2 3" xfId="16632" xr:uid="{0E6262DA-1AB6-4689-B65A-40E3317830FC}"/>
    <cellStyle name="Normal 5 2 3 2 6 2 3" xfId="20862" xr:uid="{51FF3792-DC19-423A-848F-C781DB50AE65}"/>
    <cellStyle name="Normal 5 2 3 2 6 2 4" xfId="12414" xr:uid="{0F371320-57E6-4405-BA75-500FDFAC9DE2}"/>
    <cellStyle name="Normal 5 2 3 2 6 3" xfId="6037" xr:uid="{00000000-0005-0000-0000-00007C180000}"/>
    <cellStyle name="Normal 5 2 3 2 6 3 2" xfId="22935" xr:uid="{EC5791CB-03E5-4A2E-9D53-1B2A3592DEAB}"/>
    <cellStyle name="Normal 5 2 3 2 6 3 3" xfId="14487" xr:uid="{215BDDE2-0603-434A-A032-EBBCD1337F11}"/>
    <cellStyle name="Normal 5 2 3 2 6 4" xfId="18717" xr:uid="{CA7A4B74-4C3B-44A3-AA84-3DBB1A348DBB}"/>
    <cellStyle name="Normal 5 2 3 2 6 5" xfId="10269" xr:uid="{A0D48C7A-3279-4844-AC72-B97A057E7D70}"/>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25493" xr:uid="{56A90AA6-FB60-4C0D-91F6-49FD400EC2E2}"/>
    <cellStyle name="Normal 5 2 3 2 7 2 2 3" xfId="17045" xr:uid="{5CDAF3DA-5220-4A76-B025-062EC5BC4D34}"/>
    <cellStyle name="Normal 5 2 3 2 7 2 3" xfId="21275" xr:uid="{840CA0FF-AC8E-46A4-AABB-42D9FBB5567B}"/>
    <cellStyle name="Normal 5 2 3 2 7 2 4" xfId="12827" xr:uid="{C92ECEFE-1CF4-45F9-8B30-ADBF033606D0}"/>
    <cellStyle name="Normal 5 2 3 2 7 3" xfId="6450" xr:uid="{00000000-0005-0000-0000-000080180000}"/>
    <cellStyle name="Normal 5 2 3 2 7 3 2" xfId="23348" xr:uid="{173D098E-670C-4E8A-95AB-84BD425EC5B3}"/>
    <cellStyle name="Normal 5 2 3 2 7 3 3" xfId="14900" xr:uid="{0921F305-27EC-43B0-A4CD-48BFF20658FE}"/>
    <cellStyle name="Normal 5 2 3 2 7 4" xfId="19130" xr:uid="{286C0386-D4F2-4965-BEAD-568E142F450F}"/>
    <cellStyle name="Normal 5 2 3 2 7 5" xfId="10682" xr:uid="{2CC4EC07-A92E-4B44-8FF8-B2B5FE49F505}"/>
    <cellStyle name="Normal 5 2 3 2 8" xfId="2580" xr:uid="{00000000-0005-0000-0000-000081180000}"/>
    <cellStyle name="Normal 5 2 3 2 8 2" xfId="6863" xr:uid="{00000000-0005-0000-0000-000082180000}"/>
    <cellStyle name="Normal 5 2 3 2 8 2 2" xfId="23761" xr:uid="{5FC2B931-A01C-4214-BB7A-89768FCA73CB}"/>
    <cellStyle name="Normal 5 2 3 2 8 2 3" xfId="15313" xr:uid="{1CE9A274-FDFB-4058-A074-C0920D57C9C7}"/>
    <cellStyle name="Normal 5 2 3 2 8 3" xfId="19543" xr:uid="{5E360D43-877A-4CF9-8F6D-347511954495}"/>
    <cellStyle name="Normal 5 2 3 2 8 4" xfId="11095" xr:uid="{5F1768CF-79DD-4175-A7BE-F718F8BB5020}"/>
    <cellStyle name="Normal 5 2 3 2 9" xfId="4798" xr:uid="{00000000-0005-0000-0000-000083180000}"/>
    <cellStyle name="Normal 5 2 3 2 9 2" xfId="21696" xr:uid="{24FA62AF-FAE3-483E-8AE8-6CA7FC8FC626}"/>
    <cellStyle name="Normal 5 2 3 2 9 3" xfId="13248" xr:uid="{D42AB9F8-0C3D-48E6-BA6A-D3BD64097634}"/>
    <cellStyle name="Normal 5 2 3 3" xfId="429" xr:uid="{00000000-0005-0000-0000-000084180000}"/>
    <cellStyle name="Normal 5 2 3 3 10" xfId="9034" xr:uid="{607F78A2-757D-43A6-89A0-1F6BB79CB077}"/>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24259" xr:uid="{17EDAAE0-7B31-4134-B8D6-562068E3F992}"/>
    <cellStyle name="Normal 5 2 3 3 2 2 2 2 3" xfId="15811" xr:uid="{E5C7C57D-1C70-4DC9-BD80-DD9EEF1ACE9C}"/>
    <cellStyle name="Normal 5 2 3 3 2 2 2 3" xfId="20041" xr:uid="{19D4D356-F347-4793-B602-07F619F4CB2F}"/>
    <cellStyle name="Normal 5 2 3 3 2 2 2 4" xfId="11593" xr:uid="{B91F2E7A-7D2C-4C34-B2A5-3F903E6A8243}"/>
    <cellStyle name="Normal 5 2 3 3 2 2 3" xfId="5216" xr:uid="{00000000-0005-0000-0000-000089180000}"/>
    <cellStyle name="Normal 5 2 3 3 2 2 3 2" xfId="22114" xr:uid="{90063524-B78E-488E-A29F-DCD93BDE44BA}"/>
    <cellStyle name="Normal 5 2 3 3 2 2 3 3" xfId="13666" xr:uid="{88845923-A49D-4FC8-81B3-C37167382F8C}"/>
    <cellStyle name="Normal 5 2 3 3 2 2 4" xfId="17896" xr:uid="{A64F8AD7-EF0A-430E-AB78-5D556BB8CC98}"/>
    <cellStyle name="Normal 5 2 3 3 2 2 5" xfId="9448" xr:uid="{2BFCA474-AA96-4662-B586-27B9D471FF1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24672" xr:uid="{C2C75590-8C18-4E74-A1C2-666619BDAEB5}"/>
    <cellStyle name="Normal 5 2 3 3 2 3 2 2 3" xfId="16224" xr:uid="{94E697CF-6EF4-446A-8A7C-6B7ECD203CBA}"/>
    <cellStyle name="Normal 5 2 3 3 2 3 2 3" xfId="20454" xr:uid="{51FFDE70-377F-4E6A-98BE-423850C53222}"/>
    <cellStyle name="Normal 5 2 3 3 2 3 2 4" xfId="12006" xr:uid="{463B9B1E-3C88-4870-B19E-704192D342BD}"/>
    <cellStyle name="Normal 5 2 3 3 2 3 3" xfId="5629" xr:uid="{00000000-0005-0000-0000-00008D180000}"/>
    <cellStyle name="Normal 5 2 3 3 2 3 3 2" xfId="22527" xr:uid="{0B1D20A3-331F-4FC4-8896-7220E6EA390E}"/>
    <cellStyle name="Normal 5 2 3 3 2 3 3 3" xfId="14079" xr:uid="{B68CBB23-811C-4332-A11E-8268F165357B}"/>
    <cellStyle name="Normal 5 2 3 3 2 3 4" xfId="18309" xr:uid="{7A4C00C8-1E8A-4876-8F65-CCB4C60318C8}"/>
    <cellStyle name="Normal 5 2 3 3 2 3 5" xfId="9861" xr:uid="{C196CB3E-BDC3-4CF5-AFBB-453B27743755}"/>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25085" xr:uid="{B864F8B5-274C-4980-9B0E-2D9030995946}"/>
    <cellStyle name="Normal 5 2 3 3 2 4 2 2 3" xfId="16637" xr:uid="{50C4B857-C71A-43E2-9D5D-D278518C8003}"/>
    <cellStyle name="Normal 5 2 3 3 2 4 2 3" xfId="20867" xr:uid="{E2B6B73E-91CE-4DE8-ACB0-C9E011F87391}"/>
    <cellStyle name="Normal 5 2 3 3 2 4 2 4" xfId="12419" xr:uid="{40D14461-3B8C-4E9B-A2CA-7DA791712374}"/>
    <cellStyle name="Normal 5 2 3 3 2 4 3" xfId="6042" xr:uid="{00000000-0005-0000-0000-000091180000}"/>
    <cellStyle name="Normal 5 2 3 3 2 4 3 2" xfId="22940" xr:uid="{A873CD0A-4603-4BDB-998F-DDDDE7A4C765}"/>
    <cellStyle name="Normal 5 2 3 3 2 4 3 3" xfId="14492" xr:uid="{2CDD1E19-C6E8-43F1-A927-B80719D24F9D}"/>
    <cellStyle name="Normal 5 2 3 3 2 4 4" xfId="18722" xr:uid="{0A379FE0-E58E-40FA-9FDB-D1431E4009BB}"/>
    <cellStyle name="Normal 5 2 3 3 2 4 5" xfId="10274" xr:uid="{C5EE3E1E-ABC7-408F-BEE7-6B117E0C5AF4}"/>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25498" xr:uid="{59D007FA-C347-45C7-8C60-9EFD12DD7110}"/>
    <cellStyle name="Normal 5 2 3 3 2 5 2 2 3" xfId="17050" xr:uid="{D7908E21-5BB0-4BF4-BA5F-D68D38A7E792}"/>
    <cellStyle name="Normal 5 2 3 3 2 5 2 3" xfId="21280" xr:uid="{5C85D66E-26F8-4CA2-99DA-AE1D6ACDB367}"/>
    <cellStyle name="Normal 5 2 3 3 2 5 2 4" xfId="12832" xr:uid="{D7AF20B8-A92A-4EF3-876E-C2F6D06A3820}"/>
    <cellStyle name="Normal 5 2 3 3 2 5 3" xfId="6455" xr:uid="{00000000-0005-0000-0000-000095180000}"/>
    <cellStyle name="Normal 5 2 3 3 2 5 3 2" xfId="23353" xr:uid="{2B03CF85-0E5E-47B0-B134-1964B2A2F6D4}"/>
    <cellStyle name="Normal 5 2 3 3 2 5 3 3" xfId="14905" xr:uid="{FAB572FD-81C9-4761-BE7A-B8CC6101BFEE}"/>
    <cellStyle name="Normal 5 2 3 3 2 5 4" xfId="19135" xr:uid="{073D83A2-03A4-43DD-8541-040CE3D3D150}"/>
    <cellStyle name="Normal 5 2 3 3 2 5 5" xfId="10687" xr:uid="{64BD301B-2235-4D92-9ED0-DD7A3B3E7E6D}"/>
    <cellStyle name="Normal 5 2 3 3 2 6" xfId="2585" xr:uid="{00000000-0005-0000-0000-000096180000}"/>
    <cellStyle name="Normal 5 2 3 3 2 6 2" xfId="6868" xr:uid="{00000000-0005-0000-0000-000097180000}"/>
    <cellStyle name="Normal 5 2 3 3 2 6 2 2" xfId="23766" xr:uid="{A37B0861-69C2-400D-B14A-6194BB4D6F80}"/>
    <cellStyle name="Normal 5 2 3 3 2 6 2 3" xfId="15318" xr:uid="{2F8E7497-73B1-4934-90E7-EC6EA32B7E66}"/>
    <cellStyle name="Normal 5 2 3 3 2 6 3" xfId="19548" xr:uid="{DCA73B59-308D-4041-9115-1FAF5EB5E0CF}"/>
    <cellStyle name="Normal 5 2 3 3 2 6 4" xfId="11100" xr:uid="{E6F08230-E729-4F46-B830-F574CB55DCFF}"/>
    <cellStyle name="Normal 5 2 3 3 2 7" xfId="4803" xr:uid="{00000000-0005-0000-0000-000098180000}"/>
    <cellStyle name="Normal 5 2 3 3 2 7 2" xfId="21701" xr:uid="{B51E3733-8938-4078-9965-67CE4E55F690}"/>
    <cellStyle name="Normal 5 2 3 3 2 7 3" xfId="13253" xr:uid="{50DF28CB-0D37-403F-99F3-45D3C8D03C78}"/>
    <cellStyle name="Normal 5 2 3 3 2 8" xfId="17483" xr:uid="{FE408FB0-355E-4042-8F50-C5675BF33E02}"/>
    <cellStyle name="Normal 5 2 3 3 2 9" xfId="9035" xr:uid="{73FC31B6-FFCE-4517-A374-53C4E8FDCE68}"/>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24258" xr:uid="{E88BE6C7-3ADC-455D-A311-EDFD74F279D4}"/>
    <cellStyle name="Normal 5 2 3 3 3 2 2 3" xfId="15810" xr:uid="{85C68FE6-AAC5-4A5E-96DE-E63E6C106241}"/>
    <cellStyle name="Normal 5 2 3 3 3 2 3" xfId="20040" xr:uid="{864FA279-10F2-42B1-95B5-888A6EDA311B}"/>
    <cellStyle name="Normal 5 2 3 3 3 2 4" xfId="11592" xr:uid="{892A4684-BEB9-49B8-83C9-F5C93F7DF8B9}"/>
    <cellStyle name="Normal 5 2 3 3 3 3" xfId="5215" xr:uid="{00000000-0005-0000-0000-00009C180000}"/>
    <cellStyle name="Normal 5 2 3 3 3 3 2" xfId="22113" xr:uid="{81E15598-0B12-42BC-B4C5-BD77EE78AEA7}"/>
    <cellStyle name="Normal 5 2 3 3 3 3 3" xfId="13665" xr:uid="{238E6C5E-70B8-4303-954D-0E4320B45A4B}"/>
    <cellStyle name="Normal 5 2 3 3 3 4" xfId="17895" xr:uid="{FB1A7C6F-B432-4BA5-A916-EA9258A0F2BD}"/>
    <cellStyle name="Normal 5 2 3 3 3 5" xfId="9447" xr:uid="{1647D95C-3114-42CF-AB60-83FB109C46CB}"/>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24671" xr:uid="{4A7A56C1-617D-40FD-9673-BBBF5617D177}"/>
    <cellStyle name="Normal 5 2 3 3 4 2 2 3" xfId="16223" xr:uid="{3F9A42C4-A413-4BDA-B82E-1F0F47CFFA64}"/>
    <cellStyle name="Normal 5 2 3 3 4 2 3" xfId="20453" xr:uid="{1CF0C5E2-B32E-49F7-85F7-46C3E9F64F44}"/>
    <cellStyle name="Normal 5 2 3 3 4 2 4" xfId="12005" xr:uid="{525D7D25-74DA-4DEF-9535-2CC5A54C5F12}"/>
    <cellStyle name="Normal 5 2 3 3 4 3" xfId="5628" xr:uid="{00000000-0005-0000-0000-0000A0180000}"/>
    <cellStyle name="Normal 5 2 3 3 4 3 2" xfId="22526" xr:uid="{7B8B259E-E278-42F1-B8AA-0BDB8F8EAB6B}"/>
    <cellStyle name="Normal 5 2 3 3 4 3 3" xfId="14078" xr:uid="{15CDDB5C-5F83-4399-88A9-574D6999659B}"/>
    <cellStyle name="Normal 5 2 3 3 4 4" xfId="18308" xr:uid="{91016146-6B0C-4C5B-81FB-23504649787E}"/>
    <cellStyle name="Normal 5 2 3 3 4 5" xfId="9860" xr:uid="{B1E4CBEE-00DF-42B7-9022-0C74636E0EA5}"/>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25084" xr:uid="{FCFCC850-CE0A-424D-8E39-5FF89FB55089}"/>
    <cellStyle name="Normal 5 2 3 3 5 2 2 3" xfId="16636" xr:uid="{D7B7F5CC-8D8B-4DE0-AE3D-09C7E3628FED}"/>
    <cellStyle name="Normal 5 2 3 3 5 2 3" xfId="20866" xr:uid="{84F7C9C0-A871-451E-9228-3C214975F046}"/>
    <cellStyle name="Normal 5 2 3 3 5 2 4" xfId="12418" xr:uid="{6B18C92E-5E4C-44CB-89A4-F93C938F213B}"/>
    <cellStyle name="Normal 5 2 3 3 5 3" xfId="6041" xr:uid="{00000000-0005-0000-0000-0000A4180000}"/>
    <cellStyle name="Normal 5 2 3 3 5 3 2" xfId="22939" xr:uid="{1462858F-4D3F-4F19-B709-60A13AB5C9BD}"/>
    <cellStyle name="Normal 5 2 3 3 5 3 3" xfId="14491" xr:uid="{8C716EDA-EC86-4F08-9207-4D4E585EA657}"/>
    <cellStyle name="Normal 5 2 3 3 5 4" xfId="18721" xr:uid="{86BFED1D-2FC4-4C0F-BF89-E769D283E23E}"/>
    <cellStyle name="Normal 5 2 3 3 5 5" xfId="10273" xr:uid="{D9BC625E-F8D6-435C-B757-315633405FA4}"/>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25497" xr:uid="{94F62030-1AE9-4C15-BDE7-451701BCEB79}"/>
    <cellStyle name="Normal 5 2 3 3 6 2 2 3" xfId="17049" xr:uid="{6C96D299-050F-4327-8479-A8E2644F1A1D}"/>
    <cellStyle name="Normal 5 2 3 3 6 2 3" xfId="21279" xr:uid="{376680A6-313E-4914-8B6A-5F5DFA1261CF}"/>
    <cellStyle name="Normal 5 2 3 3 6 2 4" xfId="12831" xr:uid="{1CAC9635-B03D-40A6-ACE5-65959F998F5C}"/>
    <cellStyle name="Normal 5 2 3 3 6 3" xfId="6454" xr:uid="{00000000-0005-0000-0000-0000A8180000}"/>
    <cellStyle name="Normal 5 2 3 3 6 3 2" xfId="23352" xr:uid="{02ECF7AC-C1AB-4D5A-9038-025DEF543F82}"/>
    <cellStyle name="Normal 5 2 3 3 6 3 3" xfId="14904" xr:uid="{3629CFBC-A4A4-439A-B80A-359F26417A2A}"/>
    <cellStyle name="Normal 5 2 3 3 6 4" xfId="19134" xr:uid="{62625418-BDDC-43DA-A1C3-5C321898BA3A}"/>
    <cellStyle name="Normal 5 2 3 3 6 5" xfId="10686" xr:uid="{3801BED5-ABC4-4580-A888-56B3D4CC0729}"/>
    <cellStyle name="Normal 5 2 3 3 7" xfId="2584" xr:uid="{00000000-0005-0000-0000-0000A9180000}"/>
    <cellStyle name="Normal 5 2 3 3 7 2" xfId="6867" xr:uid="{00000000-0005-0000-0000-0000AA180000}"/>
    <cellStyle name="Normal 5 2 3 3 7 2 2" xfId="23765" xr:uid="{EBF39D0F-29AE-4076-8B50-677EBF39E344}"/>
    <cellStyle name="Normal 5 2 3 3 7 2 3" xfId="15317" xr:uid="{014B17C2-5206-4A58-9F12-A9CEFDB8895E}"/>
    <cellStyle name="Normal 5 2 3 3 7 3" xfId="19547" xr:uid="{7E7CCE12-FFB3-4CC3-9FA7-E4DC671AB7D9}"/>
    <cellStyle name="Normal 5 2 3 3 7 4" xfId="11099" xr:uid="{D061D267-4A87-4A93-B0BE-40088ADBA92F}"/>
    <cellStyle name="Normal 5 2 3 3 8" xfId="4802" xr:uid="{00000000-0005-0000-0000-0000AB180000}"/>
    <cellStyle name="Normal 5 2 3 3 8 2" xfId="21700" xr:uid="{B18ED7B8-8485-4F85-A35A-4EC5685789A6}"/>
    <cellStyle name="Normal 5 2 3 3 8 3" xfId="13252" xr:uid="{BE962412-4C68-4CE5-A909-4A5AB39B723C}"/>
    <cellStyle name="Normal 5 2 3 3 9" xfId="17482" xr:uid="{8DD0F595-F376-4CE5-8275-14C124836915}"/>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24260" xr:uid="{550F4863-7AA3-4F9A-B52B-D7CB258FC46D}"/>
    <cellStyle name="Normal 5 2 3 4 2 2 2 3" xfId="15812" xr:uid="{1FEC36BC-263B-4E98-A2F3-C7DF001883B5}"/>
    <cellStyle name="Normal 5 2 3 4 2 2 3" xfId="20042" xr:uid="{01AB9469-4DE0-46D9-B259-4C706A01338C}"/>
    <cellStyle name="Normal 5 2 3 4 2 2 4" xfId="11594" xr:uid="{F3B27E2E-99C3-4813-8BA9-304A3EB5E0C1}"/>
    <cellStyle name="Normal 5 2 3 4 2 3" xfId="5217" xr:uid="{00000000-0005-0000-0000-0000B0180000}"/>
    <cellStyle name="Normal 5 2 3 4 2 3 2" xfId="22115" xr:uid="{47983DA8-D2A7-4482-A707-7A165F58D07B}"/>
    <cellStyle name="Normal 5 2 3 4 2 3 3" xfId="13667" xr:uid="{2CAABFD2-B207-481D-AA9C-1176B481D577}"/>
    <cellStyle name="Normal 5 2 3 4 2 4" xfId="17897" xr:uid="{7E0810E9-BE88-48E3-8A2D-9FEB3DF8606F}"/>
    <cellStyle name="Normal 5 2 3 4 2 5" xfId="9449" xr:uid="{453D6691-F2C2-4F38-8AC6-9581A0B0E414}"/>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24673" xr:uid="{F1CB6E68-9AD2-41F6-BBB0-3E119A9DDBE8}"/>
    <cellStyle name="Normal 5 2 3 4 3 2 2 3" xfId="16225" xr:uid="{9578E198-1059-459D-A6B0-C3C61E4F2AE8}"/>
    <cellStyle name="Normal 5 2 3 4 3 2 3" xfId="20455" xr:uid="{6A5C848A-1045-4ED2-A469-E1947B167283}"/>
    <cellStyle name="Normal 5 2 3 4 3 2 4" xfId="12007" xr:uid="{54C67230-849E-4365-AC96-195523B3ABF6}"/>
    <cellStyle name="Normal 5 2 3 4 3 3" xfId="5630" xr:uid="{00000000-0005-0000-0000-0000B4180000}"/>
    <cellStyle name="Normal 5 2 3 4 3 3 2" xfId="22528" xr:uid="{B4FE6B97-5767-49AF-A492-F53DE5B4E2BB}"/>
    <cellStyle name="Normal 5 2 3 4 3 3 3" xfId="14080" xr:uid="{AA8AB0ED-F92B-45D3-8318-F7EFFE22EB5D}"/>
    <cellStyle name="Normal 5 2 3 4 3 4" xfId="18310" xr:uid="{34FC377A-0D8A-442F-A8A4-4FDEB04D9BDA}"/>
    <cellStyle name="Normal 5 2 3 4 3 5" xfId="9862" xr:uid="{37D48469-01C8-481D-92DC-A7A9A50356ED}"/>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25086" xr:uid="{69718F96-7560-4B4A-9718-9BC59F88DA69}"/>
    <cellStyle name="Normal 5 2 3 4 4 2 2 3" xfId="16638" xr:uid="{05924D02-EC05-4097-A5AC-5A110E473BAD}"/>
    <cellStyle name="Normal 5 2 3 4 4 2 3" xfId="20868" xr:uid="{FAEA96D0-B284-4179-A0D2-F60FEA4E8B91}"/>
    <cellStyle name="Normal 5 2 3 4 4 2 4" xfId="12420" xr:uid="{3F8D18AA-A9A0-4A80-9077-EDCCA5EDD997}"/>
    <cellStyle name="Normal 5 2 3 4 4 3" xfId="6043" xr:uid="{00000000-0005-0000-0000-0000B8180000}"/>
    <cellStyle name="Normal 5 2 3 4 4 3 2" xfId="22941" xr:uid="{51F1408B-6EBA-4E11-9547-145CF4A62060}"/>
    <cellStyle name="Normal 5 2 3 4 4 3 3" xfId="14493" xr:uid="{CFCC6835-109C-4BC1-B98A-665FBE496B33}"/>
    <cellStyle name="Normal 5 2 3 4 4 4" xfId="18723" xr:uid="{A482207B-E74C-475F-9E20-0E59CF2EEBF9}"/>
    <cellStyle name="Normal 5 2 3 4 4 5" xfId="10275" xr:uid="{D5F04376-00BE-4C4F-8E6A-32A5C137C650}"/>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25499" xr:uid="{645E2BA2-27A4-4599-9240-C6E74E305FF2}"/>
    <cellStyle name="Normal 5 2 3 4 5 2 2 3" xfId="17051" xr:uid="{9130AC74-2AC9-4A6B-AA79-FDF511013275}"/>
    <cellStyle name="Normal 5 2 3 4 5 2 3" xfId="21281" xr:uid="{95DE40DC-5B04-4723-8B06-692979D8B44B}"/>
    <cellStyle name="Normal 5 2 3 4 5 2 4" xfId="12833" xr:uid="{06323DA9-882F-477D-A7C3-0DA4B8D913FB}"/>
    <cellStyle name="Normal 5 2 3 4 5 3" xfId="6456" xr:uid="{00000000-0005-0000-0000-0000BC180000}"/>
    <cellStyle name="Normal 5 2 3 4 5 3 2" xfId="23354" xr:uid="{F43B4337-C0F5-479A-AE07-0C7DC4D1ADC3}"/>
    <cellStyle name="Normal 5 2 3 4 5 3 3" xfId="14906" xr:uid="{F6903C75-D354-4843-A547-1224707AAEB9}"/>
    <cellStyle name="Normal 5 2 3 4 5 4" xfId="19136" xr:uid="{A4F02A8A-B74B-41EE-AEEE-D6268ABCBC7B}"/>
    <cellStyle name="Normal 5 2 3 4 5 5" xfId="10688" xr:uid="{6E57A225-67D0-46DA-9E9E-237B7C28C313}"/>
    <cellStyle name="Normal 5 2 3 4 6" xfId="2586" xr:uid="{00000000-0005-0000-0000-0000BD180000}"/>
    <cellStyle name="Normal 5 2 3 4 6 2" xfId="6869" xr:uid="{00000000-0005-0000-0000-0000BE180000}"/>
    <cellStyle name="Normal 5 2 3 4 6 2 2" xfId="23767" xr:uid="{13D702F7-B734-48AF-B350-51F703DE8CB7}"/>
    <cellStyle name="Normal 5 2 3 4 6 2 3" xfId="15319" xr:uid="{A1744F06-81C1-403D-BF67-DF6CB4514951}"/>
    <cellStyle name="Normal 5 2 3 4 6 3" xfId="19549" xr:uid="{B0CB8292-1005-49F3-97C0-34497F1DB01E}"/>
    <cellStyle name="Normal 5 2 3 4 6 4" xfId="11101" xr:uid="{149F8452-B4F9-4CF7-A038-AD080228BE13}"/>
    <cellStyle name="Normal 5 2 3 4 7" xfId="4804" xr:uid="{00000000-0005-0000-0000-0000BF180000}"/>
    <cellStyle name="Normal 5 2 3 4 7 2" xfId="21702" xr:uid="{8B944DC9-9A51-4267-8A56-30EDDFD8C70E}"/>
    <cellStyle name="Normal 5 2 3 4 7 3" xfId="13254" xr:uid="{329FC9C9-9497-458B-AE7D-10857511A1A2}"/>
    <cellStyle name="Normal 5 2 3 4 8" xfId="17484" xr:uid="{8CA4560A-3F16-4794-95D8-0E1628573573}"/>
    <cellStyle name="Normal 5 2 3 4 9" xfId="9036" xr:uid="{74817CD9-CA0F-4779-8664-752DCBE18FDB}"/>
    <cellStyle name="Normal 5 2 3 5" xfId="898" xr:uid="{00000000-0005-0000-0000-0000C0180000}"/>
    <cellStyle name="Normal 5 2 3 5 2" xfId="3133" xr:uid="{00000000-0005-0000-0000-0000C1180000}"/>
    <cellStyle name="Normal 5 2 3 5 2 2" xfId="7355" xr:uid="{00000000-0005-0000-0000-0000C2180000}"/>
    <cellStyle name="Normal 5 2 3 5 2 2 2" xfId="24253" xr:uid="{95D6A4DF-2F9E-41B7-B9A5-6D4F4DDFD4E8}"/>
    <cellStyle name="Normal 5 2 3 5 2 2 3" xfId="15805" xr:uid="{6DB8943A-B228-46B7-8FA7-3140723DC92F}"/>
    <cellStyle name="Normal 5 2 3 5 2 3" xfId="20035" xr:uid="{929C57AF-A66F-467E-B114-0200FE4FC75A}"/>
    <cellStyle name="Normal 5 2 3 5 2 4" xfId="11587" xr:uid="{2A73ABB1-8700-47B9-8153-F1C90466788D}"/>
    <cellStyle name="Normal 5 2 3 5 3" xfId="5210" xr:uid="{00000000-0005-0000-0000-0000C3180000}"/>
    <cellStyle name="Normal 5 2 3 5 3 2" xfId="22108" xr:uid="{11D807A8-39CA-4DBA-AD37-878E270FECEB}"/>
    <cellStyle name="Normal 5 2 3 5 3 3" xfId="13660" xr:uid="{4258FD27-B1AB-4010-98F2-CCA43670E2F6}"/>
    <cellStyle name="Normal 5 2 3 5 4" xfId="17890" xr:uid="{C3F291DD-7E5B-4EE1-862C-C954C762C7D1}"/>
    <cellStyle name="Normal 5 2 3 5 5" xfId="9442" xr:uid="{6733D3A0-9A63-401B-B0CD-9C8FF8F09B72}"/>
    <cellStyle name="Normal 5 2 3 6" xfId="1316" xr:uid="{00000000-0005-0000-0000-0000C4180000}"/>
    <cellStyle name="Normal 5 2 3 6 2" xfId="3546" xr:uid="{00000000-0005-0000-0000-0000C5180000}"/>
    <cellStyle name="Normal 5 2 3 6 2 2" xfId="7768" xr:uid="{00000000-0005-0000-0000-0000C6180000}"/>
    <cellStyle name="Normal 5 2 3 6 2 2 2" xfId="24666" xr:uid="{95BF0207-0112-4EB0-9526-6A7B6D8A46CD}"/>
    <cellStyle name="Normal 5 2 3 6 2 2 3" xfId="16218" xr:uid="{0D89BDAC-498D-45FE-BFF9-CEC216D397B5}"/>
    <cellStyle name="Normal 5 2 3 6 2 3" xfId="20448" xr:uid="{3D0A1AA9-8EF2-44EF-9A80-DA409742F093}"/>
    <cellStyle name="Normal 5 2 3 6 2 4" xfId="12000" xr:uid="{A9D4B043-A644-4F3B-A131-9C38E3977ECD}"/>
    <cellStyle name="Normal 5 2 3 6 3" xfId="5623" xr:uid="{00000000-0005-0000-0000-0000C7180000}"/>
    <cellStyle name="Normal 5 2 3 6 3 2" xfId="22521" xr:uid="{3E33F193-E3F9-4967-AE83-F672798576E0}"/>
    <cellStyle name="Normal 5 2 3 6 3 3" xfId="14073" xr:uid="{0ACD9B71-6D61-4BFC-BEEA-273172088FB2}"/>
    <cellStyle name="Normal 5 2 3 6 4" xfId="18303" xr:uid="{2501D2D5-4B56-42C6-9683-08FB99643D34}"/>
    <cellStyle name="Normal 5 2 3 6 5" xfId="9855" xr:uid="{486BB256-0608-4CC0-AC6A-789F753AD95F}"/>
    <cellStyle name="Normal 5 2 3 7" xfId="1729" xr:uid="{00000000-0005-0000-0000-0000C8180000}"/>
    <cellStyle name="Normal 5 2 3 7 2" xfId="3959" xr:uid="{00000000-0005-0000-0000-0000C9180000}"/>
    <cellStyle name="Normal 5 2 3 7 2 2" xfId="8181" xr:uid="{00000000-0005-0000-0000-0000CA180000}"/>
    <cellStyle name="Normal 5 2 3 7 2 2 2" xfId="25079" xr:uid="{E728D4A7-0DCD-4751-AC7B-CCEBA7151F34}"/>
    <cellStyle name="Normal 5 2 3 7 2 2 3" xfId="16631" xr:uid="{4FD0E2E9-5B95-45DD-9120-BEA8CE021DBA}"/>
    <cellStyle name="Normal 5 2 3 7 2 3" xfId="20861" xr:uid="{84D4BFFB-222D-444A-AB40-BE46AD9D7676}"/>
    <cellStyle name="Normal 5 2 3 7 2 4" xfId="12413" xr:uid="{1E2EB6D3-DFB4-410D-AAA8-155346BABA98}"/>
    <cellStyle name="Normal 5 2 3 7 3" xfId="6036" xr:uid="{00000000-0005-0000-0000-0000CB180000}"/>
    <cellStyle name="Normal 5 2 3 7 3 2" xfId="22934" xr:uid="{0DB4D9A7-996F-4F90-BD9C-4B38E4C3161E}"/>
    <cellStyle name="Normal 5 2 3 7 3 3" xfId="14486" xr:uid="{11E17BC8-9440-43E0-866A-AA1F4E4B2D3D}"/>
    <cellStyle name="Normal 5 2 3 7 4" xfId="18716" xr:uid="{2B92A14F-DDC7-4297-95F0-356DA7AAF1A9}"/>
    <cellStyle name="Normal 5 2 3 7 5" xfId="10268" xr:uid="{FE8423AF-7BBD-430C-AF09-340CC13C6452}"/>
    <cellStyle name="Normal 5 2 3 8" xfId="2143" xr:uid="{00000000-0005-0000-0000-0000CC180000}"/>
    <cellStyle name="Normal 5 2 3 8 2" xfId="4372" xr:uid="{00000000-0005-0000-0000-0000CD180000}"/>
    <cellStyle name="Normal 5 2 3 8 2 2" xfId="8594" xr:uid="{00000000-0005-0000-0000-0000CE180000}"/>
    <cellStyle name="Normal 5 2 3 8 2 2 2" xfId="25492" xr:uid="{45E0671B-A539-47DF-9D48-0339B94DA6E6}"/>
    <cellStyle name="Normal 5 2 3 8 2 2 3" xfId="17044" xr:uid="{934E9F64-7BD6-4C53-8D05-8E029126D5FD}"/>
    <cellStyle name="Normal 5 2 3 8 2 3" xfId="21274" xr:uid="{43D9EAF0-E9BC-4D77-9D1B-09441D0933B8}"/>
    <cellStyle name="Normal 5 2 3 8 2 4" xfId="12826" xr:uid="{477DAC59-5C2C-4822-B94C-6C9273140416}"/>
    <cellStyle name="Normal 5 2 3 8 3" xfId="6449" xr:uid="{00000000-0005-0000-0000-0000CF180000}"/>
    <cellStyle name="Normal 5 2 3 8 3 2" xfId="23347" xr:uid="{505D9DF7-0CA3-469B-867E-BEADCC90D562}"/>
    <cellStyle name="Normal 5 2 3 8 3 3" xfId="14899" xr:uid="{9A2DD5DA-6D89-43E1-ACC4-ACB1175295A0}"/>
    <cellStyle name="Normal 5 2 3 8 4" xfId="19129" xr:uid="{29329B97-7364-42D7-95BA-727AE83C2D03}"/>
    <cellStyle name="Normal 5 2 3 8 5" xfId="10681" xr:uid="{3DB12ED1-502F-4E4C-834B-650BA066B2BA}"/>
    <cellStyle name="Normal 5 2 3 9" xfId="2579" xr:uid="{00000000-0005-0000-0000-0000D0180000}"/>
    <cellStyle name="Normal 5 2 3 9 2" xfId="6862" xr:uid="{00000000-0005-0000-0000-0000D1180000}"/>
    <cellStyle name="Normal 5 2 3 9 2 2" xfId="23760" xr:uid="{59572A0E-FF57-42FA-8419-EB7A5E39A500}"/>
    <cellStyle name="Normal 5 2 3 9 2 3" xfId="15312" xr:uid="{24CC2BDF-0FD9-48CA-A1E5-4D4C7F22376A}"/>
    <cellStyle name="Normal 5 2 3 9 3" xfId="19542" xr:uid="{CF024845-2974-4A12-8ECF-385299261016}"/>
    <cellStyle name="Normal 5 2 3 9 4" xfId="11094" xr:uid="{84D42838-B324-44DC-9997-BED4B2A3EFB4}"/>
    <cellStyle name="Normal 5 2 4" xfId="432" xr:uid="{00000000-0005-0000-0000-0000D2180000}"/>
    <cellStyle name="Normal 5 2 4 10" xfId="17485" xr:uid="{F8363032-7BF5-4C23-B3AD-AA82855AAA17}"/>
    <cellStyle name="Normal 5 2 4 11" xfId="9037" xr:uid="{F362AD25-F6C2-498B-9F77-17C2F1796F19}"/>
    <cellStyle name="Normal 5 2 4 2" xfId="433" xr:uid="{00000000-0005-0000-0000-0000D3180000}"/>
    <cellStyle name="Normal 5 2 4 2 10" xfId="9038" xr:uid="{7DD2450D-784D-4119-8312-6A3B7AC9A46F}"/>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24263" xr:uid="{49FC3047-0F29-4642-B79B-D1C12DAC896B}"/>
    <cellStyle name="Normal 5 2 4 2 2 2 2 2 3" xfId="15815" xr:uid="{19138EDF-2A78-4D67-84B5-4A6CA4E1DC2D}"/>
    <cellStyle name="Normal 5 2 4 2 2 2 2 3" xfId="20045" xr:uid="{B997C344-28C4-4BDE-AA25-63B5F09CD01F}"/>
    <cellStyle name="Normal 5 2 4 2 2 2 2 4" xfId="11597" xr:uid="{58FAAA69-030B-48AA-9F97-9346C722D674}"/>
    <cellStyle name="Normal 5 2 4 2 2 2 3" xfId="5220" xr:uid="{00000000-0005-0000-0000-0000D8180000}"/>
    <cellStyle name="Normal 5 2 4 2 2 2 3 2" xfId="22118" xr:uid="{970E2E00-21DE-491D-870C-2D933D4B76B7}"/>
    <cellStyle name="Normal 5 2 4 2 2 2 3 3" xfId="13670" xr:uid="{651F79C0-F0A6-4566-97BC-42CFB611B8EC}"/>
    <cellStyle name="Normal 5 2 4 2 2 2 4" xfId="17900" xr:uid="{80D5F967-4508-4CD3-B986-31495D4C2C75}"/>
    <cellStyle name="Normal 5 2 4 2 2 2 5" xfId="9452" xr:uid="{E49FBA3E-A1DA-4A95-BF7E-FB84F0406E8D}"/>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24676" xr:uid="{67BC8BAB-9921-438B-9BF7-0C09C9661189}"/>
    <cellStyle name="Normal 5 2 4 2 2 3 2 2 3" xfId="16228" xr:uid="{20284310-28E2-4452-AD25-54B3AB571FE6}"/>
    <cellStyle name="Normal 5 2 4 2 2 3 2 3" xfId="20458" xr:uid="{6D73E08E-5723-416A-B7E4-F562C6195F0D}"/>
    <cellStyle name="Normal 5 2 4 2 2 3 2 4" xfId="12010" xr:uid="{E726D5E9-2194-4A45-9DE0-6F94632C7DD5}"/>
    <cellStyle name="Normal 5 2 4 2 2 3 3" xfId="5633" xr:uid="{00000000-0005-0000-0000-0000DC180000}"/>
    <cellStyle name="Normal 5 2 4 2 2 3 3 2" xfId="22531" xr:uid="{1006A360-65B7-4948-8A60-476DEB19A475}"/>
    <cellStyle name="Normal 5 2 4 2 2 3 3 3" xfId="14083" xr:uid="{B48EC2D9-A500-438C-BB2A-B649F7CCACA2}"/>
    <cellStyle name="Normal 5 2 4 2 2 3 4" xfId="18313" xr:uid="{8229BE54-576F-4983-AC62-51FC5D13D838}"/>
    <cellStyle name="Normal 5 2 4 2 2 3 5" xfId="9865" xr:uid="{FEFDE27B-3D0A-45B8-BD2E-BF71F5FEAB37}"/>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25089" xr:uid="{E80192E0-C6A2-42EA-B61B-EBC1532EB156}"/>
    <cellStyle name="Normal 5 2 4 2 2 4 2 2 3" xfId="16641" xr:uid="{BD61F83C-E045-427B-9FB3-9F7B78F70803}"/>
    <cellStyle name="Normal 5 2 4 2 2 4 2 3" xfId="20871" xr:uid="{FA003A03-2E05-4FFE-96EC-D8DF4BA006A9}"/>
    <cellStyle name="Normal 5 2 4 2 2 4 2 4" xfId="12423" xr:uid="{D662F9D2-960D-40FB-AC92-DD4A9A1AA0C2}"/>
    <cellStyle name="Normal 5 2 4 2 2 4 3" xfId="6046" xr:uid="{00000000-0005-0000-0000-0000E0180000}"/>
    <cellStyle name="Normal 5 2 4 2 2 4 3 2" xfId="22944" xr:uid="{3C21DD50-4B5F-4DE8-99F2-AB98B763EC3F}"/>
    <cellStyle name="Normal 5 2 4 2 2 4 3 3" xfId="14496" xr:uid="{A0BD0100-513B-4AAE-B46D-1933E30116A6}"/>
    <cellStyle name="Normal 5 2 4 2 2 4 4" xfId="18726" xr:uid="{82632608-FAC6-4546-8AC4-258FD8565CF0}"/>
    <cellStyle name="Normal 5 2 4 2 2 4 5" xfId="10278" xr:uid="{775B99DC-60D2-4DB8-A713-CCD053EAD12F}"/>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25502" xr:uid="{D5287EB4-D204-4459-96A4-86D8CD2274DB}"/>
    <cellStyle name="Normal 5 2 4 2 2 5 2 2 3" xfId="17054" xr:uid="{360F2BE6-8879-47F1-8821-0108B591E124}"/>
    <cellStyle name="Normal 5 2 4 2 2 5 2 3" xfId="21284" xr:uid="{D83E9EAB-E8B7-4225-9DA0-65FC40BCBA17}"/>
    <cellStyle name="Normal 5 2 4 2 2 5 2 4" xfId="12836" xr:uid="{F5281801-C002-4ACE-9F0F-F6F8FF06A2D1}"/>
    <cellStyle name="Normal 5 2 4 2 2 5 3" xfId="6459" xr:uid="{00000000-0005-0000-0000-0000E4180000}"/>
    <cellStyle name="Normal 5 2 4 2 2 5 3 2" xfId="23357" xr:uid="{BC6B334B-6438-4C0C-9A4C-D6C8D743183E}"/>
    <cellStyle name="Normal 5 2 4 2 2 5 3 3" xfId="14909" xr:uid="{026109E5-CE3E-4991-973B-A78C1FF5AE80}"/>
    <cellStyle name="Normal 5 2 4 2 2 5 4" xfId="19139" xr:uid="{253517D1-3D2B-4097-B71F-80ACA702F9D5}"/>
    <cellStyle name="Normal 5 2 4 2 2 5 5" xfId="10691" xr:uid="{68C685F6-F57F-4F88-BD2C-1088ED16AB6F}"/>
    <cellStyle name="Normal 5 2 4 2 2 6" xfId="2589" xr:uid="{00000000-0005-0000-0000-0000E5180000}"/>
    <cellStyle name="Normal 5 2 4 2 2 6 2" xfId="6872" xr:uid="{00000000-0005-0000-0000-0000E6180000}"/>
    <cellStyle name="Normal 5 2 4 2 2 6 2 2" xfId="23770" xr:uid="{072A3104-E7B3-4F14-BC47-C96D4B2C4BAD}"/>
    <cellStyle name="Normal 5 2 4 2 2 6 2 3" xfId="15322" xr:uid="{AD07C0A9-5910-461E-A420-10BB5C9AB94C}"/>
    <cellStyle name="Normal 5 2 4 2 2 6 3" xfId="19552" xr:uid="{F3CE8F7F-6E9E-4D1E-B730-8DD2D14831D9}"/>
    <cellStyle name="Normal 5 2 4 2 2 6 4" xfId="11104" xr:uid="{D3835045-0BE3-4C5E-9F77-F9C4FE4D8D5B}"/>
    <cellStyle name="Normal 5 2 4 2 2 7" xfId="4807" xr:uid="{00000000-0005-0000-0000-0000E7180000}"/>
    <cellStyle name="Normal 5 2 4 2 2 7 2" xfId="21705" xr:uid="{5C94C3FA-AD2C-4187-A7FE-BDEF2FBB3C65}"/>
    <cellStyle name="Normal 5 2 4 2 2 7 3" xfId="13257" xr:uid="{061DB1BF-1F3A-4467-B7F4-28C466DDA5FB}"/>
    <cellStyle name="Normal 5 2 4 2 2 8" xfId="17487" xr:uid="{355CB5D1-5389-457D-A72A-1019E3491203}"/>
    <cellStyle name="Normal 5 2 4 2 2 9" xfId="9039" xr:uid="{841DDC24-59EB-410D-9792-AC96CDD4595D}"/>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24262" xr:uid="{CEECC4C4-2CB8-4172-82DB-265A5CB82299}"/>
    <cellStyle name="Normal 5 2 4 2 3 2 2 3" xfId="15814" xr:uid="{82D642A8-3C62-4C1A-88F4-A0E0B1A96202}"/>
    <cellStyle name="Normal 5 2 4 2 3 2 3" xfId="20044" xr:uid="{6C0DD019-D0F7-4985-8D55-5B953F09F2D5}"/>
    <cellStyle name="Normal 5 2 4 2 3 2 4" xfId="11596" xr:uid="{F1F8E343-05F4-4567-BA66-CA4A851010B8}"/>
    <cellStyle name="Normal 5 2 4 2 3 3" xfId="5219" xr:uid="{00000000-0005-0000-0000-0000EB180000}"/>
    <cellStyle name="Normal 5 2 4 2 3 3 2" xfId="22117" xr:uid="{0AE0397C-1617-4750-91FF-40066B11FA22}"/>
    <cellStyle name="Normal 5 2 4 2 3 3 3" xfId="13669" xr:uid="{4C554F08-6013-4A6F-A5D0-69D22C107353}"/>
    <cellStyle name="Normal 5 2 4 2 3 4" xfId="17899" xr:uid="{D3E98463-94EF-4A2F-8598-469B632DCD9A}"/>
    <cellStyle name="Normal 5 2 4 2 3 5" xfId="9451" xr:uid="{427D0357-37A8-4A46-9E4B-8444F1AB182C}"/>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24675" xr:uid="{C893AE41-6551-4551-B996-BAF7F565025D}"/>
    <cellStyle name="Normal 5 2 4 2 4 2 2 3" xfId="16227" xr:uid="{7967FE99-DAE4-4F9A-B081-7316FB4A14B0}"/>
    <cellStyle name="Normal 5 2 4 2 4 2 3" xfId="20457" xr:uid="{77F583FF-EE20-4341-BCD2-D945940E3698}"/>
    <cellStyle name="Normal 5 2 4 2 4 2 4" xfId="12009" xr:uid="{FA3B0CC9-5422-4B1E-B7E8-E7A68BAF0780}"/>
    <cellStyle name="Normal 5 2 4 2 4 3" xfId="5632" xr:uid="{00000000-0005-0000-0000-0000EF180000}"/>
    <cellStyle name="Normal 5 2 4 2 4 3 2" xfId="22530" xr:uid="{A6DFFE41-9A90-4F96-97CF-8D5F87A70E8D}"/>
    <cellStyle name="Normal 5 2 4 2 4 3 3" xfId="14082" xr:uid="{45D1936C-E76D-49CE-B073-41AB529E3C8C}"/>
    <cellStyle name="Normal 5 2 4 2 4 4" xfId="18312" xr:uid="{8F93B762-ED1E-40F3-AFB3-13D8EFF38FD0}"/>
    <cellStyle name="Normal 5 2 4 2 4 5" xfId="9864" xr:uid="{8010DC55-1310-4A69-9339-38141F60AF66}"/>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25088" xr:uid="{7CE4CA99-E353-44C5-B96C-AEA4C11D19A4}"/>
    <cellStyle name="Normal 5 2 4 2 5 2 2 3" xfId="16640" xr:uid="{72F747A7-E8D3-473F-913F-232E2A0AB25F}"/>
    <cellStyle name="Normal 5 2 4 2 5 2 3" xfId="20870" xr:uid="{3F7555C2-A439-4016-BCE2-59E629C3C8F2}"/>
    <cellStyle name="Normal 5 2 4 2 5 2 4" xfId="12422" xr:uid="{61296F64-78A2-4331-892F-821E624EEE85}"/>
    <cellStyle name="Normal 5 2 4 2 5 3" xfId="6045" xr:uid="{00000000-0005-0000-0000-0000F3180000}"/>
    <cellStyle name="Normal 5 2 4 2 5 3 2" xfId="22943" xr:uid="{6EE7E2F9-3211-428C-90DC-22E80DDA1C23}"/>
    <cellStyle name="Normal 5 2 4 2 5 3 3" xfId="14495" xr:uid="{451D233B-4F40-4C0E-8377-56D2FFD768F6}"/>
    <cellStyle name="Normal 5 2 4 2 5 4" xfId="18725" xr:uid="{C1A80DEA-A990-4E9F-92D9-7660013EC7F4}"/>
    <cellStyle name="Normal 5 2 4 2 5 5" xfId="10277" xr:uid="{5D91F3E7-9F9F-4A91-B44F-9361F15CC4B0}"/>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25501" xr:uid="{156B5469-CB3F-4FD2-9F9B-446252AED55A}"/>
    <cellStyle name="Normal 5 2 4 2 6 2 2 3" xfId="17053" xr:uid="{ECE27523-B5F4-4658-9D2A-AFB929910BE2}"/>
    <cellStyle name="Normal 5 2 4 2 6 2 3" xfId="21283" xr:uid="{7C8C3F50-FB92-4BC1-9E64-C80C9FF385A4}"/>
    <cellStyle name="Normal 5 2 4 2 6 2 4" xfId="12835" xr:uid="{0B6FBD4F-29F2-4312-BB9C-34B048F0C901}"/>
    <cellStyle name="Normal 5 2 4 2 6 3" xfId="6458" xr:uid="{00000000-0005-0000-0000-0000F7180000}"/>
    <cellStyle name="Normal 5 2 4 2 6 3 2" xfId="23356" xr:uid="{E0648A1E-F658-4910-AC59-8BFED87CC555}"/>
    <cellStyle name="Normal 5 2 4 2 6 3 3" xfId="14908" xr:uid="{31675E6C-A185-45DF-A4E5-559B6587A5F4}"/>
    <cellStyle name="Normal 5 2 4 2 6 4" xfId="19138" xr:uid="{C03118B6-CF0D-463A-813A-05E5F10F0171}"/>
    <cellStyle name="Normal 5 2 4 2 6 5" xfId="10690" xr:uid="{5D92737C-BF75-49D4-B824-9F93E69B9F45}"/>
    <cellStyle name="Normal 5 2 4 2 7" xfId="2588" xr:uid="{00000000-0005-0000-0000-0000F8180000}"/>
    <cellStyle name="Normal 5 2 4 2 7 2" xfId="6871" xr:uid="{00000000-0005-0000-0000-0000F9180000}"/>
    <cellStyle name="Normal 5 2 4 2 7 2 2" xfId="23769" xr:uid="{5F3BEACD-EDF2-4C2B-B004-1E20BEBAA35E}"/>
    <cellStyle name="Normal 5 2 4 2 7 2 3" xfId="15321" xr:uid="{CA84944C-DA22-411E-9EC0-CDCE45268840}"/>
    <cellStyle name="Normal 5 2 4 2 7 3" xfId="19551" xr:uid="{7277C021-299A-4622-8120-604C036B1695}"/>
    <cellStyle name="Normal 5 2 4 2 7 4" xfId="11103" xr:uid="{B94896F3-A3CE-4110-A17D-9F7C00B91886}"/>
    <cellStyle name="Normal 5 2 4 2 8" xfId="4806" xr:uid="{00000000-0005-0000-0000-0000FA180000}"/>
    <cellStyle name="Normal 5 2 4 2 8 2" xfId="21704" xr:uid="{8632EC4B-C0BE-40A6-8FE3-1AA43C4ABC0A}"/>
    <cellStyle name="Normal 5 2 4 2 8 3" xfId="13256" xr:uid="{E0772EDB-A57B-4C22-891C-89A20FACA13F}"/>
    <cellStyle name="Normal 5 2 4 2 9" xfId="17486" xr:uid="{0DCD82B5-249F-4534-9129-7A2148AC69D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24264" xr:uid="{C7CD2CF0-EDC4-409F-9963-32EA8A359489}"/>
    <cellStyle name="Normal 5 2 4 3 2 2 2 3" xfId="15816" xr:uid="{A288CD26-8EF6-4BE0-A21F-230EC3633508}"/>
    <cellStyle name="Normal 5 2 4 3 2 2 3" xfId="20046" xr:uid="{8DF794EA-931E-4D32-AF31-692E60CD4E15}"/>
    <cellStyle name="Normal 5 2 4 3 2 2 4" xfId="11598" xr:uid="{CDD3C4A0-C476-4E5E-B400-6479BF7AA8E9}"/>
    <cellStyle name="Normal 5 2 4 3 2 3" xfId="5221" xr:uid="{00000000-0005-0000-0000-0000FF180000}"/>
    <cellStyle name="Normal 5 2 4 3 2 3 2" xfId="22119" xr:uid="{B2B3735E-A29C-4D53-BE95-354570912973}"/>
    <cellStyle name="Normal 5 2 4 3 2 3 3" xfId="13671" xr:uid="{D339EC61-60D6-49B2-8C8A-A74A501AA896}"/>
    <cellStyle name="Normal 5 2 4 3 2 4" xfId="17901" xr:uid="{73A12DAC-F72F-4C54-A466-E664F4CA7153}"/>
    <cellStyle name="Normal 5 2 4 3 2 5" xfId="9453" xr:uid="{1FE65C5E-5E30-4075-8F9C-B887E82EB518}"/>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24677" xr:uid="{B014F7CC-F97B-420C-8076-D2531BBBC4E3}"/>
    <cellStyle name="Normal 5 2 4 3 3 2 2 3" xfId="16229" xr:uid="{398DA900-7EF4-46BD-A314-F11BFB0CF3FA}"/>
    <cellStyle name="Normal 5 2 4 3 3 2 3" xfId="20459" xr:uid="{5E9A684E-A242-43AC-A6D3-282BC3F610D5}"/>
    <cellStyle name="Normal 5 2 4 3 3 2 4" xfId="12011" xr:uid="{E81F432A-F939-4A3B-8308-FCD820D71402}"/>
    <cellStyle name="Normal 5 2 4 3 3 3" xfId="5634" xr:uid="{00000000-0005-0000-0000-000003190000}"/>
    <cellStyle name="Normal 5 2 4 3 3 3 2" xfId="22532" xr:uid="{5369D5D9-2344-4844-A66B-E10580C7F67A}"/>
    <cellStyle name="Normal 5 2 4 3 3 3 3" xfId="14084" xr:uid="{B2B6A8F4-4F6A-4068-AE53-368BE1D334A9}"/>
    <cellStyle name="Normal 5 2 4 3 3 4" xfId="18314" xr:uid="{51B3E671-B1AF-4B03-AD85-2B4A67763A43}"/>
    <cellStyle name="Normal 5 2 4 3 3 5" xfId="9866" xr:uid="{51407DCB-E73C-42D3-8DAD-D727507FF689}"/>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25090" xr:uid="{F7EDBA28-7732-48FE-BB07-51157B72FFAD}"/>
    <cellStyle name="Normal 5 2 4 3 4 2 2 3" xfId="16642" xr:uid="{F8C3FB52-8A92-4F82-A334-69B00F5EEC7F}"/>
    <cellStyle name="Normal 5 2 4 3 4 2 3" xfId="20872" xr:uid="{4BA4C48C-619D-4FAA-8670-33331A6381BC}"/>
    <cellStyle name="Normal 5 2 4 3 4 2 4" xfId="12424" xr:uid="{38EDBA7A-7D8A-4ABE-BE0B-8F5DDC208DB7}"/>
    <cellStyle name="Normal 5 2 4 3 4 3" xfId="6047" xr:uid="{00000000-0005-0000-0000-000007190000}"/>
    <cellStyle name="Normal 5 2 4 3 4 3 2" xfId="22945" xr:uid="{87BB4EA8-7209-481B-A69A-E1DFFEA133E6}"/>
    <cellStyle name="Normal 5 2 4 3 4 3 3" xfId="14497" xr:uid="{AF72BB83-97EB-49D8-90D2-B16841D3818F}"/>
    <cellStyle name="Normal 5 2 4 3 4 4" xfId="18727" xr:uid="{BF087BCF-B471-4582-BC2B-0C9B9B69A3D0}"/>
    <cellStyle name="Normal 5 2 4 3 4 5" xfId="10279" xr:uid="{1FF11051-3CC7-4742-82EC-DCB87B955FAE}"/>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25503" xr:uid="{46BC8473-5087-4397-B1B2-7A345B876F39}"/>
    <cellStyle name="Normal 5 2 4 3 5 2 2 3" xfId="17055" xr:uid="{70A0B6E0-83F1-4849-980A-AEFABEE5B6ED}"/>
    <cellStyle name="Normal 5 2 4 3 5 2 3" xfId="21285" xr:uid="{1A31C062-A7F7-4A92-B272-3F1DB5C20BAD}"/>
    <cellStyle name="Normal 5 2 4 3 5 2 4" xfId="12837" xr:uid="{88A7003C-D1D9-4C62-AF0A-00636E7F9A4C}"/>
    <cellStyle name="Normal 5 2 4 3 5 3" xfId="6460" xr:uid="{00000000-0005-0000-0000-00000B190000}"/>
    <cellStyle name="Normal 5 2 4 3 5 3 2" xfId="23358" xr:uid="{B64F2925-49A6-4FBA-908A-BC070547C92D}"/>
    <cellStyle name="Normal 5 2 4 3 5 3 3" xfId="14910" xr:uid="{1AE889F5-506D-4021-A55E-0FD6A7C9754C}"/>
    <cellStyle name="Normal 5 2 4 3 5 4" xfId="19140" xr:uid="{A32BA9FA-6D29-4132-AB3A-F3C06653ED95}"/>
    <cellStyle name="Normal 5 2 4 3 5 5" xfId="10692" xr:uid="{55B7FFBC-5E12-40A9-8DCA-0E1EE1D4C69E}"/>
    <cellStyle name="Normal 5 2 4 3 6" xfId="2590" xr:uid="{00000000-0005-0000-0000-00000C190000}"/>
    <cellStyle name="Normal 5 2 4 3 6 2" xfId="6873" xr:uid="{00000000-0005-0000-0000-00000D190000}"/>
    <cellStyle name="Normal 5 2 4 3 6 2 2" xfId="23771" xr:uid="{570D01B6-35B0-477A-AC0A-A59F66FF1937}"/>
    <cellStyle name="Normal 5 2 4 3 6 2 3" xfId="15323" xr:uid="{314EE93A-7D54-40C7-8605-154332684429}"/>
    <cellStyle name="Normal 5 2 4 3 6 3" xfId="19553" xr:uid="{7565DAEA-F568-45E8-B09F-112E837E546E}"/>
    <cellStyle name="Normal 5 2 4 3 6 4" xfId="11105" xr:uid="{C08E7E2F-1C2D-47EB-9599-0B962211433A}"/>
    <cellStyle name="Normal 5 2 4 3 7" xfId="4808" xr:uid="{00000000-0005-0000-0000-00000E190000}"/>
    <cellStyle name="Normal 5 2 4 3 7 2" xfId="21706" xr:uid="{E77DDD2B-69F2-40FF-8B94-E0D83856D4A7}"/>
    <cellStyle name="Normal 5 2 4 3 7 3" xfId="13258" xr:uid="{51EF9FAE-0170-4C01-8629-CF5E093F6BC9}"/>
    <cellStyle name="Normal 5 2 4 3 8" xfId="17488" xr:uid="{F5F6CA2D-F1CB-4D8D-B306-87798FE772DF}"/>
    <cellStyle name="Normal 5 2 4 3 9" xfId="9040" xr:uid="{6045CC9F-8D63-4337-B5A5-7F145AED73FA}"/>
    <cellStyle name="Normal 5 2 4 4" xfId="906" xr:uid="{00000000-0005-0000-0000-00000F190000}"/>
    <cellStyle name="Normal 5 2 4 4 2" xfId="3141" xr:uid="{00000000-0005-0000-0000-000010190000}"/>
    <cellStyle name="Normal 5 2 4 4 2 2" xfId="7363" xr:uid="{00000000-0005-0000-0000-000011190000}"/>
    <cellStyle name="Normal 5 2 4 4 2 2 2" xfId="24261" xr:uid="{ADAC2865-E0F4-4A2D-8110-FCD1CC569094}"/>
    <cellStyle name="Normal 5 2 4 4 2 2 3" xfId="15813" xr:uid="{796D1503-03F0-49A8-8F69-CD6023A6A18B}"/>
    <cellStyle name="Normal 5 2 4 4 2 3" xfId="20043" xr:uid="{93967FE7-B70B-48C4-A1D6-593FFDF8DD0A}"/>
    <cellStyle name="Normal 5 2 4 4 2 4" xfId="11595" xr:uid="{5EC3DBAA-F318-40F3-805D-7253F3944634}"/>
    <cellStyle name="Normal 5 2 4 4 3" xfId="5218" xr:uid="{00000000-0005-0000-0000-000012190000}"/>
    <cellStyle name="Normal 5 2 4 4 3 2" xfId="22116" xr:uid="{F3D7BE97-9767-4931-A570-ECA93299EE60}"/>
    <cellStyle name="Normal 5 2 4 4 3 3" xfId="13668" xr:uid="{6124CA1C-9FB9-44F9-A811-CAD97F69C268}"/>
    <cellStyle name="Normal 5 2 4 4 4" xfId="17898" xr:uid="{D7C64D79-D75A-4B64-8FA8-39B78EE367CB}"/>
    <cellStyle name="Normal 5 2 4 4 5" xfId="9450" xr:uid="{E8868479-3968-4C65-9454-679F2DAB8A36}"/>
    <cellStyle name="Normal 5 2 4 5" xfId="1324" xr:uid="{00000000-0005-0000-0000-000013190000}"/>
    <cellStyle name="Normal 5 2 4 5 2" xfId="3554" xr:uid="{00000000-0005-0000-0000-000014190000}"/>
    <cellStyle name="Normal 5 2 4 5 2 2" xfId="7776" xr:uid="{00000000-0005-0000-0000-000015190000}"/>
    <cellStyle name="Normal 5 2 4 5 2 2 2" xfId="24674" xr:uid="{15D7BA08-B3B3-4C47-B960-93F2D17B622F}"/>
    <cellStyle name="Normal 5 2 4 5 2 2 3" xfId="16226" xr:uid="{73EA5F07-BAC9-433A-B665-746AFC8FC034}"/>
    <cellStyle name="Normal 5 2 4 5 2 3" xfId="20456" xr:uid="{2664187B-0DFD-45E0-BF10-86A0DBC4D40E}"/>
    <cellStyle name="Normal 5 2 4 5 2 4" xfId="12008" xr:uid="{BC08BB37-EE5B-4151-A9E0-6B9083235867}"/>
    <cellStyle name="Normal 5 2 4 5 3" xfId="5631" xr:uid="{00000000-0005-0000-0000-000016190000}"/>
    <cellStyle name="Normal 5 2 4 5 3 2" xfId="22529" xr:uid="{E07B56DA-5FD9-47AE-837E-CB89D3EFD639}"/>
    <cellStyle name="Normal 5 2 4 5 3 3" xfId="14081" xr:uid="{0293D997-7B46-447E-B564-7BB51FDA2158}"/>
    <cellStyle name="Normal 5 2 4 5 4" xfId="18311" xr:uid="{DD93360C-80C7-4DDB-BEFF-7B1E9DF7A2B7}"/>
    <cellStyle name="Normal 5 2 4 5 5" xfId="9863" xr:uid="{DCD10248-063D-47C5-B484-B5CD56B32CDD}"/>
    <cellStyle name="Normal 5 2 4 6" xfId="1737" xr:uid="{00000000-0005-0000-0000-000017190000}"/>
    <cellStyle name="Normal 5 2 4 6 2" xfId="3967" xr:uid="{00000000-0005-0000-0000-000018190000}"/>
    <cellStyle name="Normal 5 2 4 6 2 2" xfId="8189" xr:uid="{00000000-0005-0000-0000-000019190000}"/>
    <cellStyle name="Normal 5 2 4 6 2 2 2" xfId="25087" xr:uid="{1E9CABB5-1AAA-4872-8D0F-7416448CFE95}"/>
    <cellStyle name="Normal 5 2 4 6 2 2 3" xfId="16639" xr:uid="{FB693FE7-105E-4A74-9D39-F4FE8C6898B3}"/>
    <cellStyle name="Normal 5 2 4 6 2 3" xfId="20869" xr:uid="{E03DA55E-76B2-46EA-95D0-678BE0158E56}"/>
    <cellStyle name="Normal 5 2 4 6 2 4" xfId="12421" xr:uid="{1430ED74-9CCF-4B70-B960-F37F14FDDCA8}"/>
    <cellStyle name="Normal 5 2 4 6 3" xfId="6044" xr:uid="{00000000-0005-0000-0000-00001A190000}"/>
    <cellStyle name="Normal 5 2 4 6 3 2" xfId="22942" xr:uid="{AF2063D6-6B7C-4D92-AE58-CC1507599112}"/>
    <cellStyle name="Normal 5 2 4 6 3 3" xfId="14494" xr:uid="{69EB1C66-7C00-403C-AA57-3EA2101C85E7}"/>
    <cellStyle name="Normal 5 2 4 6 4" xfId="18724" xr:uid="{801D3B75-C652-45BC-A723-BBBAB242A6A8}"/>
    <cellStyle name="Normal 5 2 4 6 5" xfId="10276" xr:uid="{6A4CC11D-7C46-40E5-9B84-F0A0669A0F58}"/>
    <cellStyle name="Normal 5 2 4 7" xfId="2151" xr:uid="{00000000-0005-0000-0000-00001B190000}"/>
    <cellStyle name="Normal 5 2 4 7 2" xfId="4380" xr:uid="{00000000-0005-0000-0000-00001C190000}"/>
    <cellStyle name="Normal 5 2 4 7 2 2" xfId="8602" xr:uid="{00000000-0005-0000-0000-00001D190000}"/>
    <cellStyle name="Normal 5 2 4 7 2 2 2" xfId="25500" xr:uid="{053E4D30-8909-4426-BB91-0C00BB9CC2DE}"/>
    <cellStyle name="Normal 5 2 4 7 2 2 3" xfId="17052" xr:uid="{CDCC1975-FB9E-4B40-A750-A691AD404668}"/>
    <cellStyle name="Normal 5 2 4 7 2 3" xfId="21282" xr:uid="{295681A6-205E-4A6F-A1E1-19B40878DBD8}"/>
    <cellStyle name="Normal 5 2 4 7 2 4" xfId="12834" xr:uid="{6E380C8E-4E9B-45A5-9E26-6F6BA14667DD}"/>
    <cellStyle name="Normal 5 2 4 7 3" xfId="6457" xr:uid="{00000000-0005-0000-0000-00001E190000}"/>
    <cellStyle name="Normal 5 2 4 7 3 2" xfId="23355" xr:uid="{9333FE0E-5E05-4398-A2EC-E110C77D43D5}"/>
    <cellStyle name="Normal 5 2 4 7 3 3" xfId="14907" xr:uid="{928B0660-4EC0-48AD-A655-901CB64825BF}"/>
    <cellStyle name="Normal 5 2 4 7 4" xfId="19137" xr:uid="{F5863D8D-057E-4A96-9D25-5A668E1C5DF7}"/>
    <cellStyle name="Normal 5 2 4 7 5" xfId="10689" xr:uid="{652617C2-7F91-4E2C-AFFF-D755282FDE69}"/>
    <cellStyle name="Normal 5 2 4 8" xfId="2587" xr:uid="{00000000-0005-0000-0000-00001F190000}"/>
    <cellStyle name="Normal 5 2 4 8 2" xfId="6870" xr:uid="{00000000-0005-0000-0000-000020190000}"/>
    <cellStyle name="Normal 5 2 4 8 2 2" xfId="23768" xr:uid="{CFE378C6-34A3-4DB8-A4DF-6813A48FF361}"/>
    <cellStyle name="Normal 5 2 4 8 2 3" xfId="15320" xr:uid="{771A765D-7CDB-4006-854D-58BF2B0033F9}"/>
    <cellStyle name="Normal 5 2 4 8 3" xfId="19550" xr:uid="{86DCF7DA-3936-4169-9193-B87062A52801}"/>
    <cellStyle name="Normal 5 2 4 8 4" xfId="11102" xr:uid="{D295D7A8-D3D5-4EB2-A3B3-55EF29EC5250}"/>
    <cellStyle name="Normal 5 2 4 9" xfId="4805" xr:uid="{00000000-0005-0000-0000-000021190000}"/>
    <cellStyle name="Normal 5 2 4 9 2" xfId="21703" xr:uid="{A2B7EE98-E0F0-4527-9DA4-B83C6E6B1F80}"/>
    <cellStyle name="Normal 5 2 4 9 3" xfId="13255" xr:uid="{C8854C26-786F-4959-A02D-BFD5C985038F}"/>
    <cellStyle name="Normal 5 2 5" xfId="436" xr:uid="{00000000-0005-0000-0000-000022190000}"/>
    <cellStyle name="Normal 5 2 5 10" xfId="9041" xr:uid="{60FF385C-9F4B-41D1-B248-A87BE30F71F3}"/>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24266" xr:uid="{3AAE3757-4DD7-4F50-8D19-D9D59D5D4C64}"/>
    <cellStyle name="Normal 5 2 5 2 2 2 2 3" xfId="15818" xr:uid="{AD938A1D-D6AA-4A32-BEB9-A32E7047AB45}"/>
    <cellStyle name="Normal 5 2 5 2 2 2 3" xfId="20048" xr:uid="{102F35A8-8F0B-4133-85F4-F62850FC36CD}"/>
    <cellStyle name="Normal 5 2 5 2 2 2 4" xfId="11600" xr:uid="{F5444DE0-8DF6-4993-9830-3835179E3425}"/>
    <cellStyle name="Normal 5 2 5 2 2 3" xfId="5223" xr:uid="{00000000-0005-0000-0000-000027190000}"/>
    <cellStyle name="Normal 5 2 5 2 2 3 2" xfId="22121" xr:uid="{16C4B31C-F01A-412A-9F56-482762DC075C}"/>
    <cellStyle name="Normal 5 2 5 2 2 3 3" xfId="13673" xr:uid="{450C4C6C-C019-494C-B07C-369A1479D7E2}"/>
    <cellStyle name="Normal 5 2 5 2 2 4" xfId="17903" xr:uid="{A455D39C-3835-4DA6-8D78-4F0DF8A9F41F}"/>
    <cellStyle name="Normal 5 2 5 2 2 5" xfId="9455" xr:uid="{F765AF76-EE68-49B4-8AA7-7D668A5DCD02}"/>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24679" xr:uid="{72887241-A08F-4E76-8244-A421CDB445E2}"/>
    <cellStyle name="Normal 5 2 5 2 3 2 2 3" xfId="16231" xr:uid="{15B6AB22-7FD6-470E-9658-830C40A7AAEA}"/>
    <cellStyle name="Normal 5 2 5 2 3 2 3" xfId="20461" xr:uid="{4ACB6FC2-1C1E-4DDB-892C-23765EC35D4B}"/>
    <cellStyle name="Normal 5 2 5 2 3 2 4" xfId="12013" xr:uid="{D0637CDD-32EF-4776-A565-D097CBC8E4A6}"/>
    <cellStyle name="Normal 5 2 5 2 3 3" xfId="5636" xr:uid="{00000000-0005-0000-0000-00002B190000}"/>
    <cellStyle name="Normal 5 2 5 2 3 3 2" xfId="22534" xr:uid="{B86B21BF-77E3-4C44-A14B-FBA6C0F8A1B8}"/>
    <cellStyle name="Normal 5 2 5 2 3 3 3" xfId="14086" xr:uid="{0276D200-C9C9-4265-9808-9D4FF5D05C80}"/>
    <cellStyle name="Normal 5 2 5 2 3 4" xfId="18316" xr:uid="{C860FCE2-EF1F-4D00-BBAE-D0CA3CB2CCB7}"/>
    <cellStyle name="Normal 5 2 5 2 3 5" xfId="9868" xr:uid="{8523A6E0-A211-43DC-AC74-344670A7E4EA}"/>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25092" xr:uid="{DCB29FE1-6287-4BA2-BEA6-7850CA3B435F}"/>
    <cellStyle name="Normal 5 2 5 2 4 2 2 3" xfId="16644" xr:uid="{CB77289D-A7B1-4396-A42E-93C1F11E58A2}"/>
    <cellStyle name="Normal 5 2 5 2 4 2 3" xfId="20874" xr:uid="{804630B0-FFD5-4538-BB8A-61568FFD34F7}"/>
    <cellStyle name="Normal 5 2 5 2 4 2 4" xfId="12426" xr:uid="{967DC4D5-CD99-4417-9DA6-A09FA8864D99}"/>
    <cellStyle name="Normal 5 2 5 2 4 3" xfId="6049" xr:uid="{00000000-0005-0000-0000-00002F190000}"/>
    <cellStyle name="Normal 5 2 5 2 4 3 2" xfId="22947" xr:uid="{0344D795-3F30-43FD-8C9F-5E1696F4E05D}"/>
    <cellStyle name="Normal 5 2 5 2 4 3 3" xfId="14499" xr:uid="{831BC326-69E1-4EE6-B45B-F8251A42AD5E}"/>
    <cellStyle name="Normal 5 2 5 2 4 4" xfId="18729" xr:uid="{51DF7342-75B6-43A1-826B-B14B3751FD5B}"/>
    <cellStyle name="Normal 5 2 5 2 4 5" xfId="10281" xr:uid="{01925746-73C3-4DFB-897D-3B84707A82E4}"/>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25505" xr:uid="{E9820195-EE17-42C4-867E-538CCC6D5CC1}"/>
    <cellStyle name="Normal 5 2 5 2 5 2 2 3" xfId="17057" xr:uid="{A589AA64-EA17-4949-985A-3C4BF0321C08}"/>
    <cellStyle name="Normal 5 2 5 2 5 2 3" xfId="21287" xr:uid="{53EFEE84-0D00-4CA9-AD62-C0E3FA66FAFE}"/>
    <cellStyle name="Normal 5 2 5 2 5 2 4" xfId="12839" xr:uid="{BA3EC55D-5B96-4E17-94BF-827E6B59EA40}"/>
    <cellStyle name="Normal 5 2 5 2 5 3" xfId="6462" xr:uid="{00000000-0005-0000-0000-000033190000}"/>
    <cellStyle name="Normal 5 2 5 2 5 3 2" xfId="23360" xr:uid="{8E2B5A0E-3815-4D11-91BC-6E3B2B7F9E60}"/>
    <cellStyle name="Normal 5 2 5 2 5 3 3" xfId="14912" xr:uid="{0D1EBAC9-FC35-4796-9527-C5717CEBE757}"/>
    <cellStyle name="Normal 5 2 5 2 5 4" xfId="19142" xr:uid="{4AEE162E-5247-4BCC-82B6-3A8184E0DD4A}"/>
    <cellStyle name="Normal 5 2 5 2 5 5" xfId="10694" xr:uid="{94BA3448-D196-451A-93E2-8C7703C8E5B5}"/>
    <cellStyle name="Normal 5 2 5 2 6" xfId="2592" xr:uid="{00000000-0005-0000-0000-000034190000}"/>
    <cellStyle name="Normal 5 2 5 2 6 2" xfId="6875" xr:uid="{00000000-0005-0000-0000-000035190000}"/>
    <cellStyle name="Normal 5 2 5 2 6 2 2" xfId="23773" xr:uid="{576EBE53-394D-444E-B39A-9AC4F7A4B7CC}"/>
    <cellStyle name="Normal 5 2 5 2 6 2 3" xfId="15325" xr:uid="{23150521-CFCE-4CFB-A59F-2103AE7E6D7D}"/>
    <cellStyle name="Normal 5 2 5 2 6 3" xfId="19555" xr:uid="{C72E234C-4702-4657-A000-B8F12404B3F2}"/>
    <cellStyle name="Normal 5 2 5 2 6 4" xfId="11107" xr:uid="{04C87E0E-F21E-4542-A8C4-A23E9919DE80}"/>
    <cellStyle name="Normal 5 2 5 2 7" xfId="4810" xr:uid="{00000000-0005-0000-0000-000036190000}"/>
    <cellStyle name="Normal 5 2 5 2 7 2" xfId="21708" xr:uid="{AB030536-3168-405D-B338-737D457FFFF8}"/>
    <cellStyle name="Normal 5 2 5 2 7 3" xfId="13260" xr:uid="{BDFD4FEF-BD45-41F0-A39E-A71222CFE65E}"/>
    <cellStyle name="Normal 5 2 5 2 8" xfId="17490" xr:uid="{25972364-9159-46CE-B353-DA3FDA55E8BB}"/>
    <cellStyle name="Normal 5 2 5 2 9" xfId="9042" xr:uid="{524F4553-5365-46F4-A4A9-7DEFE5B17A2C}"/>
    <cellStyle name="Normal 5 2 5 3" xfId="910" xr:uid="{00000000-0005-0000-0000-000037190000}"/>
    <cellStyle name="Normal 5 2 5 3 2" xfId="3145" xr:uid="{00000000-0005-0000-0000-000038190000}"/>
    <cellStyle name="Normal 5 2 5 3 2 2" xfId="7367" xr:uid="{00000000-0005-0000-0000-000039190000}"/>
    <cellStyle name="Normal 5 2 5 3 2 2 2" xfId="24265" xr:uid="{BBA5891D-CB06-4E51-A103-798BF9E769C8}"/>
    <cellStyle name="Normal 5 2 5 3 2 2 3" xfId="15817" xr:uid="{CD4FCCF0-C6C8-454D-AE27-1C35DED00C90}"/>
    <cellStyle name="Normal 5 2 5 3 2 3" xfId="20047" xr:uid="{539B94C2-2839-4D49-9581-2A92720055CC}"/>
    <cellStyle name="Normal 5 2 5 3 2 4" xfId="11599" xr:uid="{C92FD192-D6F6-47D2-9C18-92460E3FB653}"/>
    <cellStyle name="Normal 5 2 5 3 3" xfId="5222" xr:uid="{00000000-0005-0000-0000-00003A190000}"/>
    <cellStyle name="Normal 5 2 5 3 3 2" xfId="22120" xr:uid="{93946DBD-D429-47B7-9FB2-0EE109645295}"/>
    <cellStyle name="Normal 5 2 5 3 3 3" xfId="13672" xr:uid="{161BE8CE-DCE8-4321-9118-EA95158A0B5F}"/>
    <cellStyle name="Normal 5 2 5 3 4" xfId="17902" xr:uid="{F0ACA3AD-FBC6-451B-935E-3EF28D9C3A0B}"/>
    <cellStyle name="Normal 5 2 5 3 5" xfId="9454" xr:uid="{F3ECE74D-2157-4272-AE9E-AF5B5630F431}"/>
    <cellStyle name="Normal 5 2 5 4" xfId="1328" xr:uid="{00000000-0005-0000-0000-00003B190000}"/>
    <cellStyle name="Normal 5 2 5 4 2" xfId="3558" xr:uid="{00000000-0005-0000-0000-00003C190000}"/>
    <cellStyle name="Normal 5 2 5 4 2 2" xfId="7780" xr:uid="{00000000-0005-0000-0000-00003D190000}"/>
    <cellStyle name="Normal 5 2 5 4 2 2 2" xfId="24678" xr:uid="{73F97485-AC4B-468C-A2E6-1E65ADEEC473}"/>
    <cellStyle name="Normal 5 2 5 4 2 2 3" xfId="16230" xr:uid="{9D36EBD0-F2A5-47DF-83B3-0D545950687C}"/>
    <cellStyle name="Normal 5 2 5 4 2 3" xfId="20460" xr:uid="{3951AD90-DA36-4734-9BCE-241FCB887A07}"/>
    <cellStyle name="Normal 5 2 5 4 2 4" xfId="12012" xr:uid="{78C2662B-E18C-4F0B-B5C7-F997A99DD2A7}"/>
    <cellStyle name="Normal 5 2 5 4 3" xfId="5635" xr:uid="{00000000-0005-0000-0000-00003E190000}"/>
    <cellStyle name="Normal 5 2 5 4 3 2" xfId="22533" xr:uid="{3966C9D6-BD7C-42B4-9BC6-DFED69A0E7CD}"/>
    <cellStyle name="Normal 5 2 5 4 3 3" xfId="14085" xr:uid="{0F4DFC18-DE2E-48DC-9708-AE02AD8E22EC}"/>
    <cellStyle name="Normal 5 2 5 4 4" xfId="18315" xr:uid="{E10C6BA2-0A34-40F2-9D89-6C661B905A1F}"/>
    <cellStyle name="Normal 5 2 5 4 5" xfId="9867" xr:uid="{6DBC5D72-AC69-4D7B-A2A8-6BB6F7E0F141}"/>
    <cellStyle name="Normal 5 2 5 5" xfId="1741" xr:uid="{00000000-0005-0000-0000-00003F190000}"/>
    <cellStyle name="Normal 5 2 5 5 2" xfId="3971" xr:uid="{00000000-0005-0000-0000-000040190000}"/>
    <cellStyle name="Normal 5 2 5 5 2 2" xfId="8193" xr:uid="{00000000-0005-0000-0000-000041190000}"/>
    <cellStyle name="Normal 5 2 5 5 2 2 2" xfId="25091" xr:uid="{D04C7FE8-9A28-4C85-89B5-E742485DCEDE}"/>
    <cellStyle name="Normal 5 2 5 5 2 2 3" xfId="16643" xr:uid="{487ED293-7F77-48C1-ACF5-3D4E3D4730BE}"/>
    <cellStyle name="Normal 5 2 5 5 2 3" xfId="20873" xr:uid="{B942CBE7-8C39-4C3F-9154-CB6C1D7CA484}"/>
    <cellStyle name="Normal 5 2 5 5 2 4" xfId="12425" xr:uid="{54E5144D-333E-4739-B4AB-59F0CD86F081}"/>
    <cellStyle name="Normal 5 2 5 5 3" xfId="6048" xr:uid="{00000000-0005-0000-0000-000042190000}"/>
    <cellStyle name="Normal 5 2 5 5 3 2" xfId="22946" xr:uid="{693F2D96-F99D-4BAB-B58B-DC127410ADAC}"/>
    <cellStyle name="Normal 5 2 5 5 3 3" xfId="14498" xr:uid="{D7286573-C94A-48A9-9A88-9010391F26BE}"/>
    <cellStyle name="Normal 5 2 5 5 4" xfId="18728" xr:uid="{59E7F532-EBFA-4678-9C78-54A3A008AD0F}"/>
    <cellStyle name="Normal 5 2 5 5 5" xfId="10280" xr:uid="{3A35902F-CC3C-49D7-979F-D9432B2FC4CB}"/>
    <cellStyle name="Normal 5 2 5 6" xfId="2155" xr:uid="{00000000-0005-0000-0000-000043190000}"/>
    <cellStyle name="Normal 5 2 5 6 2" xfId="4384" xr:uid="{00000000-0005-0000-0000-000044190000}"/>
    <cellStyle name="Normal 5 2 5 6 2 2" xfId="8606" xr:uid="{00000000-0005-0000-0000-000045190000}"/>
    <cellStyle name="Normal 5 2 5 6 2 2 2" xfId="25504" xr:uid="{8008D5A4-8DD1-497F-A37F-66A32D5AFF76}"/>
    <cellStyle name="Normal 5 2 5 6 2 2 3" xfId="17056" xr:uid="{A512DEB2-0C2E-4D66-9502-92EB82B35116}"/>
    <cellStyle name="Normal 5 2 5 6 2 3" xfId="21286" xr:uid="{73A3B75C-507C-4A9B-9423-A34880953358}"/>
    <cellStyle name="Normal 5 2 5 6 2 4" xfId="12838" xr:uid="{68652BF4-BF88-414F-A624-0ED90D9F9EC7}"/>
    <cellStyle name="Normal 5 2 5 6 3" xfId="6461" xr:uid="{00000000-0005-0000-0000-000046190000}"/>
    <cellStyle name="Normal 5 2 5 6 3 2" xfId="23359" xr:uid="{65E9F676-F4A8-419D-B7FE-AF71F14582F4}"/>
    <cellStyle name="Normal 5 2 5 6 3 3" xfId="14911" xr:uid="{5091EECD-78B2-4B1F-B4BD-1487CB94FF7A}"/>
    <cellStyle name="Normal 5 2 5 6 4" xfId="19141" xr:uid="{B7844450-794E-4D21-9383-269DD540CFEF}"/>
    <cellStyle name="Normal 5 2 5 6 5" xfId="10693" xr:uid="{ADFC69D0-FB96-467D-AF1D-C9DE5E3441E4}"/>
    <cellStyle name="Normal 5 2 5 7" xfId="2591" xr:uid="{00000000-0005-0000-0000-000047190000}"/>
    <cellStyle name="Normal 5 2 5 7 2" xfId="6874" xr:uid="{00000000-0005-0000-0000-000048190000}"/>
    <cellStyle name="Normal 5 2 5 7 2 2" xfId="23772" xr:uid="{C1D390E5-71F2-4B76-81BE-29A78A9F8396}"/>
    <cellStyle name="Normal 5 2 5 7 2 3" xfId="15324" xr:uid="{51C38F42-7BF1-4A38-830F-ABB7C86DAFE9}"/>
    <cellStyle name="Normal 5 2 5 7 3" xfId="19554" xr:uid="{26B4CAC8-027A-4B5B-8F65-84A894E15760}"/>
    <cellStyle name="Normal 5 2 5 7 4" xfId="11106" xr:uid="{2654F6AB-F2DF-4B46-BA8F-D44ED3791DFD}"/>
    <cellStyle name="Normal 5 2 5 8" xfId="4809" xr:uid="{00000000-0005-0000-0000-000049190000}"/>
    <cellStyle name="Normal 5 2 5 8 2" xfId="21707" xr:uid="{0164C79A-17E9-49A2-AAD0-22F632DE6B9C}"/>
    <cellStyle name="Normal 5 2 5 8 3" xfId="13259" xr:uid="{0E2812BC-2F09-4064-8A40-410EF2040B21}"/>
    <cellStyle name="Normal 5 2 5 9" xfId="17489" xr:uid="{0F99DA71-4FA2-44ED-9F27-45F036C1907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2 2 2" xfId="24267" xr:uid="{F47A218E-4897-49CE-9243-CA211486593E}"/>
    <cellStyle name="Normal 5 2 6 2 2 2 3" xfId="15819" xr:uid="{79BD4DB5-E42E-48AF-ACCB-EFD3077DE067}"/>
    <cellStyle name="Normal 5 2 6 2 2 3" xfId="20049" xr:uid="{09585054-D809-4725-B114-EC9E9BFA107B}"/>
    <cellStyle name="Normal 5 2 6 2 2 4" xfId="11601" xr:uid="{9EF56502-D70D-4F67-8E7C-BED8E238AE91}"/>
    <cellStyle name="Normal 5 2 6 2 3" xfId="5224" xr:uid="{00000000-0005-0000-0000-00004E190000}"/>
    <cellStyle name="Normal 5 2 6 2 3 2" xfId="22122" xr:uid="{F7A5E854-6FD0-41CE-B75A-B23D296F13B6}"/>
    <cellStyle name="Normal 5 2 6 2 3 3" xfId="13674" xr:uid="{381D7459-F184-4E3F-A7F0-E1C3A1A6802E}"/>
    <cellStyle name="Normal 5 2 6 2 4" xfId="17904" xr:uid="{4C2B7001-888C-4D6E-B208-1F70CD2B00FB}"/>
    <cellStyle name="Normal 5 2 6 2 5" xfId="9456" xr:uid="{A4D076C0-172E-40F2-BA3D-3B6AB4FE6FA9}"/>
    <cellStyle name="Normal 5 2 6 3" xfId="1330" xr:uid="{00000000-0005-0000-0000-00004F190000}"/>
    <cellStyle name="Normal 5 2 6 3 2" xfId="3560" xr:uid="{00000000-0005-0000-0000-000050190000}"/>
    <cellStyle name="Normal 5 2 6 3 2 2" xfId="7782" xr:uid="{00000000-0005-0000-0000-000051190000}"/>
    <cellStyle name="Normal 5 2 6 3 2 2 2" xfId="24680" xr:uid="{A62C37E9-2693-43D1-A709-161C1C0E7F19}"/>
    <cellStyle name="Normal 5 2 6 3 2 2 3" xfId="16232" xr:uid="{45666777-AE91-4604-94A2-139E8ECD7E90}"/>
    <cellStyle name="Normal 5 2 6 3 2 3" xfId="20462" xr:uid="{325FD1F7-A184-4EC3-BFF4-6698C15F5D71}"/>
    <cellStyle name="Normal 5 2 6 3 2 4" xfId="12014" xr:uid="{B42FC5C2-3EB2-4D8E-A58D-34ADC84265AD}"/>
    <cellStyle name="Normal 5 2 6 3 3" xfId="5637" xr:uid="{00000000-0005-0000-0000-000052190000}"/>
    <cellStyle name="Normal 5 2 6 3 3 2" xfId="22535" xr:uid="{CBA27775-DC0F-4C74-BC23-8DBB47B5666A}"/>
    <cellStyle name="Normal 5 2 6 3 3 3" xfId="14087" xr:uid="{B904CDBC-447E-44CE-8779-A17B5A408198}"/>
    <cellStyle name="Normal 5 2 6 3 4" xfId="18317" xr:uid="{1A8DF44A-5773-4AF0-9E41-D92A356912C8}"/>
    <cellStyle name="Normal 5 2 6 3 5" xfId="9869" xr:uid="{D38E62A6-A8A7-4692-B326-353E6ECC37FF}"/>
    <cellStyle name="Normal 5 2 6 4" xfId="1743" xr:uid="{00000000-0005-0000-0000-000053190000}"/>
    <cellStyle name="Normal 5 2 6 4 2" xfId="3973" xr:uid="{00000000-0005-0000-0000-000054190000}"/>
    <cellStyle name="Normal 5 2 6 4 2 2" xfId="8195" xr:uid="{00000000-0005-0000-0000-000055190000}"/>
    <cellStyle name="Normal 5 2 6 4 2 2 2" xfId="25093" xr:uid="{23B9F82B-C413-40E0-BBC8-9B8BED76450D}"/>
    <cellStyle name="Normal 5 2 6 4 2 2 3" xfId="16645" xr:uid="{9C60A6B1-FB88-4105-BD90-1655D57F4E42}"/>
    <cellStyle name="Normal 5 2 6 4 2 3" xfId="20875" xr:uid="{DB1AF294-A5ED-40C8-9E35-767AEBF5414E}"/>
    <cellStyle name="Normal 5 2 6 4 2 4" xfId="12427" xr:uid="{04193B7E-DD4C-401D-8F5B-479DB2F71392}"/>
    <cellStyle name="Normal 5 2 6 4 3" xfId="6050" xr:uid="{00000000-0005-0000-0000-000056190000}"/>
    <cellStyle name="Normal 5 2 6 4 3 2" xfId="22948" xr:uid="{C3D4A6BB-A644-4FA9-B5CE-506A3D82D535}"/>
    <cellStyle name="Normal 5 2 6 4 3 3" xfId="14500" xr:uid="{154CA7C0-314D-483C-9A9D-5B98F3C27B73}"/>
    <cellStyle name="Normal 5 2 6 4 4" xfId="18730" xr:uid="{24785A43-A1B7-4F04-9E38-61730A431CDA}"/>
    <cellStyle name="Normal 5 2 6 4 5" xfId="10282" xr:uid="{6A1EB1CA-D150-4DDE-ADE5-87DA71888A0E}"/>
    <cellStyle name="Normal 5 2 6 5" xfId="2157" xr:uid="{00000000-0005-0000-0000-000057190000}"/>
    <cellStyle name="Normal 5 2 6 5 2" xfId="4386" xr:uid="{00000000-0005-0000-0000-000058190000}"/>
    <cellStyle name="Normal 5 2 6 5 2 2" xfId="8608" xr:uid="{00000000-0005-0000-0000-000059190000}"/>
    <cellStyle name="Normal 5 2 6 5 2 2 2" xfId="25506" xr:uid="{143505BA-E31D-4B63-8515-F0DBD9CA8420}"/>
    <cellStyle name="Normal 5 2 6 5 2 2 3" xfId="17058" xr:uid="{D96656CE-2C56-4E77-A8FA-EE71BDC311D9}"/>
    <cellStyle name="Normal 5 2 6 5 2 3" xfId="21288" xr:uid="{3C4F512F-2D7D-45E8-AEB7-E9FFE0488673}"/>
    <cellStyle name="Normal 5 2 6 5 2 4" xfId="12840" xr:uid="{677973A7-B997-41CB-8839-A3522B57CFAE}"/>
    <cellStyle name="Normal 5 2 6 5 3" xfId="6463" xr:uid="{00000000-0005-0000-0000-00005A190000}"/>
    <cellStyle name="Normal 5 2 6 5 3 2" xfId="23361" xr:uid="{3AA617D2-D3F3-4FA9-A95F-D7A4F2880AB7}"/>
    <cellStyle name="Normal 5 2 6 5 3 3" xfId="14913" xr:uid="{C9C4FBAB-C63C-4A6A-AC61-4C836D0BD14A}"/>
    <cellStyle name="Normal 5 2 6 5 4" xfId="19143" xr:uid="{944FAD15-3E40-406A-B251-4DA3C92AABCA}"/>
    <cellStyle name="Normal 5 2 6 5 5" xfId="10695" xr:uid="{8552EFD9-EA03-4827-AC60-940D8A3B3E9C}"/>
    <cellStyle name="Normal 5 2 6 6" xfId="2593" xr:uid="{00000000-0005-0000-0000-00005B190000}"/>
    <cellStyle name="Normal 5 2 6 6 2" xfId="6876" xr:uid="{00000000-0005-0000-0000-00005C190000}"/>
    <cellStyle name="Normal 5 2 6 6 2 2" xfId="23774" xr:uid="{D740379B-E39D-480C-B712-0E0D4F3878D8}"/>
    <cellStyle name="Normal 5 2 6 6 2 3" xfId="15326" xr:uid="{7A7AD828-A5C1-49B0-9367-E28E23D12446}"/>
    <cellStyle name="Normal 5 2 6 6 3" xfId="19556" xr:uid="{E9E6F232-2F79-45B9-ABFA-2A96A8F58796}"/>
    <cellStyle name="Normal 5 2 6 6 4" xfId="11108" xr:uid="{0377AA4F-6323-4D6D-9668-DA24D7C11A61}"/>
    <cellStyle name="Normal 5 2 6 7" xfId="4811" xr:uid="{00000000-0005-0000-0000-00005D190000}"/>
    <cellStyle name="Normal 5 2 6 7 2" xfId="21709" xr:uid="{EA8B9B31-1A47-4ACC-8811-E4F01B35A42F}"/>
    <cellStyle name="Normal 5 2 6 7 3" xfId="13261" xr:uid="{81F8B74D-BDAE-4C72-9964-C905565DE66A}"/>
    <cellStyle name="Normal 5 2 6 8" xfId="17491" xr:uid="{86175B23-DCF6-4078-A6CE-4FF272DEBB93}"/>
    <cellStyle name="Normal 5 2 6 9" xfId="9043" xr:uid="{B0FF9E72-3E6A-4EDF-A6AC-17B41DC32C4D}"/>
    <cellStyle name="Normal 5 2 7" xfId="881" xr:uid="{00000000-0005-0000-0000-00005E190000}"/>
    <cellStyle name="Normal 5 2 7 2" xfId="3116" xr:uid="{00000000-0005-0000-0000-00005F190000}"/>
    <cellStyle name="Normal 5 2 7 2 2" xfId="7338" xr:uid="{00000000-0005-0000-0000-000060190000}"/>
    <cellStyle name="Normal 5 2 7 2 2 2" xfId="24236" xr:uid="{9938FDFC-31A8-4A9E-927C-B5045C59358D}"/>
    <cellStyle name="Normal 5 2 7 2 2 3" xfId="15788" xr:uid="{89462B35-2A9B-4D4A-9382-6676CAC620B3}"/>
    <cellStyle name="Normal 5 2 7 2 3" xfId="20018" xr:uid="{AD72BFCB-100F-4036-B864-F57FFD4A3F93}"/>
    <cellStyle name="Normal 5 2 7 2 4" xfId="11570" xr:uid="{5C191D85-82F1-4C54-B13B-CDFAFB76F5D5}"/>
    <cellStyle name="Normal 5 2 7 3" xfId="5193" xr:uid="{00000000-0005-0000-0000-000061190000}"/>
    <cellStyle name="Normal 5 2 7 3 2" xfId="22091" xr:uid="{7487E7E9-F78B-4C8E-8C99-D83339C19268}"/>
    <cellStyle name="Normal 5 2 7 3 3" xfId="13643" xr:uid="{E495CFB9-C467-41B0-9270-3F0D17D8433E}"/>
    <cellStyle name="Normal 5 2 7 4" xfId="17873" xr:uid="{87F32B09-48AD-45BE-9E04-5744EFB258C1}"/>
    <cellStyle name="Normal 5 2 7 5" xfId="9425" xr:uid="{A51B979F-5E77-48AC-9261-16A619E6CF73}"/>
    <cellStyle name="Normal 5 2 8" xfId="1299" xr:uid="{00000000-0005-0000-0000-000062190000}"/>
    <cellStyle name="Normal 5 2 8 2" xfId="3529" xr:uid="{00000000-0005-0000-0000-000063190000}"/>
    <cellStyle name="Normal 5 2 8 2 2" xfId="7751" xr:uid="{00000000-0005-0000-0000-000064190000}"/>
    <cellStyle name="Normal 5 2 8 2 2 2" xfId="24649" xr:uid="{48703F84-C7CA-4AF0-A2A0-8EA26839917C}"/>
    <cellStyle name="Normal 5 2 8 2 2 3" xfId="16201" xr:uid="{588A286A-FBF8-4D78-83AC-F4D07E4D5BDC}"/>
    <cellStyle name="Normal 5 2 8 2 3" xfId="20431" xr:uid="{93CA07A2-F7DF-48BF-9BA9-A2EA40FD228E}"/>
    <cellStyle name="Normal 5 2 8 2 4" xfId="11983" xr:uid="{67A47A67-ADF2-4396-98CD-89CE9CD2FB58}"/>
    <cellStyle name="Normal 5 2 8 3" xfId="5606" xr:uid="{00000000-0005-0000-0000-000065190000}"/>
    <cellStyle name="Normal 5 2 8 3 2" xfId="22504" xr:uid="{67F2C6B8-CFD4-4724-AADD-DA21C8E2AB32}"/>
    <cellStyle name="Normal 5 2 8 3 3" xfId="14056" xr:uid="{99975E28-421B-4014-AAA7-A8217E891C28}"/>
    <cellStyle name="Normal 5 2 8 4" xfId="18286" xr:uid="{536E1B66-5683-495E-BEED-7A95E71CECCC}"/>
    <cellStyle name="Normal 5 2 8 5" xfId="9838" xr:uid="{051297A0-2E3E-4A8E-AEE7-3C0A625AC1F0}"/>
    <cellStyle name="Normal 5 2 9" xfId="1712" xr:uid="{00000000-0005-0000-0000-000066190000}"/>
    <cellStyle name="Normal 5 2 9 2" xfId="3942" xr:uid="{00000000-0005-0000-0000-000067190000}"/>
    <cellStyle name="Normal 5 2 9 2 2" xfId="8164" xr:uid="{00000000-0005-0000-0000-000068190000}"/>
    <cellStyle name="Normal 5 2 9 2 2 2" xfId="25062" xr:uid="{1E3DCD50-FE3C-4BE3-9E3F-3558518F371C}"/>
    <cellStyle name="Normal 5 2 9 2 2 3" xfId="16614" xr:uid="{ACDA443F-19C3-4766-9D89-81577417CC3B}"/>
    <cellStyle name="Normal 5 2 9 2 3" xfId="20844" xr:uid="{0750A894-4790-4DE3-9194-2731DE8D2C65}"/>
    <cellStyle name="Normal 5 2 9 2 4" xfId="12396" xr:uid="{05B142D5-4E85-401E-8A2F-0D891D57FD6D}"/>
    <cellStyle name="Normal 5 2 9 3" xfId="6019" xr:uid="{00000000-0005-0000-0000-000069190000}"/>
    <cellStyle name="Normal 5 2 9 3 2" xfId="22917" xr:uid="{5CF205FE-2753-441B-A384-24A10C37B6B7}"/>
    <cellStyle name="Normal 5 2 9 3 3" xfId="14469" xr:uid="{DFB7BDD4-9F93-4DE5-BD15-8314BD3FD6C8}"/>
    <cellStyle name="Normal 5 2 9 4" xfId="18699" xr:uid="{44F0F2B6-1D32-429F-8E35-9B07DEFE1DD7}"/>
    <cellStyle name="Normal 5 2 9 5" xfId="10251" xr:uid="{75D18283-3264-4C3F-AC62-22C6C5437CFC}"/>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25507" xr:uid="{1B0AE659-87E6-4555-8588-17B8A417B8A7}"/>
    <cellStyle name="Normal 5 3 10 2 2 3" xfId="17059" xr:uid="{ABECB91C-3E2C-4E38-937A-67E5F6BF0274}"/>
    <cellStyle name="Normal 5 3 10 2 3" xfId="21289" xr:uid="{DB0340EC-FEC8-4CB9-A8A2-32903323B1B8}"/>
    <cellStyle name="Normal 5 3 10 2 4" xfId="12841" xr:uid="{50D01AC7-5C41-4408-82EC-21154E7FADCB}"/>
    <cellStyle name="Normal 5 3 10 3" xfId="6464" xr:uid="{00000000-0005-0000-0000-00006E190000}"/>
    <cellStyle name="Normal 5 3 10 3 2" xfId="23362" xr:uid="{9FF0458F-4854-43B4-B2EF-CA717FF110EA}"/>
    <cellStyle name="Normal 5 3 10 3 3" xfId="14914" xr:uid="{48E367D6-62CD-455E-87D3-7A4A471A4D9D}"/>
    <cellStyle name="Normal 5 3 10 4" xfId="19144" xr:uid="{721D9665-BA4F-4998-93FD-D0571DBDB606}"/>
    <cellStyle name="Normal 5 3 10 5" xfId="10696" xr:uid="{6ED4289F-54E9-4316-9145-D07370F1F62B}"/>
    <cellStyle name="Normal 5 3 11" xfId="2594" xr:uid="{00000000-0005-0000-0000-00006F190000}"/>
    <cellStyle name="Normal 5 3 11 2" xfId="6877" xr:uid="{00000000-0005-0000-0000-000070190000}"/>
    <cellStyle name="Normal 5 3 11 2 2" xfId="23775" xr:uid="{ED9A61FF-12EE-4172-B410-0BB64D0058B7}"/>
    <cellStyle name="Normal 5 3 11 2 3" xfId="15327" xr:uid="{2CC36C7B-9834-4704-B61E-1E8663350212}"/>
    <cellStyle name="Normal 5 3 11 3" xfId="19557" xr:uid="{F8A5D839-3D19-4B68-A04D-9F80E6DC7394}"/>
    <cellStyle name="Normal 5 3 11 4" xfId="11109" xr:uid="{3331E262-4F53-47E5-9DB9-6E341096EF9C}"/>
    <cellStyle name="Normal 5 3 12" xfId="4812" xr:uid="{00000000-0005-0000-0000-000071190000}"/>
    <cellStyle name="Normal 5 3 12 2" xfId="21710" xr:uid="{9A8B9873-4A5D-495C-B804-AC5DFF8EFF0A}"/>
    <cellStyle name="Normal 5 3 12 3" xfId="13262" xr:uid="{66538F6D-9F77-4FD2-8DAD-D66623D3B560}"/>
    <cellStyle name="Normal 5 3 13" xfId="17492" xr:uid="{0BA83874-D412-40B5-B40E-7398FA07C316}"/>
    <cellStyle name="Normal 5 3 14" xfId="9044" xr:uid="{6DEF59C6-ABF4-4A32-BDA6-F8AFF3409C5F}"/>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21711" xr:uid="{E58B361F-63B6-4A63-82F6-DF71F9735BD4}"/>
    <cellStyle name="Normal 5 3 3 10 3" xfId="13263" xr:uid="{0E391DC9-7F3F-4C8A-958F-7D63B77F40AA}"/>
    <cellStyle name="Normal 5 3 3 11" xfId="17493" xr:uid="{C9B3C407-CFD8-4163-A21A-CD462A7D0233}"/>
    <cellStyle name="Normal 5 3 3 12" xfId="9045" xr:uid="{1D1015DB-3302-4573-99C8-B7EF933FB171}"/>
    <cellStyle name="Normal 5 3 3 2" xfId="442" xr:uid="{00000000-0005-0000-0000-000076190000}"/>
    <cellStyle name="Normal 5 3 3 2 10" xfId="17494" xr:uid="{85F455E5-B89C-49BF-8202-10B785FC4939}"/>
    <cellStyle name="Normal 5 3 3 2 11" xfId="9046" xr:uid="{D35A0224-166C-4A24-996F-C31E1CD98801}"/>
    <cellStyle name="Normal 5 3 3 2 2" xfId="443" xr:uid="{00000000-0005-0000-0000-000077190000}"/>
    <cellStyle name="Normal 5 3 3 2 2 10" xfId="9047" xr:uid="{44888CBA-CA75-46EB-858E-F34870797BA2}"/>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24272" xr:uid="{D39CF5D2-DF9B-4BF0-BB4C-F38776F1A718}"/>
    <cellStyle name="Normal 5 3 3 2 2 2 2 2 2 3" xfId="15824" xr:uid="{E3990353-E358-4541-B5D1-81800A2D2F9E}"/>
    <cellStyle name="Normal 5 3 3 2 2 2 2 2 3" xfId="20054" xr:uid="{DA58A90B-111D-4895-94C9-E8F153B9E909}"/>
    <cellStyle name="Normal 5 3 3 2 2 2 2 2 4" xfId="11606" xr:uid="{6D053280-55F9-45C9-BC20-2B2400367299}"/>
    <cellStyle name="Normal 5 3 3 2 2 2 2 3" xfId="5229" xr:uid="{00000000-0005-0000-0000-00007C190000}"/>
    <cellStyle name="Normal 5 3 3 2 2 2 2 3 2" xfId="22127" xr:uid="{90732E6E-0C1E-433B-A82B-9732A5171526}"/>
    <cellStyle name="Normal 5 3 3 2 2 2 2 3 3" xfId="13679" xr:uid="{B5FCDA81-5BFC-4F59-ADC7-5EF34E3E5511}"/>
    <cellStyle name="Normal 5 3 3 2 2 2 2 4" xfId="17909" xr:uid="{1B1522D4-5EAE-48E2-B3AF-FD078223AAE5}"/>
    <cellStyle name="Normal 5 3 3 2 2 2 2 5" xfId="9461" xr:uid="{0C5EEF9E-C845-4C7A-829E-4D4DA8E8027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24685" xr:uid="{E9B99AA8-DBB9-4E57-B060-CFD63702F07B}"/>
    <cellStyle name="Normal 5 3 3 2 2 2 3 2 2 3" xfId="16237" xr:uid="{AC8F00EE-0772-4AE7-AF75-279F0E4B9AB5}"/>
    <cellStyle name="Normal 5 3 3 2 2 2 3 2 3" xfId="20467" xr:uid="{613D2A7F-61C6-4183-93A3-852DCC8B0CF6}"/>
    <cellStyle name="Normal 5 3 3 2 2 2 3 2 4" xfId="12019" xr:uid="{DDB752AF-ECCB-4397-AF96-253C78BD9BAD}"/>
    <cellStyle name="Normal 5 3 3 2 2 2 3 3" xfId="5642" xr:uid="{00000000-0005-0000-0000-000080190000}"/>
    <cellStyle name="Normal 5 3 3 2 2 2 3 3 2" xfId="22540" xr:uid="{7895EA0A-6359-4A03-8410-2B09C62DD87E}"/>
    <cellStyle name="Normal 5 3 3 2 2 2 3 3 3" xfId="14092" xr:uid="{84483F8B-394D-450F-B25A-3DA4F8A8526F}"/>
    <cellStyle name="Normal 5 3 3 2 2 2 3 4" xfId="18322" xr:uid="{2E8DB615-CC8A-41BD-845A-6B1A985C1FC1}"/>
    <cellStyle name="Normal 5 3 3 2 2 2 3 5" xfId="9874" xr:uid="{1E00573F-A615-44FD-96F7-311AB152CB42}"/>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25098" xr:uid="{67C1C140-DEE2-4B34-AB8D-F8C774C1D29A}"/>
    <cellStyle name="Normal 5 3 3 2 2 2 4 2 2 3" xfId="16650" xr:uid="{D145A25C-ACB6-4E0F-82C4-2F63C5F7D16D}"/>
    <cellStyle name="Normal 5 3 3 2 2 2 4 2 3" xfId="20880" xr:uid="{3DE038C6-D78E-4B77-8296-89336FEDD96E}"/>
    <cellStyle name="Normal 5 3 3 2 2 2 4 2 4" xfId="12432" xr:uid="{DDF02B5F-E568-4A7D-9DAA-B8696EE89717}"/>
    <cellStyle name="Normal 5 3 3 2 2 2 4 3" xfId="6055" xr:uid="{00000000-0005-0000-0000-000084190000}"/>
    <cellStyle name="Normal 5 3 3 2 2 2 4 3 2" xfId="22953" xr:uid="{F386125D-5809-422D-B248-96A840ACB41F}"/>
    <cellStyle name="Normal 5 3 3 2 2 2 4 3 3" xfId="14505" xr:uid="{86C98CBB-7BE0-4486-80D3-983273104765}"/>
    <cellStyle name="Normal 5 3 3 2 2 2 4 4" xfId="18735" xr:uid="{F766261B-BB41-4BE2-93CF-E04DAFCA7E08}"/>
    <cellStyle name="Normal 5 3 3 2 2 2 4 5" xfId="10287" xr:uid="{A4119816-D3C3-404A-85CD-8432F9910A3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25511" xr:uid="{A61C1B1E-F5BD-4B22-81D4-DDEDCECD35A4}"/>
    <cellStyle name="Normal 5 3 3 2 2 2 5 2 2 3" xfId="17063" xr:uid="{2AD18525-5491-4B51-BE89-78261D5740FA}"/>
    <cellStyle name="Normal 5 3 3 2 2 2 5 2 3" xfId="21293" xr:uid="{5C7F042F-8809-454F-9980-63CC8F619E0E}"/>
    <cellStyle name="Normal 5 3 3 2 2 2 5 2 4" xfId="12845" xr:uid="{B42C19E7-FA17-4EF6-BF94-BC4717F5EBC3}"/>
    <cellStyle name="Normal 5 3 3 2 2 2 5 3" xfId="6468" xr:uid="{00000000-0005-0000-0000-000088190000}"/>
    <cellStyle name="Normal 5 3 3 2 2 2 5 3 2" xfId="23366" xr:uid="{B3AC8DF0-DDE7-44F6-983B-B2C9D4028F4C}"/>
    <cellStyle name="Normal 5 3 3 2 2 2 5 3 3" xfId="14918" xr:uid="{5D09B3FE-C125-47FC-B924-804F90B24A88}"/>
    <cellStyle name="Normal 5 3 3 2 2 2 5 4" xfId="19148" xr:uid="{60A60020-3E2A-4438-BF76-C8730C084D38}"/>
    <cellStyle name="Normal 5 3 3 2 2 2 5 5" xfId="10700" xr:uid="{30789667-B0A1-4176-AE90-CDC45CE8BD9F}"/>
    <cellStyle name="Normal 5 3 3 2 2 2 6" xfId="2598" xr:uid="{00000000-0005-0000-0000-000089190000}"/>
    <cellStyle name="Normal 5 3 3 2 2 2 6 2" xfId="6881" xr:uid="{00000000-0005-0000-0000-00008A190000}"/>
    <cellStyle name="Normal 5 3 3 2 2 2 6 2 2" xfId="23779" xr:uid="{59A6BA78-497E-42C9-B42A-D668594853B7}"/>
    <cellStyle name="Normal 5 3 3 2 2 2 6 2 3" xfId="15331" xr:uid="{0D11071B-AD42-44A6-AB7C-BB4E1ADF6486}"/>
    <cellStyle name="Normal 5 3 3 2 2 2 6 3" xfId="19561" xr:uid="{EE98028B-A605-483B-A4C7-2FAA1AF7CFE5}"/>
    <cellStyle name="Normal 5 3 3 2 2 2 6 4" xfId="11113" xr:uid="{2C8FCF1F-CC4B-4FBD-B6C9-3C9FC56C7B89}"/>
    <cellStyle name="Normal 5 3 3 2 2 2 7" xfId="4816" xr:uid="{00000000-0005-0000-0000-00008B190000}"/>
    <cellStyle name="Normal 5 3 3 2 2 2 7 2" xfId="21714" xr:uid="{8C7DC88A-9FD7-4955-8F15-EE5D52AD1097}"/>
    <cellStyle name="Normal 5 3 3 2 2 2 7 3" xfId="13266" xr:uid="{93862605-9346-4746-B9E0-06A3C1124E54}"/>
    <cellStyle name="Normal 5 3 3 2 2 2 8" xfId="17496" xr:uid="{9E7DC61E-BBA6-4D49-8D44-ECB55FAB427A}"/>
    <cellStyle name="Normal 5 3 3 2 2 2 9" xfId="9048" xr:uid="{14151218-D1F8-4F14-AC20-EF3E0FD0F8A1}"/>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24271" xr:uid="{1418CC00-0F52-493F-A231-234D4134C3D7}"/>
    <cellStyle name="Normal 5 3 3 2 2 3 2 2 3" xfId="15823" xr:uid="{7C6A8577-195F-40DF-899E-005A0759B70F}"/>
    <cellStyle name="Normal 5 3 3 2 2 3 2 3" xfId="20053" xr:uid="{36964DEB-E176-4F41-8D6D-2228C600E693}"/>
    <cellStyle name="Normal 5 3 3 2 2 3 2 4" xfId="11605" xr:uid="{5CEF4279-C2AE-4F14-8067-4C731A39CAC0}"/>
    <cellStyle name="Normal 5 3 3 2 2 3 3" xfId="5228" xr:uid="{00000000-0005-0000-0000-00008F190000}"/>
    <cellStyle name="Normal 5 3 3 2 2 3 3 2" xfId="22126" xr:uid="{591669AE-11A3-4DF4-BC99-9F5BFFE2CB6F}"/>
    <cellStyle name="Normal 5 3 3 2 2 3 3 3" xfId="13678" xr:uid="{88507980-944B-433C-9725-BECDBB47B812}"/>
    <cellStyle name="Normal 5 3 3 2 2 3 4" xfId="17908" xr:uid="{4E838EDF-1C32-401A-AB64-F97035085870}"/>
    <cellStyle name="Normal 5 3 3 2 2 3 5" xfId="9460" xr:uid="{97A29C7C-69CD-4D2B-9BA3-B11577F8DFEB}"/>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24684" xr:uid="{6A1ECBA0-FA42-47B1-86F3-6FCB34E28129}"/>
    <cellStyle name="Normal 5 3 3 2 2 4 2 2 3" xfId="16236" xr:uid="{93BB3D71-4AC1-47BB-B06D-B519DA01EDE8}"/>
    <cellStyle name="Normal 5 3 3 2 2 4 2 3" xfId="20466" xr:uid="{9F7FD864-3D25-4DF3-AD01-8916BE4A0CA9}"/>
    <cellStyle name="Normal 5 3 3 2 2 4 2 4" xfId="12018" xr:uid="{F6D9F827-220C-4C63-9A9B-10FA8B7C27E8}"/>
    <cellStyle name="Normal 5 3 3 2 2 4 3" xfId="5641" xr:uid="{00000000-0005-0000-0000-000093190000}"/>
    <cellStyle name="Normal 5 3 3 2 2 4 3 2" xfId="22539" xr:uid="{E7F473B8-6CFA-46A7-8A6F-5712ABE29664}"/>
    <cellStyle name="Normal 5 3 3 2 2 4 3 3" xfId="14091" xr:uid="{70F76FBD-9C22-4A20-B472-83F808EA9B04}"/>
    <cellStyle name="Normal 5 3 3 2 2 4 4" xfId="18321" xr:uid="{8E4022A8-ECF8-49E2-8EED-48825E246F01}"/>
    <cellStyle name="Normal 5 3 3 2 2 4 5" xfId="9873" xr:uid="{EBA23DD6-BB7B-4CC7-925A-45C241D8DDB3}"/>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25097" xr:uid="{742FACAC-46BE-4DB6-9933-34717C1AD190}"/>
    <cellStyle name="Normal 5 3 3 2 2 5 2 2 3" xfId="16649" xr:uid="{CB96DC4F-9DC6-4012-9CC6-75210299E5F7}"/>
    <cellStyle name="Normal 5 3 3 2 2 5 2 3" xfId="20879" xr:uid="{5B67E369-6205-4D79-9D37-77D5A9DF9989}"/>
    <cellStyle name="Normal 5 3 3 2 2 5 2 4" xfId="12431" xr:uid="{A731C8C2-D0F0-447E-9591-67C2E9704E8F}"/>
    <cellStyle name="Normal 5 3 3 2 2 5 3" xfId="6054" xr:uid="{00000000-0005-0000-0000-000097190000}"/>
    <cellStyle name="Normal 5 3 3 2 2 5 3 2" xfId="22952" xr:uid="{E3C57183-ABD6-4C20-A33E-323DB9E47891}"/>
    <cellStyle name="Normal 5 3 3 2 2 5 3 3" xfId="14504" xr:uid="{4745E1C4-D097-4A80-8D1B-2157E45CA9C4}"/>
    <cellStyle name="Normal 5 3 3 2 2 5 4" xfId="18734" xr:uid="{1F4873AF-3879-4897-B670-3ECAFADABA22}"/>
    <cellStyle name="Normal 5 3 3 2 2 5 5" xfId="10286" xr:uid="{123E7FA2-255C-4BBC-AFEE-802C2A6013D7}"/>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25510" xr:uid="{DB05FD67-34A7-4896-8A92-02D6FD997306}"/>
    <cellStyle name="Normal 5 3 3 2 2 6 2 2 3" xfId="17062" xr:uid="{A654FA62-31EC-43AE-8DAE-16E507C15737}"/>
    <cellStyle name="Normal 5 3 3 2 2 6 2 3" xfId="21292" xr:uid="{164520A2-ACC4-4BCF-AF8C-D37EC216B07F}"/>
    <cellStyle name="Normal 5 3 3 2 2 6 2 4" xfId="12844" xr:uid="{B2A98676-4966-4FFE-80A2-0071C16898E5}"/>
    <cellStyle name="Normal 5 3 3 2 2 6 3" xfId="6467" xr:uid="{00000000-0005-0000-0000-00009B190000}"/>
    <cellStyle name="Normal 5 3 3 2 2 6 3 2" xfId="23365" xr:uid="{F444500C-9484-4AD4-B27A-D97F59B741DF}"/>
    <cellStyle name="Normal 5 3 3 2 2 6 3 3" xfId="14917" xr:uid="{258E02DB-3975-482E-A6B9-F526D9318B59}"/>
    <cellStyle name="Normal 5 3 3 2 2 6 4" xfId="19147" xr:uid="{4678B870-0768-4B83-AB3D-DD08457436D8}"/>
    <cellStyle name="Normal 5 3 3 2 2 6 5" xfId="10699" xr:uid="{D2679797-F3B8-4092-8F01-B60B7E882380}"/>
    <cellStyle name="Normal 5 3 3 2 2 7" xfId="2597" xr:uid="{00000000-0005-0000-0000-00009C190000}"/>
    <cellStyle name="Normal 5 3 3 2 2 7 2" xfId="6880" xr:uid="{00000000-0005-0000-0000-00009D190000}"/>
    <cellStyle name="Normal 5 3 3 2 2 7 2 2" xfId="23778" xr:uid="{2BEB7D9F-7FED-4970-8DE9-5383951C2D14}"/>
    <cellStyle name="Normal 5 3 3 2 2 7 2 3" xfId="15330" xr:uid="{56B4BBF7-00E9-47BD-B91C-62DDD973D0DF}"/>
    <cellStyle name="Normal 5 3 3 2 2 7 3" xfId="19560" xr:uid="{9E965011-64A7-4417-BC43-84521F629056}"/>
    <cellStyle name="Normal 5 3 3 2 2 7 4" xfId="11112" xr:uid="{C9F271D5-D257-46E5-A856-3FC16E2BEDD9}"/>
    <cellStyle name="Normal 5 3 3 2 2 8" xfId="4815" xr:uid="{00000000-0005-0000-0000-00009E190000}"/>
    <cellStyle name="Normal 5 3 3 2 2 8 2" xfId="21713" xr:uid="{17D839ED-B535-453E-AD5F-E87E836AD7B4}"/>
    <cellStyle name="Normal 5 3 3 2 2 8 3" xfId="13265" xr:uid="{EC375629-41CB-4C6A-91C2-4358CC3C9D3F}"/>
    <cellStyle name="Normal 5 3 3 2 2 9" xfId="17495" xr:uid="{7983D5BD-9E4A-4CE6-BFCA-4505709F37A7}"/>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24273" xr:uid="{D28ED048-BAF9-46BD-A8F2-73FC081DD9E4}"/>
    <cellStyle name="Normal 5 3 3 2 3 2 2 2 3" xfId="15825" xr:uid="{5CB066C4-5757-465F-9DA0-A18F0CF729F7}"/>
    <cellStyle name="Normal 5 3 3 2 3 2 2 3" xfId="20055" xr:uid="{9C1D94B2-83E1-4C89-9589-C2769E3BC49B}"/>
    <cellStyle name="Normal 5 3 3 2 3 2 2 4" xfId="11607" xr:uid="{7B91C1AB-47F1-45AF-8AB5-250376D2F8C0}"/>
    <cellStyle name="Normal 5 3 3 2 3 2 3" xfId="5230" xr:uid="{00000000-0005-0000-0000-0000A3190000}"/>
    <cellStyle name="Normal 5 3 3 2 3 2 3 2" xfId="22128" xr:uid="{35B53B1F-6702-46AC-B5D4-35B1569322BE}"/>
    <cellStyle name="Normal 5 3 3 2 3 2 3 3" xfId="13680" xr:uid="{C38F65FD-759D-4E85-A367-56B1AAF6458A}"/>
    <cellStyle name="Normal 5 3 3 2 3 2 4" xfId="17910" xr:uid="{0EC717AA-2112-4BBE-944B-38BD6C874FA2}"/>
    <cellStyle name="Normal 5 3 3 2 3 2 5" xfId="9462" xr:uid="{578C0484-51FF-4042-B946-F3FD103C4CA7}"/>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24686" xr:uid="{65743AA9-AF95-409F-87CB-7215F57ED7AB}"/>
    <cellStyle name="Normal 5 3 3 2 3 3 2 2 3" xfId="16238" xr:uid="{A8AD0BC8-425F-45A9-9FB5-792120AD8438}"/>
    <cellStyle name="Normal 5 3 3 2 3 3 2 3" xfId="20468" xr:uid="{42A7962E-E793-4995-AE61-987C1146647A}"/>
    <cellStyle name="Normal 5 3 3 2 3 3 2 4" xfId="12020" xr:uid="{49D2CA9D-8BAB-4F55-932A-BDA32E989C90}"/>
    <cellStyle name="Normal 5 3 3 2 3 3 3" xfId="5643" xr:uid="{00000000-0005-0000-0000-0000A7190000}"/>
    <cellStyle name="Normal 5 3 3 2 3 3 3 2" xfId="22541" xr:uid="{1E9FC56B-5824-4A8F-8036-ABB0AA2F33B7}"/>
    <cellStyle name="Normal 5 3 3 2 3 3 3 3" xfId="14093" xr:uid="{9595D65C-0500-4455-8A64-E84D09AE1488}"/>
    <cellStyle name="Normal 5 3 3 2 3 3 4" xfId="18323" xr:uid="{FFE254E6-15B5-4E0D-983F-5F0A930B3A03}"/>
    <cellStyle name="Normal 5 3 3 2 3 3 5" xfId="9875" xr:uid="{01493B6B-DDDD-4A28-ADD9-7F52D34871DB}"/>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25099" xr:uid="{CCB4572C-B6A4-4930-BD8B-03E7F571E53F}"/>
    <cellStyle name="Normal 5 3 3 2 3 4 2 2 3" xfId="16651" xr:uid="{722E3A42-0D57-44EF-97C7-8C9C9D6EBBE1}"/>
    <cellStyle name="Normal 5 3 3 2 3 4 2 3" xfId="20881" xr:uid="{653E8D5A-8309-46CC-85A4-01EE6441312B}"/>
    <cellStyle name="Normal 5 3 3 2 3 4 2 4" xfId="12433" xr:uid="{F9BD0B19-8AC0-4CC9-9541-58C2391D8962}"/>
    <cellStyle name="Normal 5 3 3 2 3 4 3" xfId="6056" xr:uid="{00000000-0005-0000-0000-0000AB190000}"/>
    <cellStyle name="Normal 5 3 3 2 3 4 3 2" xfId="22954" xr:uid="{2D633A3F-D11F-4AE7-8D6A-16C526B0F1AE}"/>
    <cellStyle name="Normal 5 3 3 2 3 4 3 3" xfId="14506" xr:uid="{FE2A025A-3690-4228-8241-5DB8DA4CBC2D}"/>
    <cellStyle name="Normal 5 3 3 2 3 4 4" xfId="18736" xr:uid="{BFE70161-B9C4-43D9-9B6D-D410B67A4E41}"/>
    <cellStyle name="Normal 5 3 3 2 3 4 5" xfId="10288" xr:uid="{D75915E1-CEF2-43E7-91DC-BE5CA2C93CC9}"/>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25512" xr:uid="{3286D3AF-5BDC-44FA-88C1-58571773C0FB}"/>
    <cellStyle name="Normal 5 3 3 2 3 5 2 2 3" xfId="17064" xr:uid="{93EBD1CF-4F38-4C21-A02F-27A57DA2C751}"/>
    <cellStyle name="Normal 5 3 3 2 3 5 2 3" xfId="21294" xr:uid="{C440F2EF-EA37-45A5-AB3B-E8AC23049468}"/>
    <cellStyle name="Normal 5 3 3 2 3 5 2 4" xfId="12846" xr:uid="{0B75B603-19DA-4459-B2FD-3F2C825DD3F6}"/>
    <cellStyle name="Normal 5 3 3 2 3 5 3" xfId="6469" xr:uid="{00000000-0005-0000-0000-0000AF190000}"/>
    <cellStyle name="Normal 5 3 3 2 3 5 3 2" xfId="23367" xr:uid="{9E0ADD45-173D-46F2-811D-8BEBBA3167FD}"/>
    <cellStyle name="Normal 5 3 3 2 3 5 3 3" xfId="14919" xr:uid="{FAAE07E7-B712-4B4A-8243-88E46B790BDC}"/>
    <cellStyle name="Normal 5 3 3 2 3 5 4" xfId="19149" xr:uid="{A6268963-9B21-481C-9BA9-5F4CF448D7B9}"/>
    <cellStyle name="Normal 5 3 3 2 3 5 5" xfId="10701" xr:uid="{9402E510-CE22-4DC2-B847-7500A99AA432}"/>
    <cellStyle name="Normal 5 3 3 2 3 6" xfId="2599" xr:uid="{00000000-0005-0000-0000-0000B0190000}"/>
    <cellStyle name="Normal 5 3 3 2 3 6 2" xfId="6882" xr:uid="{00000000-0005-0000-0000-0000B1190000}"/>
    <cellStyle name="Normal 5 3 3 2 3 6 2 2" xfId="23780" xr:uid="{AA25872E-E002-4756-BFAD-1A27F057AFC1}"/>
    <cellStyle name="Normal 5 3 3 2 3 6 2 3" xfId="15332" xr:uid="{FDA93755-502F-49C0-BECB-BB3C59145FA9}"/>
    <cellStyle name="Normal 5 3 3 2 3 6 3" xfId="19562" xr:uid="{21A6F87D-B802-45CB-A3C2-13F42ADD845A}"/>
    <cellStyle name="Normal 5 3 3 2 3 6 4" xfId="11114" xr:uid="{33D4B122-939E-40AC-9784-AA88B074B4B4}"/>
    <cellStyle name="Normal 5 3 3 2 3 7" xfId="4817" xr:uid="{00000000-0005-0000-0000-0000B2190000}"/>
    <cellStyle name="Normal 5 3 3 2 3 7 2" xfId="21715" xr:uid="{37A58A0F-39EC-4B22-B22A-3092958F6C47}"/>
    <cellStyle name="Normal 5 3 3 2 3 7 3" xfId="13267" xr:uid="{8B201AAA-470D-4E9D-B9AB-E7FC17C9F98C}"/>
    <cellStyle name="Normal 5 3 3 2 3 8" xfId="17497" xr:uid="{E9C3FB40-A7FB-4542-90AD-E6C6E7FDC766}"/>
    <cellStyle name="Normal 5 3 3 2 3 9" xfId="9049" xr:uid="{48BE992D-2853-49DD-BCDF-EF752462BE4F}"/>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24270" xr:uid="{7042EBF4-C761-42B4-B933-921FE3FCC42D}"/>
    <cellStyle name="Normal 5 3 3 2 4 2 2 3" xfId="15822" xr:uid="{9E304B71-CFAF-4908-A2D5-91AE9E1F9B73}"/>
    <cellStyle name="Normal 5 3 3 2 4 2 3" xfId="20052" xr:uid="{EA4B2CC5-98CE-41D5-9139-CFF435555DFC}"/>
    <cellStyle name="Normal 5 3 3 2 4 2 4" xfId="11604" xr:uid="{217D3E60-BF8B-457A-A2B5-C3010C991F4D}"/>
    <cellStyle name="Normal 5 3 3 2 4 3" xfId="5227" xr:uid="{00000000-0005-0000-0000-0000B6190000}"/>
    <cellStyle name="Normal 5 3 3 2 4 3 2" xfId="22125" xr:uid="{C0FE79D4-4E02-46D0-ACC0-EDA42EF63D72}"/>
    <cellStyle name="Normal 5 3 3 2 4 3 3" xfId="13677" xr:uid="{C17F4B22-7CBD-4B59-ADDC-662CC54159B9}"/>
    <cellStyle name="Normal 5 3 3 2 4 4" xfId="17907" xr:uid="{106E511A-120A-4622-AE9E-8ABFB3F2B61F}"/>
    <cellStyle name="Normal 5 3 3 2 4 5" xfId="9459" xr:uid="{ABC919F4-F6E8-4548-97C0-4C12338000A3}"/>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24683" xr:uid="{C15B8A0D-B483-4FA9-A375-A8A67B2CA7E7}"/>
    <cellStyle name="Normal 5 3 3 2 5 2 2 3" xfId="16235" xr:uid="{AC89976D-873B-465A-BCC1-09DD42D870E6}"/>
    <cellStyle name="Normal 5 3 3 2 5 2 3" xfId="20465" xr:uid="{E3279270-66C1-4CC4-9CAE-68D7325C0829}"/>
    <cellStyle name="Normal 5 3 3 2 5 2 4" xfId="12017" xr:uid="{DD436F14-547F-40DC-AA30-AC3D18BC941F}"/>
    <cellStyle name="Normal 5 3 3 2 5 3" xfId="5640" xr:uid="{00000000-0005-0000-0000-0000BA190000}"/>
    <cellStyle name="Normal 5 3 3 2 5 3 2" xfId="22538" xr:uid="{1FF0B611-A121-4211-A246-D7E96E2094D9}"/>
    <cellStyle name="Normal 5 3 3 2 5 3 3" xfId="14090" xr:uid="{B6A5824E-CF05-412A-BB43-490DB8A5AA2D}"/>
    <cellStyle name="Normal 5 3 3 2 5 4" xfId="18320" xr:uid="{4FC86E66-2F51-48B8-A3C7-162FBD7E1943}"/>
    <cellStyle name="Normal 5 3 3 2 5 5" xfId="9872" xr:uid="{64C32C14-0A4A-4138-8331-25F8FC083C8A}"/>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25096" xr:uid="{B43522C2-7CDD-46EF-B67B-BCFC1861E1CF}"/>
    <cellStyle name="Normal 5 3 3 2 6 2 2 3" xfId="16648" xr:uid="{6842722F-A3E3-48AE-8AD2-95BAB26D6319}"/>
    <cellStyle name="Normal 5 3 3 2 6 2 3" xfId="20878" xr:uid="{951E47E0-79B3-45A8-A4CC-7D5D5A568221}"/>
    <cellStyle name="Normal 5 3 3 2 6 2 4" xfId="12430" xr:uid="{F02018BD-0E96-472A-BF0C-4006BFD6B55B}"/>
    <cellStyle name="Normal 5 3 3 2 6 3" xfId="6053" xr:uid="{00000000-0005-0000-0000-0000BE190000}"/>
    <cellStyle name="Normal 5 3 3 2 6 3 2" xfId="22951" xr:uid="{99DB205F-6DE4-4CA6-A582-D623BB862D04}"/>
    <cellStyle name="Normal 5 3 3 2 6 3 3" xfId="14503" xr:uid="{123F9379-8E3D-4054-B442-600F0AA11494}"/>
    <cellStyle name="Normal 5 3 3 2 6 4" xfId="18733" xr:uid="{12F7FD97-B041-4E89-B5FA-1D346CCABC2F}"/>
    <cellStyle name="Normal 5 3 3 2 6 5" xfId="10285" xr:uid="{66F2FCC4-C099-45FF-A3C1-1F52B0142404}"/>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25509" xr:uid="{92CF1652-F621-4944-B5B7-9F4C660DBEB8}"/>
    <cellStyle name="Normal 5 3 3 2 7 2 2 3" xfId="17061" xr:uid="{3B8DED2D-0BE4-4351-947E-C6E4265F2B89}"/>
    <cellStyle name="Normal 5 3 3 2 7 2 3" xfId="21291" xr:uid="{D12EA0AF-AD73-4EC1-9FF1-E39D17506CDA}"/>
    <cellStyle name="Normal 5 3 3 2 7 2 4" xfId="12843" xr:uid="{E0C171CA-5496-4899-B243-2BBAC0A73534}"/>
    <cellStyle name="Normal 5 3 3 2 7 3" xfId="6466" xr:uid="{00000000-0005-0000-0000-0000C2190000}"/>
    <cellStyle name="Normal 5 3 3 2 7 3 2" xfId="23364" xr:uid="{99145E4A-EB5C-4AEC-9681-E3A50DE7181F}"/>
    <cellStyle name="Normal 5 3 3 2 7 3 3" xfId="14916" xr:uid="{0AAED9F9-CCC0-4D2E-A1A9-FE7C4EB8773E}"/>
    <cellStyle name="Normal 5 3 3 2 7 4" xfId="19146" xr:uid="{07C13B0B-7422-4947-BEB2-CE26E2517215}"/>
    <cellStyle name="Normal 5 3 3 2 7 5" xfId="10698" xr:uid="{4855FA16-90D8-4FF6-9481-90467CB36D97}"/>
    <cellStyle name="Normal 5 3 3 2 8" xfId="2596" xr:uid="{00000000-0005-0000-0000-0000C3190000}"/>
    <cellStyle name="Normal 5 3 3 2 8 2" xfId="6879" xr:uid="{00000000-0005-0000-0000-0000C4190000}"/>
    <cellStyle name="Normal 5 3 3 2 8 2 2" xfId="23777" xr:uid="{74464AE8-6A25-4AD9-9FA7-5F634EB6990B}"/>
    <cellStyle name="Normal 5 3 3 2 8 2 3" xfId="15329" xr:uid="{E4D9CA02-F254-4CB2-8F25-4548FF72E8F0}"/>
    <cellStyle name="Normal 5 3 3 2 8 3" xfId="19559" xr:uid="{F108A4CD-E757-47C6-9C37-C3CD6C5F246C}"/>
    <cellStyle name="Normal 5 3 3 2 8 4" xfId="11111" xr:uid="{F55014DB-21CA-409E-B182-0A7A9AD41583}"/>
    <cellStyle name="Normal 5 3 3 2 9" xfId="4814" xr:uid="{00000000-0005-0000-0000-0000C5190000}"/>
    <cellStyle name="Normal 5 3 3 2 9 2" xfId="21712" xr:uid="{50B86F4C-648F-4EF0-AE32-3A12E2B637E9}"/>
    <cellStyle name="Normal 5 3 3 2 9 3" xfId="13264" xr:uid="{9DAA73CE-0A01-43BE-9001-CB7E7860E2B8}"/>
    <cellStyle name="Normal 5 3 3 3" xfId="446" xr:uid="{00000000-0005-0000-0000-0000C6190000}"/>
    <cellStyle name="Normal 5 3 3 3 10" xfId="9050" xr:uid="{BE248C52-467F-4CF7-B125-1A600FC79AB4}"/>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24275" xr:uid="{C4536CB2-F49F-40EB-88B4-EB17704F9D75}"/>
    <cellStyle name="Normal 5 3 3 3 2 2 2 2 3" xfId="15827" xr:uid="{57D52D0D-6020-4957-AB7F-8874E5D98D5E}"/>
    <cellStyle name="Normal 5 3 3 3 2 2 2 3" xfId="20057" xr:uid="{24251F13-E0CA-4E21-B175-FB3B4EE8F45D}"/>
    <cellStyle name="Normal 5 3 3 3 2 2 2 4" xfId="11609" xr:uid="{B9FEEC30-5E01-48E8-9FB3-D56EF92AB53E}"/>
    <cellStyle name="Normal 5 3 3 3 2 2 3" xfId="5232" xr:uid="{00000000-0005-0000-0000-0000CB190000}"/>
    <cellStyle name="Normal 5 3 3 3 2 2 3 2" xfId="22130" xr:uid="{A979B58B-D24F-4FED-9F8B-AB98E9EBD92F}"/>
    <cellStyle name="Normal 5 3 3 3 2 2 3 3" xfId="13682" xr:uid="{43815F7A-14DC-4CA4-B127-713ADF3B4CE8}"/>
    <cellStyle name="Normal 5 3 3 3 2 2 4" xfId="17912" xr:uid="{EB93B5E7-8845-4161-85E2-B85D9C431D60}"/>
    <cellStyle name="Normal 5 3 3 3 2 2 5" xfId="9464" xr:uid="{38C78D2A-BD0F-48A4-B9CE-02EE8F009A8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24688" xr:uid="{95F78604-8F32-4FE2-AB80-9CDCFACD7263}"/>
    <cellStyle name="Normal 5 3 3 3 2 3 2 2 3" xfId="16240" xr:uid="{4712DF0F-E23B-4F93-8A00-1F69C7D80344}"/>
    <cellStyle name="Normal 5 3 3 3 2 3 2 3" xfId="20470" xr:uid="{FBA0B395-9627-41BB-8F63-2B45ECCDD13F}"/>
    <cellStyle name="Normal 5 3 3 3 2 3 2 4" xfId="12022" xr:uid="{7F095E63-75AC-4B49-8EB2-F5D90EE7AC1A}"/>
    <cellStyle name="Normal 5 3 3 3 2 3 3" xfId="5645" xr:uid="{00000000-0005-0000-0000-0000CF190000}"/>
    <cellStyle name="Normal 5 3 3 3 2 3 3 2" xfId="22543" xr:uid="{C19CC2D1-89CC-498F-80BA-23FB2E97144F}"/>
    <cellStyle name="Normal 5 3 3 3 2 3 3 3" xfId="14095" xr:uid="{F2C54A63-31E3-41C2-BDC9-80CC6D5EA5E7}"/>
    <cellStyle name="Normal 5 3 3 3 2 3 4" xfId="18325" xr:uid="{E621A13A-5AC2-4BD8-96AB-015F1AB097A4}"/>
    <cellStyle name="Normal 5 3 3 3 2 3 5" xfId="9877" xr:uid="{1B2D7744-D172-493E-92DD-FB37D824238A}"/>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25101" xr:uid="{342CA800-F166-4928-AC25-B0A467038CE1}"/>
    <cellStyle name="Normal 5 3 3 3 2 4 2 2 3" xfId="16653" xr:uid="{15F61351-29DB-4C62-8727-94C767D928AB}"/>
    <cellStyle name="Normal 5 3 3 3 2 4 2 3" xfId="20883" xr:uid="{F60BB3B2-849D-4570-8DA7-192CB57F5218}"/>
    <cellStyle name="Normal 5 3 3 3 2 4 2 4" xfId="12435" xr:uid="{5907D4FB-8FF9-44E1-922D-54ECA2F1E94E}"/>
    <cellStyle name="Normal 5 3 3 3 2 4 3" xfId="6058" xr:uid="{00000000-0005-0000-0000-0000D3190000}"/>
    <cellStyle name="Normal 5 3 3 3 2 4 3 2" xfId="22956" xr:uid="{8D592DD0-3A39-4A81-AC3E-6A75C0B2FFCD}"/>
    <cellStyle name="Normal 5 3 3 3 2 4 3 3" xfId="14508" xr:uid="{AE98E089-7EDA-46D1-82A1-14844058C8AF}"/>
    <cellStyle name="Normal 5 3 3 3 2 4 4" xfId="18738" xr:uid="{E63B6274-AA79-4E87-AEAE-FFA63A79F3B7}"/>
    <cellStyle name="Normal 5 3 3 3 2 4 5" xfId="10290" xr:uid="{BEC77782-AD98-49C4-88D1-C2B195B667D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25514" xr:uid="{FD772F2D-4269-4B82-B48C-C5D92969D887}"/>
    <cellStyle name="Normal 5 3 3 3 2 5 2 2 3" xfId="17066" xr:uid="{1403FFE0-494F-4214-9F2E-2C458CCF94B0}"/>
    <cellStyle name="Normal 5 3 3 3 2 5 2 3" xfId="21296" xr:uid="{0A1949E2-3FF6-45DA-AF7D-37B031BAB4E1}"/>
    <cellStyle name="Normal 5 3 3 3 2 5 2 4" xfId="12848" xr:uid="{AB93AC43-9082-4AE4-B431-9AD307325EA2}"/>
    <cellStyle name="Normal 5 3 3 3 2 5 3" xfId="6471" xr:uid="{00000000-0005-0000-0000-0000D7190000}"/>
    <cellStyle name="Normal 5 3 3 3 2 5 3 2" xfId="23369" xr:uid="{7CE49B73-E3F9-4A5E-8496-F591B2784075}"/>
    <cellStyle name="Normal 5 3 3 3 2 5 3 3" xfId="14921" xr:uid="{29F04E76-2F97-4CFD-89BA-8827636FE48B}"/>
    <cellStyle name="Normal 5 3 3 3 2 5 4" xfId="19151" xr:uid="{BD64DF82-D055-4C4E-AEA0-A36E44381B82}"/>
    <cellStyle name="Normal 5 3 3 3 2 5 5" xfId="10703" xr:uid="{296864D0-5EA4-49F9-8D72-31FDE579A9AE}"/>
    <cellStyle name="Normal 5 3 3 3 2 6" xfId="2601" xr:uid="{00000000-0005-0000-0000-0000D8190000}"/>
    <cellStyle name="Normal 5 3 3 3 2 6 2" xfId="6884" xr:uid="{00000000-0005-0000-0000-0000D9190000}"/>
    <cellStyle name="Normal 5 3 3 3 2 6 2 2" xfId="23782" xr:uid="{418261B5-D579-4513-876B-6C5039C8997D}"/>
    <cellStyle name="Normal 5 3 3 3 2 6 2 3" xfId="15334" xr:uid="{723B1CDF-3A17-4893-BEA4-0C01EE31B8B0}"/>
    <cellStyle name="Normal 5 3 3 3 2 6 3" xfId="19564" xr:uid="{CCBA7805-05ED-4BD6-872E-E1ED55A24E1B}"/>
    <cellStyle name="Normal 5 3 3 3 2 6 4" xfId="11116" xr:uid="{1851AD4A-6CF0-4DE4-AD32-F9E9A046E92D}"/>
    <cellStyle name="Normal 5 3 3 3 2 7" xfId="4819" xr:uid="{00000000-0005-0000-0000-0000DA190000}"/>
    <cellStyle name="Normal 5 3 3 3 2 7 2" xfId="21717" xr:uid="{9097966B-94ED-498A-9A32-8E8E4A97E56F}"/>
    <cellStyle name="Normal 5 3 3 3 2 7 3" xfId="13269" xr:uid="{2EB47CE5-1774-4662-983C-139252C1A3BA}"/>
    <cellStyle name="Normal 5 3 3 3 2 8" xfId="17499" xr:uid="{BA973F85-7988-4CA0-9F05-58B7BE7F98E1}"/>
    <cellStyle name="Normal 5 3 3 3 2 9" xfId="9051" xr:uid="{2055BB8C-DE85-4A37-BC00-3E9DDCA9E0EA}"/>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24274" xr:uid="{03E6FEAE-531C-4681-9610-917CC2108634}"/>
    <cellStyle name="Normal 5 3 3 3 3 2 2 3" xfId="15826" xr:uid="{A0AF9056-CE60-471F-BA1E-AD08F36702BC}"/>
    <cellStyle name="Normal 5 3 3 3 3 2 3" xfId="20056" xr:uid="{B56405FA-4FFF-4952-9D47-FD58FB5E0563}"/>
    <cellStyle name="Normal 5 3 3 3 3 2 4" xfId="11608" xr:uid="{792C54A4-0084-4890-A696-43DACA81C676}"/>
    <cellStyle name="Normal 5 3 3 3 3 3" xfId="5231" xr:uid="{00000000-0005-0000-0000-0000DE190000}"/>
    <cellStyle name="Normal 5 3 3 3 3 3 2" xfId="22129" xr:uid="{5EA59D1D-37C0-447E-82F4-EC568AF67B50}"/>
    <cellStyle name="Normal 5 3 3 3 3 3 3" xfId="13681" xr:uid="{D010FBC1-8BD2-465F-B5EA-EA240667FC5C}"/>
    <cellStyle name="Normal 5 3 3 3 3 4" xfId="17911" xr:uid="{C782984B-23FF-48CC-AFA5-CB7B01C9C5DC}"/>
    <cellStyle name="Normal 5 3 3 3 3 5" xfId="9463" xr:uid="{944AC6B3-754D-4C95-889E-0270A12A9A39}"/>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24687" xr:uid="{3C2CDE86-4174-4E71-9D1B-F7F9EEE5D4CB}"/>
    <cellStyle name="Normal 5 3 3 3 4 2 2 3" xfId="16239" xr:uid="{23AFAC8B-A783-4995-A506-ACFDFD5FEE90}"/>
    <cellStyle name="Normal 5 3 3 3 4 2 3" xfId="20469" xr:uid="{1E7C56BC-74B1-4C72-B119-1F96B0C5447E}"/>
    <cellStyle name="Normal 5 3 3 3 4 2 4" xfId="12021" xr:uid="{AC0C53C0-EDC6-4509-AB9F-31AF4E8991EC}"/>
    <cellStyle name="Normal 5 3 3 3 4 3" xfId="5644" xr:uid="{00000000-0005-0000-0000-0000E2190000}"/>
    <cellStyle name="Normal 5 3 3 3 4 3 2" xfId="22542" xr:uid="{7216285F-93CA-4CB9-B4DB-14B40256A317}"/>
    <cellStyle name="Normal 5 3 3 3 4 3 3" xfId="14094" xr:uid="{6EC76AE3-B509-4371-B943-65DE3E23C14A}"/>
    <cellStyle name="Normal 5 3 3 3 4 4" xfId="18324" xr:uid="{FFCBFCE3-1430-4097-A057-D10570317FA4}"/>
    <cellStyle name="Normal 5 3 3 3 4 5" xfId="9876" xr:uid="{C645942D-6EF7-4ED4-9978-DE54532DF4FC}"/>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25100" xr:uid="{4325F739-9C2C-406B-AFEC-68397EE62BCB}"/>
    <cellStyle name="Normal 5 3 3 3 5 2 2 3" xfId="16652" xr:uid="{56AAAC2D-518E-4629-BD8F-12C23274F47E}"/>
    <cellStyle name="Normal 5 3 3 3 5 2 3" xfId="20882" xr:uid="{1E946185-7A77-4223-9E86-A63AB664286C}"/>
    <cellStyle name="Normal 5 3 3 3 5 2 4" xfId="12434" xr:uid="{565D6154-A28A-4563-801F-E87D6621C5EA}"/>
    <cellStyle name="Normal 5 3 3 3 5 3" xfId="6057" xr:uid="{00000000-0005-0000-0000-0000E6190000}"/>
    <cellStyle name="Normal 5 3 3 3 5 3 2" xfId="22955" xr:uid="{CEFCB596-EA97-4DED-ACE5-B245AF17E4F0}"/>
    <cellStyle name="Normal 5 3 3 3 5 3 3" xfId="14507" xr:uid="{5AF1889B-85CC-4EBD-B258-7CBB1FAD9A26}"/>
    <cellStyle name="Normal 5 3 3 3 5 4" xfId="18737" xr:uid="{00EC3010-CF7D-4D2B-AE53-C66A06F1C6B1}"/>
    <cellStyle name="Normal 5 3 3 3 5 5" xfId="10289" xr:uid="{108727DD-2329-4758-83C8-7C3A7BCBDCFF}"/>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25513" xr:uid="{19562622-B3C6-474F-940A-2FBF03E0DB84}"/>
    <cellStyle name="Normal 5 3 3 3 6 2 2 3" xfId="17065" xr:uid="{06B3983C-3127-4DB0-A6A6-DCDA2E2B3245}"/>
    <cellStyle name="Normal 5 3 3 3 6 2 3" xfId="21295" xr:uid="{844853B7-D711-4F86-BAAB-647F6F7A7E47}"/>
    <cellStyle name="Normal 5 3 3 3 6 2 4" xfId="12847" xr:uid="{53A400E8-4E6D-4C21-B357-FE615F62C3AD}"/>
    <cellStyle name="Normal 5 3 3 3 6 3" xfId="6470" xr:uid="{00000000-0005-0000-0000-0000EA190000}"/>
    <cellStyle name="Normal 5 3 3 3 6 3 2" xfId="23368" xr:uid="{B846587C-9AFB-445A-9725-4566C56F3815}"/>
    <cellStyle name="Normal 5 3 3 3 6 3 3" xfId="14920" xr:uid="{2271B147-CC5B-4BC3-91E4-07A29AEA0A2F}"/>
    <cellStyle name="Normal 5 3 3 3 6 4" xfId="19150" xr:uid="{B0772FB3-94B3-4F07-92B0-FB7BEA0017BD}"/>
    <cellStyle name="Normal 5 3 3 3 6 5" xfId="10702" xr:uid="{7CF28B0D-EC98-4E18-B304-E53D2721EA45}"/>
    <cellStyle name="Normal 5 3 3 3 7" xfId="2600" xr:uid="{00000000-0005-0000-0000-0000EB190000}"/>
    <cellStyle name="Normal 5 3 3 3 7 2" xfId="6883" xr:uid="{00000000-0005-0000-0000-0000EC190000}"/>
    <cellStyle name="Normal 5 3 3 3 7 2 2" xfId="23781" xr:uid="{AE3644C0-3323-4C39-89CE-29520C8585E0}"/>
    <cellStyle name="Normal 5 3 3 3 7 2 3" xfId="15333" xr:uid="{BD0B963F-BDB7-4965-8595-E13A937E2257}"/>
    <cellStyle name="Normal 5 3 3 3 7 3" xfId="19563" xr:uid="{A2B710C3-3768-46D5-8826-515A8D4C3645}"/>
    <cellStyle name="Normal 5 3 3 3 7 4" xfId="11115" xr:uid="{DB89B16B-B8DA-4BA5-8935-620587363BD0}"/>
    <cellStyle name="Normal 5 3 3 3 8" xfId="4818" xr:uid="{00000000-0005-0000-0000-0000ED190000}"/>
    <cellStyle name="Normal 5 3 3 3 8 2" xfId="21716" xr:uid="{B7C204F3-7CB5-43C1-AD35-15407E34E718}"/>
    <cellStyle name="Normal 5 3 3 3 8 3" xfId="13268" xr:uid="{15C3935A-8EF5-4A25-963B-B72BB12249B7}"/>
    <cellStyle name="Normal 5 3 3 3 9" xfId="17498" xr:uid="{7EEEB070-8A39-4D3D-BD98-D8409A5259F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24276" xr:uid="{8DA34952-DA83-4AC5-BFDB-D0A47FA15DD9}"/>
    <cellStyle name="Normal 5 3 3 4 2 2 2 3" xfId="15828" xr:uid="{36BF4B88-DC3C-4E0C-B83B-6116909CAF4F}"/>
    <cellStyle name="Normal 5 3 3 4 2 2 3" xfId="20058" xr:uid="{8BC7980E-B671-4D2D-A184-1E94A42E19D8}"/>
    <cellStyle name="Normal 5 3 3 4 2 2 4" xfId="11610" xr:uid="{95134E6C-2651-4303-9FF5-846A395A12DE}"/>
    <cellStyle name="Normal 5 3 3 4 2 3" xfId="5233" xr:uid="{00000000-0005-0000-0000-0000F2190000}"/>
    <cellStyle name="Normal 5 3 3 4 2 3 2" xfId="22131" xr:uid="{9EA42EF8-A0F1-4130-AE79-54B4611B043A}"/>
    <cellStyle name="Normal 5 3 3 4 2 3 3" xfId="13683" xr:uid="{1B1644CE-C3FE-4369-BB1E-4F0BC1E3B2BA}"/>
    <cellStyle name="Normal 5 3 3 4 2 4" xfId="17913" xr:uid="{A2DE5415-AF05-4332-B620-CE62C3CD5A30}"/>
    <cellStyle name="Normal 5 3 3 4 2 5" xfId="9465" xr:uid="{57B5F356-F0A0-4AE9-B6A6-86062559551C}"/>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24689" xr:uid="{32358C1D-D772-44F8-A42E-FE90D613DCFB}"/>
    <cellStyle name="Normal 5 3 3 4 3 2 2 3" xfId="16241" xr:uid="{41B8D845-5EF0-4C2D-BFA6-8E93D6975B2E}"/>
    <cellStyle name="Normal 5 3 3 4 3 2 3" xfId="20471" xr:uid="{86372ECD-CCBB-4619-BD94-1BB7E266991D}"/>
    <cellStyle name="Normal 5 3 3 4 3 2 4" xfId="12023" xr:uid="{88581AA3-BB4F-4C55-B31C-FFA569CFA5AE}"/>
    <cellStyle name="Normal 5 3 3 4 3 3" xfId="5646" xr:uid="{00000000-0005-0000-0000-0000F6190000}"/>
    <cellStyle name="Normal 5 3 3 4 3 3 2" xfId="22544" xr:uid="{E8B4186A-5CFA-4D3E-AA19-287A33BD62A0}"/>
    <cellStyle name="Normal 5 3 3 4 3 3 3" xfId="14096" xr:uid="{6141E1A0-5084-481D-BAF9-AA1ECE0DC971}"/>
    <cellStyle name="Normal 5 3 3 4 3 4" xfId="18326" xr:uid="{4B5F4880-67B7-4043-87D5-AFB331133E09}"/>
    <cellStyle name="Normal 5 3 3 4 3 5" xfId="9878" xr:uid="{99E3489D-EC83-411F-BB52-CEC9F484B2C0}"/>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25102" xr:uid="{CEC6A6FF-6AB0-4FDA-9F40-C3BDC43D655D}"/>
    <cellStyle name="Normal 5 3 3 4 4 2 2 3" xfId="16654" xr:uid="{7CF1601C-0AB3-4882-A2C2-1B1C9A6578F4}"/>
    <cellStyle name="Normal 5 3 3 4 4 2 3" xfId="20884" xr:uid="{D39363FD-417E-46C3-9012-44D5912E1F54}"/>
    <cellStyle name="Normal 5 3 3 4 4 2 4" xfId="12436" xr:uid="{531263CF-D8E8-4833-9FDA-60F7E304354C}"/>
    <cellStyle name="Normal 5 3 3 4 4 3" xfId="6059" xr:uid="{00000000-0005-0000-0000-0000FA190000}"/>
    <cellStyle name="Normal 5 3 3 4 4 3 2" xfId="22957" xr:uid="{3A888A0F-F75A-4D43-A053-0021376C35A3}"/>
    <cellStyle name="Normal 5 3 3 4 4 3 3" xfId="14509" xr:uid="{EE470A63-F1BB-4698-8891-65117FB47422}"/>
    <cellStyle name="Normal 5 3 3 4 4 4" xfId="18739" xr:uid="{CC0D9E71-1649-43C1-88AD-87AFA5229859}"/>
    <cellStyle name="Normal 5 3 3 4 4 5" xfId="10291" xr:uid="{29C5162B-617F-4BC0-9532-DB963444DF51}"/>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25515" xr:uid="{AA7DD044-CEA5-45AB-A469-00828F29EB5C}"/>
    <cellStyle name="Normal 5 3 3 4 5 2 2 3" xfId="17067" xr:uid="{26A273FF-72E6-4EAF-88D8-2BAE88AB7FF8}"/>
    <cellStyle name="Normal 5 3 3 4 5 2 3" xfId="21297" xr:uid="{67C9D8AA-6014-4260-A6FF-8F401C3DC074}"/>
    <cellStyle name="Normal 5 3 3 4 5 2 4" xfId="12849" xr:uid="{854ABE9B-87AA-46B4-B3B5-CB56ADA0A380}"/>
    <cellStyle name="Normal 5 3 3 4 5 3" xfId="6472" xr:uid="{00000000-0005-0000-0000-0000FE190000}"/>
    <cellStyle name="Normal 5 3 3 4 5 3 2" xfId="23370" xr:uid="{885556B2-D326-461D-BD30-1A2B1A4DF272}"/>
    <cellStyle name="Normal 5 3 3 4 5 3 3" xfId="14922" xr:uid="{0F0CFA52-EC08-4BC2-9AF2-6112CEB31F5D}"/>
    <cellStyle name="Normal 5 3 3 4 5 4" xfId="19152" xr:uid="{A9DA585B-39F0-49BD-AAB0-C5B60A219E26}"/>
    <cellStyle name="Normal 5 3 3 4 5 5" xfId="10704" xr:uid="{5555DD80-D03D-4905-A10B-D3396B0F61EA}"/>
    <cellStyle name="Normal 5 3 3 4 6" xfId="2602" xr:uid="{00000000-0005-0000-0000-0000FF190000}"/>
    <cellStyle name="Normal 5 3 3 4 6 2" xfId="6885" xr:uid="{00000000-0005-0000-0000-0000001A0000}"/>
    <cellStyle name="Normal 5 3 3 4 6 2 2" xfId="23783" xr:uid="{A16607CE-FE3B-4D63-8F12-B8DE2539FD56}"/>
    <cellStyle name="Normal 5 3 3 4 6 2 3" xfId="15335" xr:uid="{19F6CF08-7D01-477E-A7D0-B0EB02E7BD09}"/>
    <cellStyle name="Normal 5 3 3 4 6 3" xfId="19565" xr:uid="{E2FFF002-876B-48AB-8C00-A51EF96D2757}"/>
    <cellStyle name="Normal 5 3 3 4 6 4" xfId="11117" xr:uid="{83010854-8BED-4DCC-8C15-B1B4C312603E}"/>
    <cellStyle name="Normal 5 3 3 4 7" xfId="4820" xr:uid="{00000000-0005-0000-0000-0000011A0000}"/>
    <cellStyle name="Normal 5 3 3 4 7 2" xfId="21718" xr:uid="{91DF68D1-356D-4BDD-B0B8-024C9DA2A2C8}"/>
    <cellStyle name="Normal 5 3 3 4 7 3" xfId="13270" xr:uid="{13C088A7-8262-4F44-8070-F4B3705AF4A0}"/>
    <cellStyle name="Normal 5 3 3 4 8" xfId="17500" xr:uid="{5EBE93BA-7D50-474D-A0CD-B42134574E6B}"/>
    <cellStyle name="Normal 5 3 3 4 9" xfId="9052" xr:uid="{2F441344-0DBD-4CA2-9190-A9FF616BB71E}"/>
    <cellStyle name="Normal 5 3 3 5" xfId="915" xr:uid="{00000000-0005-0000-0000-0000021A0000}"/>
    <cellStyle name="Normal 5 3 3 5 2" xfId="3149" xr:uid="{00000000-0005-0000-0000-0000031A0000}"/>
    <cellStyle name="Normal 5 3 3 5 2 2" xfId="7371" xr:uid="{00000000-0005-0000-0000-0000041A0000}"/>
    <cellStyle name="Normal 5 3 3 5 2 2 2" xfId="24269" xr:uid="{622AC96C-E470-410E-BF47-DE4A012F1251}"/>
    <cellStyle name="Normal 5 3 3 5 2 2 3" xfId="15821" xr:uid="{3F6005E4-E6D8-4767-8691-48E8F6ECBB44}"/>
    <cellStyle name="Normal 5 3 3 5 2 3" xfId="20051" xr:uid="{408E7B7D-234D-498A-A633-50D7620A1DA0}"/>
    <cellStyle name="Normal 5 3 3 5 2 4" xfId="11603" xr:uid="{756A998B-0A23-42FA-B521-B74438494C31}"/>
    <cellStyle name="Normal 5 3 3 5 3" xfId="5226" xr:uid="{00000000-0005-0000-0000-0000051A0000}"/>
    <cellStyle name="Normal 5 3 3 5 3 2" xfId="22124" xr:uid="{D5BA9EFE-A54C-4A6F-A227-A816B03CF393}"/>
    <cellStyle name="Normal 5 3 3 5 3 3" xfId="13676" xr:uid="{215AB596-29BA-42B8-B0A3-56173FA91FB5}"/>
    <cellStyle name="Normal 5 3 3 5 4" xfId="17906" xr:uid="{CDDBFDB4-15E9-4A73-A06C-06E4FAA614AD}"/>
    <cellStyle name="Normal 5 3 3 5 5" xfId="9458" xr:uid="{3AD678EE-01C0-4C35-BA20-BA0A6BCB3468}"/>
    <cellStyle name="Normal 5 3 3 6" xfId="1332" xr:uid="{00000000-0005-0000-0000-0000061A0000}"/>
    <cellStyle name="Normal 5 3 3 6 2" xfId="3562" xr:uid="{00000000-0005-0000-0000-0000071A0000}"/>
    <cellStyle name="Normal 5 3 3 6 2 2" xfId="7784" xr:uid="{00000000-0005-0000-0000-0000081A0000}"/>
    <cellStyle name="Normal 5 3 3 6 2 2 2" xfId="24682" xr:uid="{BE7C7633-9704-4738-92E5-9F4009D26AF6}"/>
    <cellStyle name="Normal 5 3 3 6 2 2 3" xfId="16234" xr:uid="{192B57C8-8E43-4974-A45C-F57DF471552D}"/>
    <cellStyle name="Normal 5 3 3 6 2 3" xfId="20464" xr:uid="{B3C392C7-AD09-4840-80F5-ABD79467CD80}"/>
    <cellStyle name="Normal 5 3 3 6 2 4" xfId="12016" xr:uid="{1F4B7002-02E2-4EA0-8B2C-2D87EA46C802}"/>
    <cellStyle name="Normal 5 3 3 6 3" xfId="5639" xr:uid="{00000000-0005-0000-0000-0000091A0000}"/>
    <cellStyle name="Normal 5 3 3 6 3 2" xfId="22537" xr:uid="{4B0C7367-7DCF-4C17-AA37-E657E89A3847}"/>
    <cellStyle name="Normal 5 3 3 6 3 3" xfId="14089" xr:uid="{8AC1D1A4-8479-4900-90AC-23A7269D16A2}"/>
    <cellStyle name="Normal 5 3 3 6 4" xfId="18319" xr:uid="{359B6A8A-020C-46FA-8196-D24B97E58A75}"/>
    <cellStyle name="Normal 5 3 3 6 5" xfId="9871" xr:uid="{4C8744DE-A9DE-4959-8A96-79F48F04ED9D}"/>
    <cellStyle name="Normal 5 3 3 7" xfId="1745" xr:uid="{00000000-0005-0000-0000-00000A1A0000}"/>
    <cellStyle name="Normal 5 3 3 7 2" xfId="3975" xr:uid="{00000000-0005-0000-0000-00000B1A0000}"/>
    <cellStyle name="Normal 5 3 3 7 2 2" xfId="8197" xr:uid="{00000000-0005-0000-0000-00000C1A0000}"/>
    <cellStyle name="Normal 5 3 3 7 2 2 2" xfId="25095" xr:uid="{783B0415-53A0-4370-93E6-A58173493BF6}"/>
    <cellStyle name="Normal 5 3 3 7 2 2 3" xfId="16647" xr:uid="{0DD1C5BD-F45F-4D4D-8BC0-03BC626F38F5}"/>
    <cellStyle name="Normal 5 3 3 7 2 3" xfId="20877" xr:uid="{37AC7708-073C-41BF-92AD-16A49BBBDDE6}"/>
    <cellStyle name="Normal 5 3 3 7 2 4" xfId="12429" xr:uid="{5C8E67C9-CEEE-427D-A97C-9E2C5FB5A45F}"/>
    <cellStyle name="Normal 5 3 3 7 3" xfId="6052" xr:uid="{00000000-0005-0000-0000-00000D1A0000}"/>
    <cellStyle name="Normal 5 3 3 7 3 2" xfId="22950" xr:uid="{F8222794-7027-4CF6-93D1-5876A2C4E594}"/>
    <cellStyle name="Normal 5 3 3 7 3 3" xfId="14502" xr:uid="{067788D5-4045-4805-80EA-CE1CB0AD307B}"/>
    <cellStyle name="Normal 5 3 3 7 4" xfId="18732" xr:uid="{106367AA-2172-4B75-B6A6-ACDED5B1436F}"/>
    <cellStyle name="Normal 5 3 3 7 5" xfId="10284" xr:uid="{1BA36A2B-6FC8-493D-87C0-3693D51E64C3}"/>
    <cellStyle name="Normal 5 3 3 8" xfId="2159" xr:uid="{00000000-0005-0000-0000-00000E1A0000}"/>
    <cellStyle name="Normal 5 3 3 8 2" xfId="4388" xr:uid="{00000000-0005-0000-0000-00000F1A0000}"/>
    <cellStyle name="Normal 5 3 3 8 2 2" xfId="8610" xr:uid="{00000000-0005-0000-0000-0000101A0000}"/>
    <cellStyle name="Normal 5 3 3 8 2 2 2" xfId="25508" xr:uid="{EA7B6840-764C-4F5B-87F5-87F67E8D57BD}"/>
    <cellStyle name="Normal 5 3 3 8 2 2 3" xfId="17060" xr:uid="{B1886D68-7379-42C1-9BA6-B50DDEF1CF7D}"/>
    <cellStyle name="Normal 5 3 3 8 2 3" xfId="21290" xr:uid="{2EAE0F00-C6FD-4579-9BB5-402BB69FAEF9}"/>
    <cellStyle name="Normal 5 3 3 8 2 4" xfId="12842" xr:uid="{5F05A418-840D-43DC-9E1C-EC02895CC767}"/>
    <cellStyle name="Normal 5 3 3 8 3" xfId="6465" xr:uid="{00000000-0005-0000-0000-0000111A0000}"/>
    <cellStyle name="Normal 5 3 3 8 3 2" xfId="23363" xr:uid="{375B304A-9C72-4362-9676-7DB68CC67456}"/>
    <cellStyle name="Normal 5 3 3 8 3 3" xfId="14915" xr:uid="{C520BD8D-FDE0-4130-A8A7-96777C4CD8D7}"/>
    <cellStyle name="Normal 5 3 3 8 4" xfId="19145" xr:uid="{4CCE7C2C-DBE7-4499-873D-D6247DBCF029}"/>
    <cellStyle name="Normal 5 3 3 8 5" xfId="10697" xr:uid="{22ED3EFC-B8EA-45EA-9BF4-27DFCF37EBDF}"/>
    <cellStyle name="Normal 5 3 3 9" xfId="2595" xr:uid="{00000000-0005-0000-0000-0000121A0000}"/>
    <cellStyle name="Normal 5 3 3 9 2" xfId="6878" xr:uid="{00000000-0005-0000-0000-0000131A0000}"/>
    <cellStyle name="Normal 5 3 3 9 2 2" xfId="23776" xr:uid="{EB99B7D6-8D62-4432-9ACD-AD285C8D3647}"/>
    <cellStyle name="Normal 5 3 3 9 2 3" xfId="15328" xr:uid="{80E7EE1D-2C03-45A6-B3E1-EB74E1342BF0}"/>
    <cellStyle name="Normal 5 3 3 9 3" xfId="19558" xr:uid="{5B28883E-DE45-4A8B-9067-4DDFAEF1D6F9}"/>
    <cellStyle name="Normal 5 3 3 9 4" xfId="11110" xr:uid="{A276233D-67FD-4DA1-812D-A38757F61E7F}"/>
    <cellStyle name="Normal 5 3 4" xfId="449" xr:uid="{00000000-0005-0000-0000-0000141A0000}"/>
    <cellStyle name="Normal 5 3 4 10" xfId="17501" xr:uid="{57D235C7-E19D-43A9-BAF2-D445105428D0}"/>
    <cellStyle name="Normal 5 3 4 11" xfId="9053" xr:uid="{E2AD598B-D10E-46F5-9A99-3435CC4A1213}"/>
    <cellStyle name="Normal 5 3 4 2" xfId="450" xr:uid="{00000000-0005-0000-0000-0000151A0000}"/>
    <cellStyle name="Normal 5 3 4 2 10" xfId="9054" xr:uid="{5B6275ED-E3D0-4928-A663-B9068103915D}"/>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24279" xr:uid="{EF1AA287-9EA4-40C9-91B3-F5DA50FB7524}"/>
    <cellStyle name="Normal 5 3 4 2 2 2 2 2 3" xfId="15831" xr:uid="{DF758F3E-BBD4-491C-99F8-3DD58E7D3AA0}"/>
    <cellStyle name="Normal 5 3 4 2 2 2 2 3" xfId="20061" xr:uid="{522C0243-2733-4823-B25C-05890F4CF4F3}"/>
    <cellStyle name="Normal 5 3 4 2 2 2 2 4" xfId="11613" xr:uid="{C04C48D8-61D9-486C-AEF7-E66DC315294F}"/>
    <cellStyle name="Normal 5 3 4 2 2 2 3" xfId="5236" xr:uid="{00000000-0005-0000-0000-00001A1A0000}"/>
    <cellStyle name="Normal 5 3 4 2 2 2 3 2" xfId="22134" xr:uid="{D04E03AD-3BB7-4C20-9BD2-F480283C828D}"/>
    <cellStyle name="Normal 5 3 4 2 2 2 3 3" xfId="13686" xr:uid="{53177C66-B586-4367-9E3B-3D30D7CD7408}"/>
    <cellStyle name="Normal 5 3 4 2 2 2 4" xfId="17916" xr:uid="{161AD586-D7D2-414F-91E3-E1C3598C8BCF}"/>
    <cellStyle name="Normal 5 3 4 2 2 2 5" xfId="9468" xr:uid="{3F3C7357-3A93-48A5-A6C9-B3484978DD0F}"/>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24692" xr:uid="{E3AC87E7-A25E-4663-BBFD-9D6A554BF831}"/>
    <cellStyle name="Normal 5 3 4 2 2 3 2 2 3" xfId="16244" xr:uid="{45A9591E-005E-4066-9E2F-05F150BE8714}"/>
    <cellStyle name="Normal 5 3 4 2 2 3 2 3" xfId="20474" xr:uid="{1458ADFD-9EF0-4BC3-B515-05274905CF99}"/>
    <cellStyle name="Normal 5 3 4 2 2 3 2 4" xfId="12026" xr:uid="{B4337E1E-9DE6-4F12-B2BE-69C35BF19D51}"/>
    <cellStyle name="Normal 5 3 4 2 2 3 3" xfId="5649" xr:uid="{00000000-0005-0000-0000-00001E1A0000}"/>
    <cellStyle name="Normal 5 3 4 2 2 3 3 2" xfId="22547" xr:uid="{E514F10D-303E-48C4-998E-61C0F6F27187}"/>
    <cellStyle name="Normal 5 3 4 2 2 3 3 3" xfId="14099" xr:uid="{22B39798-BE95-488A-8BDD-FB5941F3EFF6}"/>
    <cellStyle name="Normal 5 3 4 2 2 3 4" xfId="18329" xr:uid="{E05034A8-8149-415F-8EAD-4F611B25E92E}"/>
    <cellStyle name="Normal 5 3 4 2 2 3 5" xfId="9881" xr:uid="{E0B2E234-1ABF-49F4-A822-0F3E36A21D39}"/>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25105" xr:uid="{B97D445A-68AE-44AC-BB16-A67921EE4E0F}"/>
    <cellStyle name="Normal 5 3 4 2 2 4 2 2 3" xfId="16657" xr:uid="{24C9A93F-DDFA-42FC-BFD4-F933F2D109FE}"/>
    <cellStyle name="Normal 5 3 4 2 2 4 2 3" xfId="20887" xr:uid="{FBE873B3-1CE5-4313-A05D-5372A6546856}"/>
    <cellStyle name="Normal 5 3 4 2 2 4 2 4" xfId="12439" xr:uid="{78F1EBA7-8B89-420F-808E-7B007CC11694}"/>
    <cellStyle name="Normal 5 3 4 2 2 4 3" xfId="6062" xr:uid="{00000000-0005-0000-0000-0000221A0000}"/>
    <cellStyle name="Normal 5 3 4 2 2 4 3 2" xfId="22960" xr:uid="{0E234050-A615-48FA-BC73-497B5F716924}"/>
    <cellStyle name="Normal 5 3 4 2 2 4 3 3" xfId="14512" xr:uid="{01F28176-850E-4B9C-A539-709D3D4FD65D}"/>
    <cellStyle name="Normal 5 3 4 2 2 4 4" xfId="18742" xr:uid="{116B164C-D8C6-4DCE-B231-41EC8F36443F}"/>
    <cellStyle name="Normal 5 3 4 2 2 4 5" xfId="10294" xr:uid="{5872C3AE-7441-4AD0-92F4-56A6427F2DF5}"/>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25518" xr:uid="{92865BD5-D648-47D2-B61A-43C48411CF9B}"/>
    <cellStyle name="Normal 5 3 4 2 2 5 2 2 3" xfId="17070" xr:uid="{A9D5F2C7-780B-48E3-BF33-6EEE44BFFF91}"/>
    <cellStyle name="Normal 5 3 4 2 2 5 2 3" xfId="21300" xr:uid="{A6F1034F-0437-4BF0-A811-3EEB7F867987}"/>
    <cellStyle name="Normal 5 3 4 2 2 5 2 4" xfId="12852" xr:uid="{419789C3-366C-4145-9ECB-21D1356028ED}"/>
    <cellStyle name="Normal 5 3 4 2 2 5 3" xfId="6475" xr:uid="{00000000-0005-0000-0000-0000261A0000}"/>
    <cellStyle name="Normal 5 3 4 2 2 5 3 2" xfId="23373" xr:uid="{7436B008-9D88-44B5-AEFE-77193D6B8E7F}"/>
    <cellStyle name="Normal 5 3 4 2 2 5 3 3" xfId="14925" xr:uid="{A76B9F2C-4AFC-452D-89E5-6B7D78C3D5E6}"/>
    <cellStyle name="Normal 5 3 4 2 2 5 4" xfId="19155" xr:uid="{F963D35B-D242-4D4B-A083-9F67EA19904A}"/>
    <cellStyle name="Normal 5 3 4 2 2 5 5" xfId="10707" xr:uid="{64695633-6798-4BF2-A6BA-BA85DD674477}"/>
    <cellStyle name="Normal 5 3 4 2 2 6" xfId="2605" xr:uid="{00000000-0005-0000-0000-0000271A0000}"/>
    <cellStyle name="Normal 5 3 4 2 2 6 2" xfId="6888" xr:uid="{00000000-0005-0000-0000-0000281A0000}"/>
    <cellStyle name="Normal 5 3 4 2 2 6 2 2" xfId="23786" xr:uid="{B3EB1C07-7176-4672-B1A9-D184F0765A26}"/>
    <cellStyle name="Normal 5 3 4 2 2 6 2 3" xfId="15338" xr:uid="{CF44A033-B587-44C2-8F02-ABC1DEA281B1}"/>
    <cellStyle name="Normal 5 3 4 2 2 6 3" xfId="19568" xr:uid="{744E99C9-FC9D-44C5-B62F-71225E43468A}"/>
    <cellStyle name="Normal 5 3 4 2 2 6 4" xfId="11120" xr:uid="{F2FF0251-86B6-44DF-BA67-9DFB6B8A1831}"/>
    <cellStyle name="Normal 5 3 4 2 2 7" xfId="4823" xr:uid="{00000000-0005-0000-0000-0000291A0000}"/>
    <cellStyle name="Normal 5 3 4 2 2 7 2" xfId="21721" xr:uid="{742BB3FA-40E7-4DE5-A193-7A442D074B90}"/>
    <cellStyle name="Normal 5 3 4 2 2 7 3" xfId="13273" xr:uid="{2747E53B-F381-44C7-B4E3-AC674984843A}"/>
    <cellStyle name="Normal 5 3 4 2 2 8" xfId="17503" xr:uid="{629F6EBF-1899-4435-B0C3-AD1D3EE7F69C}"/>
    <cellStyle name="Normal 5 3 4 2 2 9" xfId="9055" xr:uid="{5EC8D4D4-7066-4235-A484-BE398921F50E}"/>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24278" xr:uid="{A11C6041-D409-4E1C-BC9F-21129F271B2E}"/>
    <cellStyle name="Normal 5 3 4 2 3 2 2 3" xfId="15830" xr:uid="{CA7E5A0C-3394-42A3-8EED-1766F88B7C90}"/>
    <cellStyle name="Normal 5 3 4 2 3 2 3" xfId="20060" xr:uid="{0F910836-EFE3-419D-B416-0B0D5E648571}"/>
    <cellStyle name="Normal 5 3 4 2 3 2 4" xfId="11612" xr:uid="{A3335D74-90AE-44F2-AB45-A12147FC8282}"/>
    <cellStyle name="Normal 5 3 4 2 3 3" xfId="5235" xr:uid="{00000000-0005-0000-0000-00002D1A0000}"/>
    <cellStyle name="Normal 5 3 4 2 3 3 2" xfId="22133" xr:uid="{EEBA4E4A-777B-40E1-A183-E5308CD67D40}"/>
    <cellStyle name="Normal 5 3 4 2 3 3 3" xfId="13685" xr:uid="{0AE2613E-47DA-4299-80AD-9695C4A242E4}"/>
    <cellStyle name="Normal 5 3 4 2 3 4" xfId="17915" xr:uid="{E97601ED-CB2C-4339-A572-0D5C414C0F09}"/>
    <cellStyle name="Normal 5 3 4 2 3 5" xfId="9467" xr:uid="{5BA073C2-377D-493E-A1BA-8A8774D1F029}"/>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24691" xr:uid="{7132B9D2-A4DD-4BAF-B8E6-64F17F5585B3}"/>
    <cellStyle name="Normal 5 3 4 2 4 2 2 3" xfId="16243" xr:uid="{4438279E-92AD-412F-ADDE-A9D349A6D9D5}"/>
    <cellStyle name="Normal 5 3 4 2 4 2 3" xfId="20473" xr:uid="{04AADCEC-5BE2-4246-97BE-86C1790B4846}"/>
    <cellStyle name="Normal 5 3 4 2 4 2 4" xfId="12025" xr:uid="{62150660-9750-4215-8151-3D87CAEFE48B}"/>
    <cellStyle name="Normal 5 3 4 2 4 3" xfId="5648" xr:uid="{00000000-0005-0000-0000-0000311A0000}"/>
    <cellStyle name="Normal 5 3 4 2 4 3 2" xfId="22546" xr:uid="{407B2C46-6252-4434-8D7B-0247DFCBC1E6}"/>
    <cellStyle name="Normal 5 3 4 2 4 3 3" xfId="14098" xr:uid="{630F1BDC-7D2D-4F3D-B942-45B4ED7C4ECD}"/>
    <cellStyle name="Normal 5 3 4 2 4 4" xfId="18328" xr:uid="{1EABAAF0-0086-4B46-9D69-D4C673749315}"/>
    <cellStyle name="Normal 5 3 4 2 4 5" xfId="9880" xr:uid="{C2D83B77-F1CA-497E-A442-C0982931B226}"/>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25104" xr:uid="{274B23A0-B390-4B34-BD12-DE8AF45D2308}"/>
    <cellStyle name="Normal 5 3 4 2 5 2 2 3" xfId="16656" xr:uid="{1D2ED08A-B45E-4CF9-BEB6-B6F870F6C69F}"/>
    <cellStyle name="Normal 5 3 4 2 5 2 3" xfId="20886" xr:uid="{67D28FBA-9DAD-438E-948D-683E7D44AE3D}"/>
    <cellStyle name="Normal 5 3 4 2 5 2 4" xfId="12438" xr:uid="{4171507A-D763-403A-B150-7924FD5EE26F}"/>
    <cellStyle name="Normal 5 3 4 2 5 3" xfId="6061" xr:uid="{00000000-0005-0000-0000-0000351A0000}"/>
    <cellStyle name="Normal 5 3 4 2 5 3 2" xfId="22959" xr:uid="{B1D29264-7429-4E96-9E3F-BDBCC40230BC}"/>
    <cellStyle name="Normal 5 3 4 2 5 3 3" xfId="14511" xr:uid="{0D38857F-3FA6-485D-9CF7-97C209BED16E}"/>
    <cellStyle name="Normal 5 3 4 2 5 4" xfId="18741" xr:uid="{924A572E-B5BA-4E86-94C0-1E25D17D9AA4}"/>
    <cellStyle name="Normal 5 3 4 2 5 5" xfId="10293" xr:uid="{8FFB1234-68F9-4141-88B6-A553161AAA20}"/>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25517" xr:uid="{14DCD106-D712-4A5F-AE97-7D3D08627494}"/>
    <cellStyle name="Normal 5 3 4 2 6 2 2 3" xfId="17069" xr:uid="{697BAC34-7FE6-442D-9C62-22568486DA66}"/>
    <cellStyle name="Normal 5 3 4 2 6 2 3" xfId="21299" xr:uid="{2DAC68E2-DA51-441A-B601-EF73A0F6D043}"/>
    <cellStyle name="Normal 5 3 4 2 6 2 4" xfId="12851" xr:uid="{273954FC-BAF1-49FB-B8B8-A3B76F335723}"/>
    <cellStyle name="Normal 5 3 4 2 6 3" xfId="6474" xr:uid="{00000000-0005-0000-0000-0000391A0000}"/>
    <cellStyle name="Normal 5 3 4 2 6 3 2" xfId="23372" xr:uid="{C34E2732-3DA2-4978-B442-6EF5B1D6EDC9}"/>
    <cellStyle name="Normal 5 3 4 2 6 3 3" xfId="14924" xr:uid="{5255BFEE-A55F-420D-8016-2BF0F153FC6E}"/>
    <cellStyle name="Normal 5 3 4 2 6 4" xfId="19154" xr:uid="{E6509A80-89E9-49B0-A5EB-165F53DFEED2}"/>
    <cellStyle name="Normal 5 3 4 2 6 5" xfId="10706" xr:uid="{AE5C0743-2FFD-442B-B3C6-67FE504807FA}"/>
    <cellStyle name="Normal 5 3 4 2 7" xfId="2604" xr:uid="{00000000-0005-0000-0000-00003A1A0000}"/>
    <cellStyle name="Normal 5 3 4 2 7 2" xfId="6887" xr:uid="{00000000-0005-0000-0000-00003B1A0000}"/>
    <cellStyle name="Normal 5 3 4 2 7 2 2" xfId="23785" xr:uid="{A0DE9813-2A34-4951-9EE8-ECAA8F6B2241}"/>
    <cellStyle name="Normal 5 3 4 2 7 2 3" xfId="15337" xr:uid="{63C94AFF-E9F3-45C5-B1D7-6B7ED7CBD84F}"/>
    <cellStyle name="Normal 5 3 4 2 7 3" xfId="19567" xr:uid="{A311B777-4F0C-423D-B1A2-E67E2B2A09B4}"/>
    <cellStyle name="Normal 5 3 4 2 7 4" xfId="11119" xr:uid="{C3D13159-976D-4A1D-8AC6-07610A902C9E}"/>
    <cellStyle name="Normal 5 3 4 2 8" xfId="4822" xr:uid="{00000000-0005-0000-0000-00003C1A0000}"/>
    <cellStyle name="Normal 5 3 4 2 8 2" xfId="21720" xr:uid="{C6D22969-43D6-4444-96A4-1B87A3E9383D}"/>
    <cellStyle name="Normal 5 3 4 2 8 3" xfId="13272" xr:uid="{A4D8FD69-57AC-45FD-9FC5-3B1517CC459B}"/>
    <cellStyle name="Normal 5 3 4 2 9" xfId="17502" xr:uid="{E5AC0021-D5B0-428D-94B0-58049DEB3EE8}"/>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24280" xr:uid="{5D8BA585-50F3-4CA0-9049-1E5B13FFE08C}"/>
    <cellStyle name="Normal 5 3 4 3 2 2 2 3" xfId="15832" xr:uid="{5423643C-28AD-4993-818D-CB7A11A35467}"/>
    <cellStyle name="Normal 5 3 4 3 2 2 3" xfId="20062" xr:uid="{32476592-C973-44CB-95F6-1D57194C8D17}"/>
    <cellStyle name="Normal 5 3 4 3 2 2 4" xfId="11614" xr:uid="{2D8F2AB6-0498-420D-A33A-04C8013C1A23}"/>
    <cellStyle name="Normal 5 3 4 3 2 3" xfId="5237" xr:uid="{00000000-0005-0000-0000-0000411A0000}"/>
    <cellStyle name="Normal 5 3 4 3 2 3 2" xfId="22135" xr:uid="{9536CA67-9CB3-45E2-87CD-6CEC4150E02F}"/>
    <cellStyle name="Normal 5 3 4 3 2 3 3" xfId="13687" xr:uid="{2EE58C25-4FC3-45DF-828D-7E12CA4B830B}"/>
    <cellStyle name="Normal 5 3 4 3 2 4" xfId="17917" xr:uid="{E02E84F0-2D7F-4DF6-8193-B1F054853E78}"/>
    <cellStyle name="Normal 5 3 4 3 2 5" xfId="9469" xr:uid="{27353EEF-959B-4A83-B591-DD406BC8B657}"/>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24693" xr:uid="{78EB1D56-F045-4980-9B1B-7BD31B4FEDED}"/>
    <cellStyle name="Normal 5 3 4 3 3 2 2 3" xfId="16245" xr:uid="{8C65A62D-387E-466A-ADE0-58E25FE03072}"/>
    <cellStyle name="Normal 5 3 4 3 3 2 3" xfId="20475" xr:uid="{E40C3414-3B42-4C27-A965-783E91974773}"/>
    <cellStyle name="Normal 5 3 4 3 3 2 4" xfId="12027" xr:uid="{B51D201D-7AD4-43F0-9F32-E4DDFC3216B7}"/>
    <cellStyle name="Normal 5 3 4 3 3 3" xfId="5650" xr:uid="{00000000-0005-0000-0000-0000451A0000}"/>
    <cellStyle name="Normal 5 3 4 3 3 3 2" xfId="22548" xr:uid="{F7ADAB38-ED79-4F75-981C-AC61FCF520A7}"/>
    <cellStyle name="Normal 5 3 4 3 3 3 3" xfId="14100" xr:uid="{401ACFCF-58F7-4007-9A9B-7DD2E981E4CA}"/>
    <cellStyle name="Normal 5 3 4 3 3 4" xfId="18330" xr:uid="{8EB8FBBD-ACD5-4522-ADC6-432D4246D9F8}"/>
    <cellStyle name="Normal 5 3 4 3 3 5" xfId="9882" xr:uid="{85222952-405A-4A88-8C6D-68D4D77316A7}"/>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25106" xr:uid="{58EE1254-25B4-4B1D-A818-5FB177270986}"/>
    <cellStyle name="Normal 5 3 4 3 4 2 2 3" xfId="16658" xr:uid="{5F5DD3B2-66A4-44AB-A9C2-A46DA00CD8B8}"/>
    <cellStyle name="Normal 5 3 4 3 4 2 3" xfId="20888" xr:uid="{F8A856A0-184C-4248-8F69-09605723D67C}"/>
    <cellStyle name="Normal 5 3 4 3 4 2 4" xfId="12440" xr:uid="{41C65665-1209-4000-AA8D-EDE34FA93042}"/>
    <cellStyle name="Normal 5 3 4 3 4 3" xfId="6063" xr:uid="{00000000-0005-0000-0000-0000491A0000}"/>
    <cellStyle name="Normal 5 3 4 3 4 3 2" xfId="22961" xr:uid="{DAB422BA-C978-496C-8A7B-350AF56E7C7D}"/>
    <cellStyle name="Normal 5 3 4 3 4 3 3" xfId="14513" xr:uid="{D8FFEA75-A2E7-4FE2-96B0-CF8A80CB1BC2}"/>
    <cellStyle name="Normal 5 3 4 3 4 4" xfId="18743" xr:uid="{7A9AA70B-D39D-44C0-9DAE-847A87E1586E}"/>
    <cellStyle name="Normal 5 3 4 3 4 5" xfId="10295" xr:uid="{97498428-CA6C-4675-B8A2-2C0C464C716F}"/>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25519" xr:uid="{62328C05-6E89-4F4A-83B4-44F66E8130B7}"/>
    <cellStyle name="Normal 5 3 4 3 5 2 2 3" xfId="17071" xr:uid="{3B7CAD68-5A83-4F44-809D-E2D780243008}"/>
    <cellStyle name="Normal 5 3 4 3 5 2 3" xfId="21301" xr:uid="{B41542B3-4241-4C43-A424-28B986C67809}"/>
    <cellStyle name="Normal 5 3 4 3 5 2 4" xfId="12853" xr:uid="{2F17F96F-B428-43D5-99AA-07B9654177E3}"/>
    <cellStyle name="Normal 5 3 4 3 5 3" xfId="6476" xr:uid="{00000000-0005-0000-0000-00004D1A0000}"/>
    <cellStyle name="Normal 5 3 4 3 5 3 2" xfId="23374" xr:uid="{E8AE3804-E8A4-4CB7-99EE-110EC7EA178B}"/>
    <cellStyle name="Normal 5 3 4 3 5 3 3" xfId="14926" xr:uid="{83D8E35C-1637-4427-846E-1F75DB3DB55B}"/>
    <cellStyle name="Normal 5 3 4 3 5 4" xfId="19156" xr:uid="{04EEDD38-BF25-46A5-8294-5A7CA00D8FEC}"/>
    <cellStyle name="Normal 5 3 4 3 5 5" xfId="10708" xr:uid="{1E6548BE-BC3C-4150-A25E-FDC741519594}"/>
    <cellStyle name="Normal 5 3 4 3 6" xfId="2606" xr:uid="{00000000-0005-0000-0000-00004E1A0000}"/>
    <cellStyle name="Normal 5 3 4 3 6 2" xfId="6889" xr:uid="{00000000-0005-0000-0000-00004F1A0000}"/>
    <cellStyle name="Normal 5 3 4 3 6 2 2" xfId="23787" xr:uid="{EF18D852-1E60-4BEA-BD3D-BCCB205F2F99}"/>
    <cellStyle name="Normal 5 3 4 3 6 2 3" xfId="15339" xr:uid="{E5380B9E-9537-4A0D-BC2D-3F809CBAC5AC}"/>
    <cellStyle name="Normal 5 3 4 3 6 3" xfId="19569" xr:uid="{A4C2197F-26F7-46E9-81F1-791AFFF0A10A}"/>
    <cellStyle name="Normal 5 3 4 3 6 4" xfId="11121" xr:uid="{74F15DE8-9BA8-4116-ACEC-C7A5C0481D67}"/>
    <cellStyle name="Normal 5 3 4 3 7" xfId="4824" xr:uid="{00000000-0005-0000-0000-0000501A0000}"/>
    <cellStyle name="Normal 5 3 4 3 7 2" xfId="21722" xr:uid="{F4C3FB76-0F77-4A99-96E1-9F9993D6ADF6}"/>
    <cellStyle name="Normal 5 3 4 3 7 3" xfId="13274" xr:uid="{26DA1EA3-8CD6-44DF-800B-D2BDF33E84A9}"/>
    <cellStyle name="Normal 5 3 4 3 8" xfId="17504" xr:uid="{17A052C0-3C29-4A2A-8E23-66F3FA7D9A44}"/>
    <cellStyle name="Normal 5 3 4 3 9" xfId="9056" xr:uid="{E3CF2611-F6E4-44C0-A6EF-3DA195D1A841}"/>
    <cellStyle name="Normal 5 3 4 4" xfId="923" xr:uid="{00000000-0005-0000-0000-0000511A0000}"/>
    <cellStyle name="Normal 5 3 4 4 2" xfId="3157" xr:uid="{00000000-0005-0000-0000-0000521A0000}"/>
    <cellStyle name="Normal 5 3 4 4 2 2" xfId="7379" xr:uid="{00000000-0005-0000-0000-0000531A0000}"/>
    <cellStyle name="Normal 5 3 4 4 2 2 2" xfId="24277" xr:uid="{4171C720-6AD5-4A43-92A6-D26D98249664}"/>
    <cellStyle name="Normal 5 3 4 4 2 2 3" xfId="15829" xr:uid="{B78CC2F5-C99B-4A4D-8F07-65B314436DD0}"/>
    <cellStyle name="Normal 5 3 4 4 2 3" xfId="20059" xr:uid="{E11CBF21-03F9-407D-8AA3-E5904307B377}"/>
    <cellStyle name="Normal 5 3 4 4 2 4" xfId="11611" xr:uid="{4D857E5E-515E-419E-A9FB-40CBE792A721}"/>
    <cellStyle name="Normal 5 3 4 4 3" xfId="5234" xr:uid="{00000000-0005-0000-0000-0000541A0000}"/>
    <cellStyle name="Normal 5 3 4 4 3 2" xfId="22132" xr:uid="{D99D35BE-19C8-462C-99D0-3598C3DF28A6}"/>
    <cellStyle name="Normal 5 3 4 4 3 3" xfId="13684" xr:uid="{BFC42FE6-7269-4D39-805B-5CFC85F12494}"/>
    <cellStyle name="Normal 5 3 4 4 4" xfId="17914" xr:uid="{C5419F96-51B3-404C-AFF9-0D8DD98298D1}"/>
    <cellStyle name="Normal 5 3 4 4 5" xfId="9466" xr:uid="{FCF99A85-52B3-4248-ADFD-E328D1E0735D}"/>
    <cellStyle name="Normal 5 3 4 5" xfId="1340" xr:uid="{00000000-0005-0000-0000-0000551A0000}"/>
    <cellStyle name="Normal 5 3 4 5 2" xfId="3570" xr:uid="{00000000-0005-0000-0000-0000561A0000}"/>
    <cellStyle name="Normal 5 3 4 5 2 2" xfId="7792" xr:uid="{00000000-0005-0000-0000-0000571A0000}"/>
    <cellStyle name="Normal 5 3 4 5 2 2 2" xfId="24690" xr:uid="{234F5DE2-50BC-4297-96D5-7BA0CEB8D1EE}"/>
    <cellStyle name="Normal 5 3 4 5 2 2 3" xfId="16242" xr:uid="{C4641D1F-2CA5-4A43-B01B-886637AA2BEA}"/>
    <cellStyle name="Normal 5 3 4 5 2 3" xfId="20472" xr:uid="{C1EBB8C6-FE09-4A14-9E30-E72229142DBB}"/>
    <cellStyle name="Normal 5 3 4 5 2 4" xfId="12024" xr:uid="{978E3CE6-12C8-4BE9-8216-2A46CA53DFFB}"/>
    <cellStyle name="Normal 5 3 4 5 3" xfId="5647" xr:uid="{00000000-0005-0000-0000-0000581A0000}"/>
    <cellStyle name="Normal 5 3 4 5 3 2" xfId="22545" xr:uid="{BD5FC1E7-3634-4F3C-AD67-1AA1B96B46AB}"/>
    <cellStyle name="Normal 5 3 4 5 3 3" xfId="14097" xr:uid="{F9727440-382C-4B31-81AD-B092A363F391}"/>
    <cellStyle name="Normal 5 3 4 5 4" xfId="18327" xr:uid="{24870E7E-700B-4466-BBCA-B604A374C877}"/>
    <cellStyle name="Normal 5 3 4 5 5" xfId="9879" xr:uid="{BCD722A4-D063-4030-A962-99E3BD614B8F}"/>
    <cellStyle name="Normal 5 3 4 6" xfId="1753" xr:uid="{00000000-0005-0000-0000-0000591A0000}"/>
    <cellStyle name="Normal 5 3 4 6 2" xfId="3983" xr:uid="{00000000-0005-0000-0000-00005A1A0000}"/>
    <cellStyle name="Normal 5 3 4 6 2 2" xfId="8205" xr:uid="{00000000-0005-0000-0000-00005B1A0000}"/>
    <cellStyle name="Normal 5 3 4 6 2 2 2" xfId="25103" xr:uid="{D7E8A09C-211D-41E8-872A-87AC653A9C2E}"/>
    <cellStyle name="Normal 5 3 4 6 2 2 3" xfId="16655" xr:uid="{F404679B-A813-4C2D-B602-B9BBE35BAE11}"/>
    <cellStyle name="Normal 5 3 4 6 2 3" xfId="20885" xr:uid="{A2422493-6CD6-4219-B5EE-4E72B3D966AF}"/>
    <cellStyle name="Normal 5 3 4 6 2 4" xfId="12437" xr:uid="{001BEF1A-DCB8-496C-8EFF-74C06FFE5C0A}"/>
    <cellStyle name="Normal 5 3 4 6 3" xfId="6060" xr:uid="{00000000-0005-0000-0000-00005C1A0000}"/>
    <cellStyle name="Normal 5 3 4 6 3 2" xfId="22958" xr:uid="{81165BC6-36E2-491B-AF15-74853660A3E8}"/>
    <cellStyle name="Normal 5 3 4 6 3 3" xfId="14510" xr:uid="{20F3D2A0-504A-40A3-93D6-8574763166D8}"/>
    <cellStyle name="Normal 5 3 4 6 4" xfId="18740" xr:uid="{20E0957C-72A0-47BA-B28C-5E409DE0DBBD}"/>
    <cellStyle name="Normal 5 3 4 6 5" xfId="10292" xr:uid="{0D60B4C3-89D0-491D-A807-4951BF591FA0}"/>
    <cellStyle name="Normal 5 3 4 7" xfId="2167" xr:uid="{00000000-0005-0000-0000-00005D1A0000}"/>
    <cellStyle name="Normal 5 3 4 7 2" xfId="4396" xr:uid="{00000000-0005-0000-0000-00005E1A0000}"/>
    <cellStyle name="Normal 5 3 4 7 2 2" xfId="8618" xr:uid="{00000000-0005-0000-0000-00005F1A0000}"/>
    <cellStyle name="Normal 5 3 4 7 2 2 2" xfId="25516" xr:uid="{EF62F27B-1A02-4561-8AE6-08BCBFBB49B9}"/>
    <cellStyle name="Normal 5 3 4 7 2 2 3" xfId="17068" xr:uid="{75E8019B-6F1D-4DE6-81F8-27DCBA7107FB}"/>
    <cellStyle name="Normal 5 3 4 7 2 3" xfId="21298" xr:uid="{7D98E824-178D-4DDA-B24E-ABB96EBE13D5}"/>
    <cellStyle name="Normal 5 3 4 7 2 4" xfId="12850" xr:uid="{0380D85D-E4BE-418A-8DF8-4A826ABAD10B}"/>
    <cellStyle name="Normal 5 3 4 7 3" xfId="6473" xr:uid="{00000000-0005-0000-0000-0000601A0000}"/>
    <cellStyle name="Normal 5 3 4 7 3 2" xfId="23371" xr:uid="{E8BF02EE-89F1-4174-A77D-C7EC46F6EE9A}"/>
    <cellStyle name="Normal 5 3 4 7 3 3" xfId="14923" xr:uid="{72E92C00-CA75-426C-B8B0-C6A7FA57B035}"/>
    <cellStyle name="Normal 5 3 4 7 4" xfId="19153" xr:uid="{E58FE37D-1C33-4AB2-B1CC-A82EF5D92B47}"/>
    <cellStyle name="Normal 5 3 4 7 5" xfId="10705" xr:uid="{018A7398-AB1B-4ECF-B337-81BBE08DF95E}"/>
    <cellStyle name="Normal 5 3 4 8" xfId="2603" xr:uid="{00000000-0005-0000-0000-0000611A0000}"/>
    <cellStyle name="Normal 5 3 4 8 2" xfId="6886" xr:uid="{00000000-0005-0000-0000-0000621A0000}"/>
    <cellStyle name="Normal 5 3 4 8 2 2" xfId="23784" xr:uid="{0BEC18AE-69EC-43DD-87B4-03AE2195E04B}"/>
    <cellStyle name="Normal 5 3 4 8 2 3" xfId="15336" xr:uid="{FE3062E4-B949-47AC-B66B-73C2125ED868}"/>
    <cellStyle name="Normal 5 3 4 8 3" xfId="19566" xr:uid="{6AB88671-8502-4946-976A-E945D08A7B04}"/>
    <cellStyle name="Normal 5 3 4 8 4" xfId="11118" xr:uid="{829778DC-9B75-4BDE-BCFA-5B6ED121B475}"/>
    <cellStyle name="Normal 5 3 4 9" xfId="4821" xr:uid="{00000000-0005-0000-0000-0000631A0000}"/>
    <cellStyle name="Normal 5 3 4 9 2" xfId="21719" xr:uid="{AA99CF27-37F5-45B8-82BE-53326F98EF31}"/>
    <cellStyle name="Normal 5 3 4 9 3" xfId="13271" xr:uid="{2BE09154-20FB-44FC-B007-00A3DCB9E6AD}"/>
    <cellStyle name="Normal 5 3 5" xfId="453" xr:uid="{00000000-0005-0000-0000-0000641A0000}"/>
    <cellStyle name="Normal 5 3 5 10" xfId="9057" xr:uid="{7B4E2424-59C3-4D3E-96C4-0DBC1F123452}"/>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24282" xr:uid="{D41DF3F1-2594-4692-A944-B2189269BF0D}"/>
    <cellStyle name="Normal 5 3 5 2 2 2 2 3" xfId="15834" xr:uid="{C90C3C0C-0DF3-4F63-99F2-6D5FC46225FF}"/>
    <cellStyle name="Normal 5 3 5 2 2 2 3" xfId="20064" xr:uid="{21E12900-DC61-478C-9BD2-551BFBD27FDC}"/>
    <cellStyle name="Normal 5 3 5 2 2 2 4" xfId="11616" xr:uid="{5ACABF8C-7B61-44A1-9979-8285BDE81209}"/>
    <cellStyle name="Normal 5 3 5 2 2 3" xfId="5239" xr:uid="{00000000-0005-0000-0000-0000691A0000}"/>
    <cellStyle name="Normal 5 3 5 2 2 3 2" xfId="22137" xr:uid="{6F4FFB0B-D0B3-4F66-8CDB-DE4DD91F517E}"/>
    <cellStyle name="Normal 5 3 5 2 2 3 3" xfId="13689" xr:uid="{907B7602-3E76-4F6B-AE60-074286BEF6DE}"/>
    <cellStyle name="Normal 5 3 5 2 2 4" xfId="17919" xr:uid="{2598E883-1A67-4C6B-A262-4A3428CE2170}"/>
    <cellStyle name="Normal 5 3 5 2 2 5" xfId="9471" xr:uid="{EA671ECF-00C2-4A75-B562-0C9D6BD135E9}"/>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24695" xr:uid="{E9A12066-8CF3-41B5-A75E-D197E0FBA560}"/>
    <cellStyle name="Normal 5 3 5 2 3 2 2 3" xfId="16247" xr:uid="{A3B567AA-2558-4829-8D0E-1B70619A4D6C}"/>
    <cellStyle name="Normal 5 3 5 2 3 2 3" xfId="20477" xr:uid="{00D96154-79F8-4F2D-B5FF-51371F08DE4A}"/>
    <cellStyle name="Normal 5 3 5 2 3 2 4" xfId="12029" xr:uid="{A964AD0B-0093-4E5B-9DC0-6CDE78DA1841}"/>
    <cellStyle name="Normal 5 3 5 2 3 3" xfId="5652" xr:uid="{00000000-0005-0000-0000-00006D1A0000}"/>
    <cellStyle name="Normal 5 3 5 2 3 3 2" xfId="22550" xr:uid="{7E01D12D-6B05-4C01-BB0F-9EEA5226707F}"/>
    <cellStyle name="Normal 5 3 5 2 3 3 3" xfId="14102" xr:uid="{529EDAB9-92F1-4B9F-8B6C-97F1808CA102}"/>
    <cellStyle name="Normal 5 3 5 2 3 4" xfId="18332" xr:uid="{FB73FC0D-7DDA-4077-A1A7-0A0DB2C518C2}"/>
    <cellStyle name="Normal 5 3 5 2 3 5" xfId="9884" xr:uid="{CD731D92-2A70-49F9-BF4C-F9224E27EF7F}"/>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25108" xr:uid="{163A9FD2-B1B3-47EB-90A5-135D13736792}"/>
    <cellStyle name="Normal 5 3 5 2 4 2 2 3" xfId="16660" xr:uid="{0E2C3496-7DDD-4986-ACD9-2C4056BFD35F}"/>
    <cellStyle name="Normal 5 3 5 2 4 2 3" xfId="20890" xr:uid="{50B40155-BB10-4796-8D79-4929D0676B23}"/>
    <cellStyle name="Normal 5 3 5 2 4 2 4" xfId="12442" xr:uid="{2A09578D-9AAC-4DD6-AC7A-FD1F162D142E}"/>
    <cellStyle name="Normal 5 3 5 2 4 3" xfId="6065" xr:uid="{00000000-0005-0000-0000-0000711A0000}"/>
    <cellStyle name="Normal 5 3 5 2 4 3 2" xfId="22963" xr:uid="{405F702E-6CD8-4632-8A4F-6FEAF95FAE01}"/>
    <cellStyle name="Normal 5 3 5 2 4 3 3" xfId="14515" xr:uid="{9FD088F5-A413-4896-A71A-8849FB90A23E}"/>
    <cellStyle name="Normal 5 3 5 2 4 4" xfId="18745" xr:uid="{11CE06C1-334E-4D33-85FC-38F8E20FE8C5}"/>
    <cellStyle name="Normal 5 3 5 2 4 5" xfId="10297" xr:uid="{AC457641-71E9-4A4F-8DD9-0CB25FA9D75C}"/>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25521" xr:uid="{691A100E-C394-4BF3-A59B-16287E062B6B}"/>
    <cellStyle name="Normal 5 3 5 2 5 2 2 3" xfId="17073" xr:uid="{CBCA9A3B-2DB3-46DC-A263-B7675C50B3BA}"/>
    <cellStyle name="Normal 5 3 5 2 5 2 3" xfId="21303" xr:uid="{8F2F197A-C35E-40F8-AC75-16CB6986D875}"/>
    <cellStyle name="Normal 5 3 5 2 5 2 4" xfId="12855" xr:uid="{CBB3922E-D61F-4E3D-87FC-C24461CFF01B}"/>
    <cellStyle name="Normal 5 3 5 2 5 3" xfId="6478" xr:uid="{00000000-0005-0000-0000-0000751A0000}"/>
    <cellStyle name="Normal 5 3 5 2 5 3 2" xfId="23376" xr:uid="{960D3E4C-4CFB-42C3-8633-FFF1EEEB8160}"/>
    <cellStyle name="Normal 5 3 5 2 5 3 3" xfId="14928" xr:uid="{0E355092-31E9-4DAD-A437-5DA84D0654BA}"/>
    <cellStyle name="Normal 5 3 5 2 5 4" xfId="19158" xr:uid="{27FA6A15-BAA4-41DF-A8E7-929D71CD9B23}"/>
    <cellStyle name="Normal 5 3 5 2 5 5" xfId="10710" xr:uid="{885309E3-B92E-4FB5-A200-798AF77E02B5}"/>
    <cellStyle name="Normal 5 3 5 2 6" xfId="2608" xr:uid="{00000000-0005-0000-0000-0000761A0000}"/>
    <cellStyle name="Normal 5 3 5 2 6 2" xfId="6891" xr:uid="{00000000-0005-0000-0000-0000771A0000}"/>
    <cellStyle name="Normal 5 3 5 2 6 2 2" xfId="23789" xr:uid="{5A97A7B9-C423-4689-9F49-C3DD4D0AF7D0}"/>
    <cellStyle name="Normal 5 3 5 2 6 2 3" xfId="15341" xr:uid="{E60CDEB7-D301-4778-B3DD-23C1A8E10E39}"/>
    <cellStyle name="Normal 5 3 5 2 6 3" xfId="19571" xr:uid="{17C0C025-F890-4658-A86E-C6736312E6EA}"/>
    <cellStyle name="Normal 5 3 5 2 6 4" xfId="11123" xr:uid="{7453F06B-22C3-46CC-9D9D-529865EFAEF4}"/>
    <cellStyle name="Normal 5 3 5 2 7" xfId="4826" xr:uid="{00000000-0005-0000-0000-0000781A0000}"/>
    <cellStyle name="Normal 5 3 5 2 7 2" xfId="21724" xr:uid="{0182C8AD-85E3-40F2-92CE-0E70F867B081}"/>
    <cellStyle name="Normal 5 3 5 2 7 3" xfId="13276" xr:uid="{EEE77684-B572-4D57-9D43-7D3299A72A88}"/>
    <cellStyle name="Normal 5 3 5 2 8" xfId="17506" xr:uid="{61049CFF-A589-4606-9592-62DFB0950050}"/>
    <cellStyle name="Normal 5 3 5 2 9" xfId="9058" xr:uid="{5BBD7A9F-C9EF-4D24-BCEB-183AD7BA831C}"/>
    <cellStyle name="Normal 5 3 5 3" xfId="927" xr:uid="{00000000-0005-0000-0000-0000791A0000}"/>
    <cellStyle name="Normal 5 3 5 3 2" xfId="3161" xr:uid="{00000000-0005-0000-0000-00007A1A0000}"/>
    <cellStyle name="Normal 5 3 5 3 2 2" xfId="7383" xr:uid="{00000000-0005-0000-0000-00007B1A0000}"/>
    <cellStyle name="Normal 5 3 5 3 2 2 2" xfId="24281" xr:uid="{C5822CA0-2EAF-4AEB-AAA6-5E68D606FA3A}"/>
    <cellStyle name="Normal 5 3 5 3 2 2 3" xfId="15833" xr:uid="{9485375B-0122-4D65-8B20-8E64B039D2B0}"/>
    <cellStyle name="Normal 5 3 5 3 2 3" xfId="20063" xr:uid="{3C7670FA-9911-4077-BA4F-D22AB9445D01}"/>
    <cellStyle name="Normal 5 3 5 3 2 4" xfId="11615" xr:uid="{947FC5FA-C44B-40F4-B934-C25C3B6E275F}"/>
    <cellStyle name="Normal 5 3 5 3 3" xfId="5238" xr:uid="{00000000-0005-0000-0000-00007C1A0000}"/>
    <cellStyle name="Normal 5 3 5 3 3 2" xfId="22136" xr:uid="{2A51C1A4-EA69-4F23-9BE0-9F8A622674E3}"/>
    <cellStyle name="Normal 5 3 5 3 3 3" xfId="13688" xr:uid="{87B3B118-4A42-47B6-AC78-DFBBDFE85F0A}"/>
    <cellStyle name="Normal 5 3 5 3 4" xfId="17918" xr:uid="{E8619EAA-EF8E-4772-B91F-CCCF552F2908}"/>
    <cellStyle name="Normal 5 3 5 3 5" xfId="9470" xr:uid="{4388E8BE-B18F-4C8A-B4DC-2563B3C88BF4}"/>
    <cellStyle name="Normal 5 3 5 4" xfId="1344" xr:uid="{00000000-0005-0000-0000-00007D1A0000}"/>
    <cellStyle name="Normal 5 3 5 4 2" xfId="3574" xr:uid="{00000000-0005-0000-0000-00007E1A0000}"/>
    <cellStyle name="Normal 5 3 5 4 2 2" xfId="7796" xr:uid="{00000000-0005-0000-0000-00007F1A0000}"/>
    <cellStyle name="Normal 5 3 5 4 2 2 2" xfId="24694" xr:uid="{B53EC37C-11B7-420A-884B-3B0F97E0D036}"/>
    <cellStyle name="Normal 5 3 5 4 2 2 3" xfId="16246" xr:uid="{BB69D5D1-DC03-4948-9862-8B05F73975E8}"/>
    <cellStyle name="Normal 5 3 5 4 2 3" xfId="20476" xr:uid="{68EDC125-0BC5-4847-8EE8-F2598938DC2A}"/>
    <cellStyle name="Normal 5 3 5 4 2 4" xfId="12028" xr:uid="{A1D109F2-DCF0-4ECA-A897-E589287C2FE0}"/>
    <cellStyle name="Normal 5 3 5 4 3" xfId="5651" xr:uid="{00000000-0005-0000-0000-0000801A0000}"/>
    <cellStyle name="Normal 5 3 5 4 3 2" xfId="22549" xr:uid="{48A329A6-41B9-4F42-98D2-FCE0DCF74F1A}"/>
    <cellStyle name="Normal 5 3 5 4 3 3" xfId="14101" xr:uid="{A3E17F8E-5278-4197-AB8F-B4B8AFB75FF5}"/>
    <cellStyle name="Normal 5 3 5 4 4" xfId="18331" xr:uid="{019164E0-6910-4566-9E1C-EB8D5E401ABA}"/>
    <cellStyle name="Normal 5 3 5 4 5" xfId="9883" xr:uid="{639DBB0F-5495-4E46-B6C6-E0CF4900D155}"/>
    <cellStyle name="Normal 5 3 5 5" xfId="1757" xr:uid="{00000000-0005-0000-0000-0000811A0000}"/>
    <cellStyle name="Normal 5 3 5 5 2" xfId="3987" xr:uid="{00000000-0005-0000-0000-0000821A0000}"/>
    <cellStyle name="Normal 5 3 5 5 2 2" xfId="8209" xr:uid="{00000000-0005-0000-0000-0000831A0000}"/>
    <cellStyle name="Normal 5 3 5 5 2 2 2" xfId="25107" xr:uid="{3EF6E41F-EBC2-47B5-8484-9F42EE38DC47}"/>
    <cellStyle name="Normal 5 3 5 5 2 2 3" xfId="16659" xr:uid="{A96E3EF1-7F11-4341-B24C-CAB9112B78CA}"/>
    <cellStyle name="Normal 5 3 5 5 2 3" xfId="20889" xr:uid="{CDB216B6-9BED-4472-B4F9-E0A384F7DF9B}"/>
    <cellStyle name="Normal 5 3 5 5 2 4" xfId="12441" xr:uid="{2F05D57D-C07D-4EAB-9761-717A7B5E2AEE}"/>
    <cellStyle name="Normal 5 3 5 5 3" xfId="6064" xr:uid="{00000000-0005-0000-0000-0000841A0000}"/>
    <cellStyle name="Normal 5 3 5 5 3 2" xfId="22962" xr:uid="{5F37C478-510D-406D-A55F-566C157AF07E}"/>
    <cellStyle name="Normal 5 3 5 5 3 3" xfId="14514" xr:uid="{D2FEF826-A789-440D-9B35-B8E3A021B9DF}"/>
    <cellStyle name="Normal 5 3 5 5 4" xfId="18744" xr:uid="{F7C741AF-89A4-4CA7-A55B-C9019DFBC314}"/>
    <cellStyle name="Normal 5 3 5 5 5" xfId="10296" xr:uid="{A573D06E-CED5-4466-8578-4D05C34CA6A0}"/>
    <cellStyle name="Normal 5 3 5 6" xfId="2171" xr:uid="{00000000-0005-0000-0000-0000851A0000}"/>
    <cellStyle name="Normal 5 3 5 6 2" xfId="4400" xr:uid="{00000000-0005-0000-0000-0000861A0000}"/>
    <cellStyle name="Normal 5 3 5 6 2 2" xfId="8622" xr:uid="{00000000-0005-0000-0000-0000871A0000}"/>
    <cellStyle name="Normal 5 3 5 6 2 2 2" xfId="25520" xr:uid="{BDE7A6CA-8A7C-4A9C-8FF9-B0BB5297921D}"/>
    <cellStyle name="Normal 5 3 5 6 2 2 3" xfId="17072" xr:uid="{5EFAB90E-138C-4CB9-9AFC-1E66C54AF15F}"/>
    <cellStyle name="Normal 5 3 5 6 2 3" xfId="21302" xr:uid="{6494F01D-1EE0-481B-BD26-C41F0892D991}"/>
    <cellStyle name="Normal 5 3 5 6 2 4" xfId="12854" xr:uid="{88F24A28-7118-4F56-8904-C46A16AA5395}"/>
    <cellStyle name="Normal 5 3 5 6 3" xfId="6477" xr:uid="{00000000-0005-0000-0000-0000881A0000}"/>
    <cellStyle name="Normal 5 3 5 6 3 2" xfId="23375" xr:uid="{131BD0C3-EFC3-4086-8BE6-5388060312E3}"/>
    <cellStyle name="Normal 5 3 5 6 3 3" xfId="14927" xr:uid="{09A8BE76-E2D8-4884-B983-B8362BC455DF}"/>
    <cellStyle name="Normal 5 3 5 6 4" xfId="19157" xr:uid="{C59470C0-9260-440F-B279-681C83D434F0}"/>
    <cellStyle name="Normal 5 3 5 6 5" xfId="10709" xr:uid="{7BCBC41E-14FF-4A8C-9899-8F2E70954D59}"/>
    <cellStyle name="Normal 5 3 5 7" xfId="2607" xr:uid="{00000000-0005-0000-0000-0000891A0000}"/>
    <cellStyle name="Normal 5 3 5 7 2" xfId="6890" xr:uid="{00000000-0005-0000-0000-00008A1A0000}"/>
    <cellStyle name="Normal 5 3 5 7 2 2" xfId="23788" xr:uid="{23C50281-8A63-4DF0-975B-C3BFC15959DE}"/>
    <cellStyle name="Normal 5 3 5 7 2 3" xfId="15340" xr:uid="{81341DF4-9828-4C7B-B8CA-43F8DA39487E}"/>
    <cellStyle name="Normal 5 3 5 7 3" xfId="19570" xr:uid="{ACE56426-6114-4A2B-80CE-036AF89E1B20}"/>
    <cellStyle name="Normal 5 3 5 7 4" xfId="11122" xr:uid="{8162FA98-40EB-4202-BE35-5FECCFAE177A}"/>
    <cellStyle name="Normal 5 3 5 8" xfId="4825" xr:uid="{00000000-0005-0000-0000-00008B1A0000}"/>
    <cellStyle name="Normal 5 3 5 8 2" xfId="21723" xr:uid="{CE7C5FBC-106C-4470-ABB0-CD3FE9276EDA}"/>
    <cellStyle name="Normal 5 3 5 8 3" xfId="13275" xr:uid="{AEA1F69E-6D82-4140-95E5-BE42828132B4}"/>
    <cellStyle name="Normal 5 3 5 9" xfId="17505" xr:uid="{4A5B894C-2357-433E-8FA3-D0629E368BA1}"/>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2 2 2" xfId="24283" xr:uid="{359B199B-B51A-4383-ABEB-ADF5C33E53BB}"/>
    <cellStyle name="Normal 5 3 6 2 2 2 3" xfId="15835" xr:uid="{66B84203-6164-4872-B84D-AC641AB16868}"/>
    <cellStyle name="Normal 5 3 6 2 2 3" xfId="20065" xr:uid="{8EDA3181-70DC-41C7-9F30-4644626AF1D7}"/>
    <cellStyle name="Normal 5 3 6 2 2 4" xfId="11617" xr:uid="{D2CD6501-3207-4F47-87FE-B95334BE80AB}"/>
    <cellStyle name="Normal 5 3 6 2 3" xfId="5240" xr:uid="{00000000-0005-0000-0000-0000901A0000}"/>
    <cellStyle name="Normal 5 3 6 2 3 2" xfId="22138" xr:uid="{233043D4-C700-403C-96E1-1F07237DE6BF}"/>
    <cellStyle name="Normal 5 3 6 2 3 3" xfId="13690" xr:uid="{AB77FEFC-4329-4EF8-9351-68FB17FE842E}"/>
    <cellStyle name="Normal 5 3 6 2 4" xfId="17920" xr:uid="{50D589BC-13F4-4C19-B79B-97C058BF9BC2}"/>
    <cellStyle name="Normal 5 3 6 2 5" xfId="9472" xr:uid="{EDDC8567-93EC-49FB-A6E5-E13ED3C9AC00}"/>
    <cellStyle name="Normal 5 3 6 3" xfId="1346" xr:uid="{00000000-0005-0000-0000-0000911A0000}"/>
    <cellStyle name="Normal 5 3 6 3 2" xfId="3576" xr:uid="{00000000-0005-0000-0000-0000921A0000}"/>
    <cellStyle name="Normal 5 3 6 3 2 2" xfId="7798" xr:uid="{00000000-0005-0000-0000-0000931A0000}"/>
    <cellStyle name="Normal 5 3 6 3 2 2 2" xfId="24696" xr:uid="{79EEF160-2554-46DC-B24A-817D396438FD}"/>
    <cellStyle name="Normal 5 3 6 3 2 2 3" xfId="16248" xr:uid="{6C525D23-1124-4546-A80B-5410090167E7}"/>
    <cellStyle name="Normal 5 3 6 3 2 3" xfId="20478" xr:uid="{1FE38962-F9F3-4E2C-A193-D33B39A0177C}"/>
    <cellStyle name="Normal 5 3 6 3 2 4" xfId="12030" xr:uid="{F5BAAF44-B382-4FBF-B58F-D4D8D95C333F}"/>
    <cellStyle name="Normal 5 3 6 3 3" xfId="5653" xr:uid="{00000000-0005-0000-0000-0000941A0000}"/>
    <cellStyle name="Normal 5 3 6 3 3 2" xfId="22551" xr:uid="{4226D409-A8FE-4423-80DB-8E3853AFABD6}"/>
    <cellStyle name="Normal 5 3 6 3 3 3" xfId="14103" xr:uid="{7164F512-74D1-452E-A736-35608E340DFE}"/>
    <cellStyle name="Normal 5 3 6 3 4" xfId="18333" xr:uid="{7553A6BC-3DA1-437D-ABC0-540A22C5E458}"/>
    <cellStyle name="Normal 5 3 6 3 5" xfId="9885" xr:uid="{B00D58DF-A46E-4A57-A348-E87DC19E59CE}"/>
    <cellStyle name="Normal 5 3 6 4" xfId="1759" xr:uid="{00000000-0005-0000-0000-0000951A0000}"/>
    <cellStyle name="Normal 5 3 6 4 2" xfId="3989" xr:uid="{00000000-0005-0000-0000-0000961A0000}"/>
    <cellStyle name="Normal 5 3 6 4 2 2" xfId="8211" xr:uid="{00000000-0005-0000-0000-0000971A0000}"/>
    <cellStyle name="Normal 5 3 6 4 2 2 2" xfId="25109" xr:uid="{74E92F98-2443-4A7E-B70E-C9BDEB235585}"/>
    <cellStyle name="Normal 5 3 6 4 2 2 3" xfId="16661" xr:uid="{A98D1DC6-A090-48E8-A3FE-0F64E9351F11}"/>
    <cellStyle name="Normal 5 3 6 4 2 3" xfId="20891" xr:uid="{52C369A0-BD00-443F-9545-2AC39446D131}"/>
    <cellStyle name="Normal 5 3 6 4 2 4" xfId="12443" xr:uid="{A3D5DE64-61BE-489A-B37B-59FAB5BE3F5D}"/>
    <cellStyle name="Normal 5 3 6 4 3" xfId="6066" xr:uid="{00000000-0005-0000-0000-0000981A0000}"/>
    <cellStyle name="Normal 5 3 6 4 3 2" xfId="22964" xr:uid="{5EB55E70-F919-4610-9168-FACABFA1008F}"/>
    <cellStyle name="Normal 5 3 6 4 3 3" xfId="14516" xr:uid="{73B309AD-3215-47DE-AF31-47EB6942391F}"/>
    <cellStyle name="Normal 5 3 6 4 4" xfId="18746" xr:uid="{5DF2DF39-61CB-47FB-BA76-C22A0BAFEB94}"/>
    <cellStyle name="Normal 5 3 6 4 5" xfId="10298" xr:uid="{7931E4EF-73D5-4755-AFED-CC54AFB1C04C}"/>
    <cellStyle name="Normal 5 3 6 5" xfId="2173" xr:uid="{00000000-0005-0000-0000-0000991A0000}"/>
    <cellStyle name="Normal 5 3 6 5 2" xfId="4402" xr:uid="{00000000-0005-0000-0000-00009A1A0000}"/>
    <cellStyle name="Normal 5 3 6 5 2 2" xfId="8624" xr:uid="{00000000-0005-0000-0000-00009B1A0000}"/>
    <cellStyle name="Normal 5 3 6 5 2 2 2" xfId="25522" xr:uid="{0FB35A46-ED71-40EB-82B8-89475FE3FF1E}"/>
    <cellStyle name="Normal 5 3 6 5 2 2 3" xfId="17074" xr:uid="{C66C6C76-79F8-44CE-9DCF-51E6A333076C}"/>
    <cellStyle name="Normal 5 3 6 5 2 3" xfId="21304" xr:uid="{974ABE85-2097-4177-8D22-95179147ACE0}"/>
    <cellStyle name="Normal 5 3 6 5 2 4" xfId="12856" xr:uid="{A04E1CA4-FF34-4713-A173-84263CF9934B}"/>
    <cellStyle name="Normal 5 3 6 5 3" xfId="6479" xr:uid="{00000000-0005-0000-0000-00009C1A0000}"/>
    <cellStyle name="Normal 5 3 6 5 3 2" xfId="23377" xr:uid="{1B1D8158-32E7-4798-8486-56C63499FDA7}"/>
    <cellStyle name="Normal 5 3 6 5 3 3" xfId="14929" xr:uid="{8D4DC182-807B-489F-A9E6-183751C73511}"/>
    <cellStyle name="Normal 5 3 6 5 4" xfId="19159" xr:uid="{0D830D3A-91B6-4AD3-9AA7-1A23F8FE547A}"/>
    <cellStyle name="Normal 5 3 6 5 5" xfId="10711" xr:uid="{166790DA-E5C0-4B5D-B39D-C50E3A1E172A}"/>
    <cellStyle name="Normal 5 3 6 6" xfId="2609" xr:uid="{00000000-0005-0000-0000-00009D1A0000}"/>
    <cellStyle name="Normal 5 3 6 6 2" xfId="6892" xr:uid="{00000000-0005-0000-0000-00009E1A0000}"/>
    <cellStyle name="Normal 5 3 6 6 2 2" xfId="23790" xr:uid="{D5848E23-4ED4-40FA-984E-521687F213C8}"/>
    <cellStyle name="Normal 5 3 6 6 2 3" xfId="15342" xr:uid="{922713EA-B1C6-4BDD-B3BF-12FF960F8DC9}"/>
    <cellStyle name="Normal 5 3 6 6 3" xfId="19572" xr:uid="{2B851589-E784-4097-B563-DA04BB2DABC8}"/>
    <cellStyle name="Normal 5 3 6 6 4" xfId="11124" xr:uid="{5BE74EE4-6785-4055-8322-3961DAFA4680}"/>
    <cellStyle name="Normal 5 3 6 7" xfId="4827" xr:uid="{00000000-0005-0000-0000-00009F1A0000}"/>
    <cellStyle name="Normal 5 3 6 7 2" xfId="21725" xr:uid="{76A7BB09-9D22-4244-B335-57479F4F043C}"/>
    <cellStyle name="Normal 5 3 6 7 3" xfId="13277" xr:uid="{9D55A81E-C49F-42E2-9A71-B4546DB3ED3F}"/>
    <cellStyle name="Normal 5 3 6 8" xfId="17507" xr:uid="{6A378E21-8FD1-4139-9114-79DF96DD3D57}"/>
    <cellStyle name="Normal 5 3 6 9" xfId="9059" xr:uid="{275CA70F-8AE9-4D7A-8206-0D5A0BD75500}"/>
    <cellStyle name="Normal 5 3 7" xfId="913" xr:uid="{00000000-0005-0000-0000-0000A01A0000}"/>
    <cellStyle name="Normal 5 3 7 2" xfId="3148" xr:uid="{00000000-0005-0000-0000-0000A11A0000}"/>
    <cellStyle name="Normal 5 3 7 2 2" xfId="7370" xr:uid="{00000000-0005-0000-0000-0000A21A0000}"/>
    <cellStyle name="Normal 5 3 7 2 2 2" xfId="24268" xr:uid="{56C1D799-82CF-40A7-AF90-F31C42A7E4AB}"/>
    <cellStyle name="Normal 5 3 7 2 2 3" xfId="15820" xr:uid="{4D405688-7EFB-4847-95D1-7A1D28C2A6D3}"/>
    <cellStyle name="Normal 5 3 7 2 3" xfId="20050" xr:uid="{34333E4E-5620-464F-83D1-271D2DCCA290}"/>
    <cellStyle name="Normal 5 3 7 2 4" xfId="11602" xr:uid="{1BBBEA46-E06E-4364-AD3A-BCC0C391B8A3}"/>
    <cellStyle name="Normal 5 3 7 3" xfId="5225" xr:uid="{00000000-0005-0000-0000-0000A31A0000}"/>
    <cellStyle name="Normal 5 3 7 3 2" xfId="22123" xr:uid="{D9317B5A-6AAD-4C26-B939-20EEB652BEFE}"/>
    <cellStyle name="Normal 5 3 7 3 3" xfId="13675" xr:uid="{6DBCFDA9-C0A6-4D2D-9CBB-64E4FBF706B2}"/>
    <cellStyle name="Normal 5 3 7 4" xfId="17905" xr:uid="{976E7EBC-BB72-490F-A087-47D7185344F4}"/>
    <cellStyle name="Normal 5 3 7 5" xfId="9457" xr:uid="{2ABBCE62-CA3C-4D53-B818-710A6C5729C0}"/>
    <cellStyle name="Normal 5 3 8" xfId="1331" xr:uid="{00000000-0005-0000-0000-0000A41A0000}"/>
    <cellStyle name="Normal 5 3 8 2" xfId="3561" xr:uid="{00000000-0005-0000-0000-0000A51A0000}"/>
    <cellStyle name="Normal 5 3 8 2 2" xfId="7783" xr:uid="{00000000-0005-0000-0000-0000A61A0000}"/>
    <cellStyle name="Normal 5 3 8 2 2 2" xfId="24681" xr:uid="{5427B4F9-1692-4EFC-A344-074D28A6A91E}"/>
    <cellStyle name="Normal 5 3 8 2 2 3" xfId="16233" xr:uid="{D6E36D64-62AC-4D01-AE11-791437114B66}"/>
    <cellStyle name="Normal 5 3 8 2 3" xfId="20463" xr:uid="{01B70487-07C0-4E24-919F-1BEC9B8753F2}"/>
    <cellStyle name="Normal 5 3 8 2 4" xfId="12015" xr:uid="{ABA194C9-D44F-45FE-8344-F7BB301946E4}"/>
    <cellStyle name="Normal 5 3 8 3" xfId="5638" xr:uid="{00000000-0005-0000-0000-0000A71A0000}"/>
    <cellStyle name="Normal 5 3 8 3 2" xfId="22536" xr:uid="{CA8799F1-486B-48F6-BE41-DBD092954909}"/>
    <cellStyle name="Normal 5 3 8 3 3" xfId="14088" xr:uid="{857F900A-DC6E-4DFB-AFFB-3979FE08765C}"/>
    <cellStyle name="Normal 5 3 8 4" xfId="18318" xr:uid="{9B28DC8A-B8D8-4443-893B-16393F944CF2}"/>
    <cellStyle name="Normal 5 3 8 5" xfId="9870" xr:uid="{D9FE1A09-6865-4568-9521-783E6EAEF676}"/>
    <cellStyle name="Normal 5 3 9" xfId="1744" xr:uid="{00000000-0005-0000-0000-0000A81A0000}"/>
    <cellStyle name="Normal 5 3 9 2" xfId="3974" xr:uid="{00000000-0005-0000-0000-0000A91A0000}"/>
    <cellStyle name="Normal 5 3 9 2 2" xfId="8196" xr:uid="{00000000-0005-0000-0000-0000AA1A0000}"/>
    <cellStyle name="Normal 5 3 9 2 2 2" xfId="25094" xr:uid="{0F061554-77B9-4BC7-81F3-A08208A86E77}"/>
    <cellStyle name="Normal 5 3 9 2 2 3" xfId="16646" xr:uid="{26027EB0-1585-4A7C-ADC9-129C59DE5B67}"/>
    <cellStyle name="Normal 5 3 9 2 3" xfId="20876" xr:uid="{A0100B1E-365E-4013-ADA4-16F9E138C2C5}"/>
    <cellStyle name="Normal 5 3 9 2 4" xfId="12428" xr:uid="{C9FC249C-FC5B-4647-9E84-2FC628FF431E}"/>
    <cellStyle name="Normal 5 3 9 3" xfId="6051" xr:uid="{00000000-0005-0000-0000-0000AB1A0000}"/>
    <cellStyle name="Normal 5 3 9 3 2" xfId="22949" xr:uid="{0C3ABC23-A1E8-4FF8-AE9E-A4695EEF0C83}"/>
    <cellStyle name="Normal 5 3 9 3 3" xfId="14501" xr:uid="{824A3E72-81FC-43FA-B4EE-FE30D236F802}"/>
    <cellStyle name="Normal 5 3 9 4" xfId="18731" xr:uid="{9C8F34B1-0020-494E-8E81-E167AB26326D}"/>
    <cellStyle name="Normal 5 3 9 5" xfId="10283" xr:uid="{766FCC54-09FC-4EC8-AF03-69F79DFA8246}"/>
    <cellStyle name="Normal 5 4" xfId="456" xr:uid="{00000000-0005-0000-0000-0000AC1A0000}"/>
    <cellStyle name="Normal 5 4 10" xfId="4828" xr:uid="{00000000-0005-0000-0000-0000AD1A0000}"/>
    <cellStyle name="Normal 5 4 10 2" xfId="21726" xr:uid="{116CCDA2-E771-4037-B94F-CACB0FDB8229}"/>
    <cellStyle name="Normal 5 4 10 3" xfId="13278" xr:uid="{610B45A5-AD59-48B5-AD80-266B72B46DFF}"/>
    <cellStyle name="Normal 5 4 11" xfId="17508" xr:uid="{B8EAF3C5-D6D7-49CF-8BAB-038A4E29CF23}"/>
    <cellStyle name="Normal 5 4 12" xfId="9060" xr:uid="{09E2E0C2-4DE5-4F35-9CF6-43CD13E8EA6B}"/>
    <cellStyle name="Normal 5 4 2" xfId="457" xr:uid="{00000000-0005-0000-0000-0000AE1A0000}"/>
    <cellStyle name="Normal 5 4 2 10" xfId="17509" xr:uid="{B916756E-E801-4E8E-98F0-37CA4DA818DB}"/>
    <cellStyle name="Normal 5 4 2 11" xfId="9061" xr:uid="{477A70D4-CB70-4669-AC4C-F96FB68349F6}"/>
    <cellStyle name="Normal 5 4 2 2" xfId="458" xr:uid="{00000000-0005-0000-0000-0000AF1A0000}"/>
    <cellStyle name="Normal 5 4 2 2 10" xfId="9062" xr:uid="{C5BADCD9-0080-4875-BF15-C84D3C4F16FF}"/>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24287" xr:uid="{3AB59970-3D35-46E1-B080-6E7A01A75BB8}"/>
    <cellStyle name="Normal 5 4 2 2 2 2 2 2 3" xfId="15839" xr:uid="{09C57702-6C46-4A65-88D3-947C84C5C28A}"/>
    <cellStyle name="Normal 5 4 2 2 2 2 2 3" xfId="20069" xr:uid="{5839A716-5DDC-4F4D-A0AA-D32CF0ED2D75}"/>
    <cellStyle name="Normal 5 4 2 2 2 2 2 4" xfId="11621" xr:uid="{94F584A1-884D-42E0-9786-79416013C132}"/>
    <cellStyle name="Normal 5 4 2 2 2 2 3" xfId="5244" xr:uid="{00000000-0005-0000-0000-0000B41A0000}"/>
    <cellStyle name="Normal 5 4 2 2 2 2 3 2" xfId="22142" xr:uid="{5BA6BF08-61A9-47FE-9279-D1A7BC44BC2F}"/>
    <cellStyle name="Normal 5 4 2 2 2 2 3 3" xfId="13694" xr:uid="{412FCF68-18B8-406C-8C81-BBB39E097CC1}"/>
    <cellStyle name="Normal 5 4 2 2 2 2 4" xfId="17924" xr:uid="{9507CC84-333C-400B-B474-FDDE03F2FE8A}"/>
    <cellStyle name="Normal 5 4 2 2 2 2 5" xfId="9476" xr:uid="{2ECD2810-6E5B-48CF-9F61-48581942095C}"/>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24700" xr:uid="{8A8BF25C-325D-4C7A-AB6E-8B16CE9A4732}"/>
    <cellStyle name="Normal 5 4 2 2 2 3 2 2 3" xfId="16252" xr:uid="{9D1CD5CD-4057-4020-AF8A-2EE12CFD38F7}"/>
    <cellStyle name="Normal 5 4 2 2 2 3 2 3" xfId="20482" xr:uid="{1D7EB78E-F1B6-4650-B8DA-E1769FC69E7B}"/>
    <cellStyle name="Normal 5 4 2 2 2 3 2 4" xfId="12034" xr:uid="{D4E7ED38-D1BF-45AA-8E61-7FC65B999613}"/>
    <cellStyle name="Normal 5 4 2 2 2 3 3" xfId="5657" xr:uid="{00000000-0005-0000-0000-0000B81A0000}"/>
    <cellStyle name="Normal 5 4 2 2 2 3 3 2" xfId="22555" xr:uid="{0A742115-C5C0-4AB0-852C-909FB2839402}"/>
    <cellStyle name="Normal 5 4 2 2 2 3 3 3" xfId="14107" xr:uid="{5BE836BF-BC2D-4659-9C96-B0BCE5951E7E}"/>
    <cellStyle name="Normal 5 4 2 2 2 3 4" xfId="18337" xr:uid="{B8BAE23D-CCE1-4900-8B9D-E85489C63A4A}"/>
    <cellStyle name="Normal 5 4 2 2 2 3 5" xfId="9889" xr:uid="{FB3B4DED-2B8B-4C43-82CA-BD8AAAA9D178}"/>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25113" xr:uid="{D35FD69C-6B26-4934-AC8C-66E841B06228}"/>
    <cellStyle name="Normal 5 4 2 2 2 4 2 2 3" xfId="16665" xr:uid="{C3746E90-A1B8-452E-85D1-E41320036392}"/>
    <cellStyle name="Normal 5 4 2 2 2 4 2 3" xfId="20895" xr:uid="{7E6FC77F-8D66-4789-A2A6-CD14266040C7}"/>
    <cellStyle name="Normal 5 4 2 2 2 4 2 4" xfId="12447" xr:uid="{C9449FDD-B0D8-4AFA-A857-0A5E82F39669}"/>
    <cellStyle name="Normal 5 4 2 2 2 4 3" xfId="6070" xr:uid="{00000000-0005-0000-0000-0000BC1A0000}"/>
    <cellStyle name="Normal 5 4 2 2 2 4 3 2" xfId="22968" xr:uid="{56A2E9CC-9B5A-4743-B757-13B3AE0E7D98}"/>
    <cellStyle name="Normal 5 4 2 2 2 4 3 3" xfId="14520" xr:uid="{8F793C36-FA8D-4445-B1D9-6CE659C1670F}"/>
    <cellStyle name="Normal 5 4 2 2 2 4 4" xfId="18750" xr:uid="{358E126E-6F57-4F89-976D-0D3B512A7A45}"/>
    <cellStyle name="Normal 5 4 2 2 2 4 5" xfId="10302" xr:uid="{F4A91826-1B38-47A4-B37D-1FB6AEB0AB97}"/>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25526" xr:uid="{FD51AE74-B2A4-438A-9D32-ACB40F89D41B}"/>
    <cellStyle name="Normal 5 4 2 2 2 5 2 2 3" xfId="17078" xr:uid="{DF59EC91-8A8A-42F5-B3BA-4292B76ECE3E}"/>
    <cellStyle name="Normal 5 4 2 2 2 5 2 3" xfId="21308" xr:uid="{B69BF5DF-06DA-4F96-BB82-5BAA1C17F094}"/>
    <cellStyle name="Normal 5 4 2 2 2 5 2 4" xfId="12860" xr:uid="{4DE86C70-A26E-4B28-BDBF-C5ECE3FEA7EB}"/>
    <cellStyle name="Normal 5 4 2 2 2 5 3" xfId="6483" xr:uid="{00000000-0005-0000-0000-0000C01A0000}"/>
    <cellStyle name="Normal 5 4 2 2 2 5 3 2" xfId="23381" xr:uid="{617B6B68-9BB2-4E85-8F79-E284FD8ED97E}"/>
    <cellStyle name="Normal 5 4 2 2 2 5 3 3" xfId="14933" xr:uid="{11BF1171-6E7D-4634-96DC-0F8F40DB8FAA}"/>
    <cellStyle name="Normal 5 4 2 2 2 5 4" xfId="19163" xr:uid="{514360AC-EFF1-4B56-AF14-FECA77D79548}"/>
    <cellStyle name="Normal 5 4 2 2 2 5 5" xfId="10715" xr:uid="{931DBC52-332F-415B-A196-67A19A1AE0FB}"/>
    <cellStyle name="Normal 5 4 2 2 2 6" xfId="2613" xr:uid="{00000000-0005-0000-0000-0000C11A0000}"/>
    <cellStyle name="Normal 5 4 2 2 2 6 2" xfId="6896" xr:uid="{00000000-0005-0000-0000-0000C21A0000}"/>
    <cellStyle name="Normal 5 4 2 2 2 6 2 2" xfId="23794" xr:uid="{CF9EEC7E-7BAB-4FC1-A907-491F3DC08DEF}"/>
    <cellStyle name="Normal 5 4 2 2 2 6 2 3" xfId="15346" xr:uid="{8C890B34-08CB-4DCC-AC74-17F34DBFFF16}"/>
    <cellStyle name="Normal 5 4 2 2 2 6 3" xfId="19576" xr:uid="{DF959683-55BE-4261-AD2B-60F2DDA45133}"/>
    <cellStyle name="Normal 5 4 2 2 2 6 4" xfId="11128" xr:uid="{F5A0041E-DEB9-4826-8BDB-5880ED42F368}"/>
    <cellStyle name="Normal 5 4 2 2 2 7" xfId="4831" xr:uid="{00000000-0005-0000-0000-0000C31A0000}"/>
    <cellStyle name="Normal 5 4 2 2 2 7 2" xfId="21729" xr:uid="{AE041870-61B5-4B65-B7D8-987DB0459CF7}"/>
    <cellStyle name="Normal 5 4 2 2 2 7 3" xfId="13281" xr:uid="{1229DC8E-5208-421E-BA36-99E29ADC39AF}"/>
    <cellStyle name="Normal 5 4 2 2 2 8" xfId="17511" xr:uid="{7A21C30C-7EC6-41D8-B9F1-B631820AB5B1}"/>
    <cellStyle name="Normal 5 4 2 2 2 9" xfId="9063" xr:uid="{E3DB984B-7A58-4397-959A-77BDEAD97CC6}"/>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24286" xr:uid="{1453BDD2-CD29-48EB-9E73-D4F7A6CE6218}"/>
    <cellStyle name="Normal 5 4 2 2 3 2 2 3" xfId="15838" xr:uid="{E94F0C74-F705-4F0D-9B4B-06818D39C220}"/>
    <cellStyle name="Normal 5 4 2 2 3 2 3" xfId="20068" xr:uid="{31A3ED47-8DED-45E5-B5B2-1ED62EE45E57}"/>
    <cellStyle name="Normal 5 4 2 2 3 2 4" xfId="11620" xr:uid="{FF8A588D-520C-4024-8E55-39B0BD6A842D}"/>
    <cellStyle name="Normal 5 4 2 2 3 3" xfId="5243" xr:uid="{00000000-0005-0000-0000-0000C71A0000}"/>
    <cellStyle name="Normal 5 4 2 2 3 3 2" xfId="22141" xr:uid="{2F8E2D63-7A13-47AA-921C-D1C34F860B50}"/>
    <cellStyle name="Normal 5 4 2 2 3 3 3" xfId="13693" xr:uid="{518CC879-2374-40E0-8B90-5B73A37317DC}"/>
    <cellStyle name="Normal 5 4 2 2 3 4" xfId="17923" xr:uid="{13DEBB8A-3DDD-479A-B133-53F78441EECD}"/>
    <cellStyle name="Normal 5 4 2 2 3 5" xfId="9475" xr:uid="{33E7716C-4A29-4A21-AB7E-D0169F8BCDF9}"/>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24699" xr:uid="{B9184254-DEF5-4EA0-8D81-938476B26564}"/>
    <cellStyle name="Normal 5 4 2 2 4 2 2 3" xfId="16251" xr:uid="{501FD79D-0C4D-4E2D-9EE0-16D006AA278B}"/>
    <cellStyle name="Normal 5 4 2 2 4 2 3" xfId="20481" xr:uid="{EEE1277A-98F8-4ED4-B2B1-E060AB4A81B9}"/>
    <cellStyle name="Normal 5 4 2 2 4 2 4" xfId="12033" xr:uid="{A3C6C116-8887-421B-882E-EF88AECD5C4B}"/>
    <cellStyle name="Normal 5 4 2 2 4 3" xfId="5656" xr:uid="{00000000-0005-0000-0000-0000CB1A0000}"/>
    <cellStyle name="Normal 5 4 2 2 4 3 2" xfId="22554" xr:uid="{28040063-659A-43D6-8BF6-2C5D7D40CF67}"/>
    <cellStyle name="Normal 5 4 2 2 4 3 3" xfId="14106" xr:uid="{F2B7DC29-6FD7-43D0-A356-B5A7213F4D22}"/>
    <cellStyle name="Normal 5 4 2 2 4 4" xfId="18336" xr:uid="{C38220C9-D31E-447F-BE15-F97A60DEBA27}"/>
    <cellStyle name="Normal 5 4 2 2 4 5" xfId="9888" xr:uid="{1458B9E8-1585-47BB-9C7E-2568833C7E5F}"/>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25112" xr:uid="{060D1BDE-0F10-495E-9335-9E43C4072BA9}"/>
    <cellStyle name="Normal 5 4 2 2 5 2 2 3" xfId="16664" xr:uid="{119DD5D9-485E-4CB7-8447-AABB1DCDE2CC}"/>
    <cellStyle name="Normal 5 4 2 2 5 2 3" xfId="20894" xr:uid="{4A095DFB-AE52-46C1-9343-26C0942C7760}"/>
    <cellStyle name="Normal 5 4 2 2 5 2 4" xfId="12446" xr:uid="{0F0CF61E-974D-40E2-A540-31BDBF8BF269}"/>
    <cellStyle name="Normal 5 4 2 2 5 3" xfId="6069" xr:uid="{00000000-0005-0000-0000-0000CF1A0000}"/>
    <cellStyle name="Normal 5 4 2 2 5 3 2" xfId="22967" xr:uid="{E3006696-82DF-48FD-A437-94F4646526B3}"/>
    <cellStyle name="Normal 5 4 2 2 5 3 3" xfId="14519" xr:uid="{1765AD19-0A2B-4743-A2CF-0222B881ECA3}"/>
    <cellStyle name="Normal 5 4 2 2 5 4" xfId="18749" xr:uid="{D189305E-FC31-4070-A1B9-072ACAE3122D}"/>
    <cellStyle name="Normal 5 4 2 2 5 5" xfId="10301" xr:uid="{0F6A335E-6039-4137-9F40-49FD24A299EF}"/>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25525" xr:uid="{CA516989-DEC5-4682-AF55-2AF3ED3E9736}"/>
    <cellStyle name="Normal 5 4 2 2 6 2 2 3" xfId="17077" xr:uid="{8C2EE1D7-14BB-46F8-B701-B73195F2CE50}"/>
    <cellStyle name="Normal 5 4 2 2 6 2 3" xfId="21307" xr:uid="{352463A0-0FA9-4E50-9C90-6C739202AAD4}"/>
    <cellStyle name="Normal 5 4 2 2 6 2 4" xfId="12859" xr:uid="{5C0DA7EB-7DF4-4F4E-A326-D81209C729EF}"/>
    <cellStyle name="Normal 5 4 2 2 6 3" xfId="6482" xr:uid="{00000000-0005-0000-0000-0000D31A0000}"/>
    <cellStyle name="Normal 5 4 2 2 6 3 2" xfId="23380" xr:uid="{F653CF64-0170-4362-888E-DE7AE01BD620}"/>
    <cellStyle name="Normal 5 4 2 2 6 3 3" xfId="14932" xr:uid="{B655FAA2-BC78-44F0-8675-BFA6D9E936B9}"/>
    <cellStyle name="Normal 5 4 2 2 6 4" xfId="19162" xr:uid="{8499A46F-AADA-4D4E-BC7E-6E3742FAAFDB}"/>
    <cellStyle name="Normal 5 4 2 2 6 5" xfId="10714" xr:uid="{9002E7FF-8979-484F-9545-09D659CFFF03}"/>
    <cellStyle name="Normal 5 4 2 2 7" xfId="2612" xr:uid="{00000000-0005-0000-0000-0000D41A0000}"/>
    <cellStyle name="Normal 5 4 2 2 7 2" xfId="6895" xr:uid="{00000000-0005-0000-0000-0000D51A0000}"/>
    <cellStyle name="Normal 5 4 2 2 7 2 2" xfId="23793" xr:uid="{2A7E3E8E-E533-47FC-B3E3-751B99585559}"/>
    <cellStyle name="Normal 5 4 2 2 7 2 3" xfId="15345" xr:uid="{E1CAEA28-3699-4283-9CDF-D6A40F5CB659}"/>
    <cellStyle name="Normal 5 4 2 2 7 3" xfId="19575" xr:uid="{2445AC4B-362F-4F76-9E73-78E4C1A37C55}"/>
    <cellStyle name="Normal 5 4 2 2 7 4" xfId="11127" xr:uid="{58ADAC2A-83CE-43E7-9F8A-8726ED23E453}"/>
    <cellStyle name="Normal 5 4 2 2 8" xfId="4830" xr:uid="{00000000-0005-0000-0000-0000D61A0000}"/>
    <cellStyle name="Normal 5 4 2 2 8 2" xfId="21728" xr:uid="{DFC0440A-7463-49DA-8872-3BB04A2B2468}"/>
    <cellStyle name="Normal 5 4 2 2 8 3" xfId="13280" xr:uid="{9CBA10FB-70CF-4FFE-89B0-103FC77E5B74}"/>
    <cellStyle name="Normal 5 4 2 2 9" xfId="17510" xr:uid="{DC6DDA6B-9787-40F8-A2AF-5E78D8B65AA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24288" xr:uid="{D88B536A-78B8-4318-940E-A1CE20CEA1BC}"/>
    <cellStyle name="Normal 5 4 2 3 2 2 2 3" xfId="15840" xr:uid="{DF2AF39E-A8CE-4980-9C10-D926FFBF1D4C}"/>
    <cellStyle name="Normal 5 4 2 3 2 2 3" xfId="20070" xr:uid="{B47A5B7D-99AF-4EB9-A44A-BC66256236FC}"/>
    <cellStyle name="Normal 5 4 2 3 2 2 4" xfId="11622" xr:uid="{26B6D821-6C98-45E4-AB49-7FD837548964}"/>
    <cellStyle name="Normal 5 4 2 3 2 3" xfId="5245" xr:uid="{00000000-0005-0000-0000-0000DB1A0000}"/>
    <cellStyle name="Normal 5 4 2 3 2 3 2" xfId="22143" xr:uid="{563A1144-007C-4837-B0A7-FC369F608C80}"/>
    <cellStyle name="Normal 5 4 2 3 2 3 3" xfId="13695" xr:uid="{E561808D-558D-44FA-B781-29DA74A93645}"/>
    <cellStyle name="Normal 5 4 2 3 2 4" xfId="17925" xr:uid="{95580546-0CE6-4A3A-B62A-B1EE7C2F5E35}"/>
    <cellStyle name="Normal 5 4 2 3 2 5" xfId="9477" xr:uid="{B446ABEF-3FEC-4BED-B67E-3D70CB26C7BE}"/>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24701" xr:uid="{86877446-2EE3-4212-8ECB-7A78F6ED5715}"/>
    <cellStyle name="Normal 5 4 2 3 3 2 2 3" xfId="16253" xr:uid="{AEE43E2B-4F6D-4015-9D8B-5E2B53F8B042}"/>
    <cellStyle name="Normal 5 4 2 3 3 2 3" xfId="20483" xr:uid="{6832FCDA-C7F4-4C30-ADF9-92C3254C60D8}"/>
    <cellStyle name="Normal 5 4 2 3 3 2 4" xfId="12035" xr:uid="{2420F0FF-E120-4785-A3BD-CBDCCA3EADB2}"/>
    <cellStyle name="Normal 5 4 2 3 3 3" xfId="5658" xr:uid="{00000000-0005-0000-0000-0000DF1A0000}"/>
    <cellStyle name="Normal 5 4 2 3 3 3 2" xfId="22556" xr:uid="{AC05C845-DDB4-4232-A123-ADA1964CCA71}"/>
    <cellStyle name="Normal 5 4 2 3 3 3 3" xfId="14108" xr:uid="{5F1765DB-3E8A-4B8B-ADCA-CB2D65F4633C}"/>
    <cellStyle name="Normal 5 4 2 3 3 4" xfId="18338" xr:uid="{DFB67309-C12B-4E2D-B7FF-821DE3F0C27D}"/>
    <cellStyle name="Normal 5 4 2 3 3 5" xfId="9890" xr:uid="{7497A80D-8C08-4962-839E-2FEC8F948481}"/>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25114" xr:uid="{25E698B3-F2AA-44FD-8C05-1E588D581770}"/>
    <cellStyle name="Normal 5 4 2 3 4 2 2 3" xfId="16666" xr:uid="{61EC8CDA-77B0-41F0-816B-DF81F1193C57}"/>
    <cellStyle name="Normal 5 4 2 3 4 2 3" xfId="20896" xr:uid="{F356A554-5EED-45CA-ABBB-AFF4811FD8FF}"/>
    <cellStyle name="Normal 5 4 2 3 4 2 4" xfId="12448" xr:uid="{24ED049B-3552-4140-B760-7F8E9821E363}"/>
    <cellStyle name="Normal 5 4 2 3 4 3" xfId="6071" xr:uid="{00000000-0005-0000-0000-0000E31A0000}"/>
    <cellStyle name="Normal 5 4 2 3 4 3 2" xfId="22969" xr:uid="{D3C39C2B-1CFA-4DD8-8034-08EE08AC9C4F}"/>
    <cellStyle name="Normal 5 4 2 3 4 3 3" xfId="14521" xr:uid="{C5CEB23A-05B7-42A1-ADAE-AB9B664DFDC2}"/>
    <cellStyle name="Normal 5 4 2 3 4 4" xfId="18751" xr:uid="{C9AE9E92-420F-48A9-A25E-3297C7BF6DE5}"/>
    <cellStyle name="Normal 5 4 2 3 4 5" xfId="10303" xr:uid="{A61FAE99-8E8E-42E6-9B71-6196A3F00C79}"/>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25527" xr:uid="{CF2E230E-C5CD-41FA-812A-686456247F41}"/>
    <cellStyle name="Normal 5 4 2 3 5 2 2 3" xfId="17079" xr:uid="{D7BC27CD-A6E4-4496-AF11-A1A9F3889CF9}"/>
    <cellStyle name="Normal 5 4 2 3 5 2 3" xfId="21309" xr:uid="{D1A4834A-E6AE-4F0B-BD92-2C6C0B859B8C}"/>
    <cellStyle name="Normal 5 4 2 3 5 2 4" xfId="12861" xr:uid="{7E0D5C04-D903-4DE4-9BA3-571E95A2B1F3}"/>
    <cellStyle name="Normal 5 4 2 3 5 3" xfId="6484" xr:uid="{00000000-0005-0000-0000-0000E71A0000}"/>
    <cellStyle name="Normal 5 4 2 3 5 3 2" xfId="23382" xr:uid="{0ED54A8F-F81B-4F67-ACF8-6581BDE0E079}"/>
    <cellStyle name="Normal 5 4 2 3 5 3 3" xfId="14934" xr:uid="{B4385D87-9BC4-4624-A49E-C6CF856A7CC3}"/>
    <cellStyle name="Normal 5 4 2 3 5 4" xfId="19164" xr:uid="{F122C4A2-EE37-4E86-A4D2-A0E15241DE4D}"/>
    <cellStyle name="Normal 5 4 2 3 5 5" xfId="10716" xr:uid="{F61AE436-9B6A-4D63-B622-8F6EA08338AF}"/>
    <cellStyle name="Normal 5 4 2 3 6" xfId="2614" xr:uid="{00000000-0005-0000-0000-0000E81A0000}"/>
    <cellStyle name="Normal 5 4 2 3 6 2" xfId="6897" xr:uid="{00000000-0005-0000-0000-0000E91A0000}"/>
    <cellStyle name="Normal 5 4 2 3 6 2 2" xfId="23795" xr:uid="{2D5F3683-2FE7-46B0-B85D-56CD365E0D00}"/>
    <cellStyle name="Normal 5 4 2 3 6 2 3" xfId="15347" xr:uid="{1FA54A32-3322-4561-86CE-E96294905AFD}"/>
    <cellStyle name="Normal 5 4 2 3 6 3" xfId="19577" xr:uid="{1DCFBE83-1881-4FAA-87AC-F86A2DFA518B}"/>
    <cellStyle name="Normal 5 4 2 3 6 4" xfId="11129" xr:uid="{6BA5E042-A79F-4994-9063-44380A3DA770}"/>
    <cellStyle name="Normal 5 4 2 3 7" xfId="4832" xr:uid="{00000000-0005-0000-0000-0000EA1A0000}"/>
    <cellStyle name="Normal 5 4 2 3 7 2" xfId="21730" xr:uid="{607A12B2-E801-4420-B365-30BE2C9BF375}"/>
    <cellStyle name="Normal 5 4 2 3 7 3" xfId="13282" xr:uid="{17D09ADD-9E2A-48A9-8953-74648719F6FB}"/>
    <cellStyle name="Normal 5 4 2 3 8" xfId="17512" xr:uid="{8F1C4348-D9F7-420D-AC99-E5D11655BB50}"/>
    <cellStyle name="Normal 5 4 2 3 9" xfId="9064" xr:uid="{362DFE19-6D9E-4E1A-8D6F-3B15D91B7EF6}"/>
    <cellStyle name="Normal 5 4 2 4" xfId="931" xr:uid="{00000000-0005-0000-0000-0000EB1A0000}"/>
    <cellStyle name="Normal 5 4 2 4 2" xfId="3165" xr:uid="{00000000-0005-0000-0000-0000EC1A0000}"/>
    <cellStyle name="Normal 5 4 2 4 2 2" xfId="7387" xr:uid="{00000000-0005-0000-0000-0000ED1A0000}"/>
    <cellStyle name="Normal 5 4 2 4 2 2 2" xfId="24285" xr:uid="{776B418E-4007-4C1B-8FD7-A527F9BC2A85}"/>
    <cellStyle name="Normal 5 4 2 4 2 2 3" xfId="15837" xr:uid="{BD37E9E2-47C9-43EE-80FF-6677AF2B8027}"/>
    <cellStyle name="Normal 5 4 2 4 2 3" xfId="20067" xr:uid="{674F8A7B-6B7B-433D-B954-637F0AC292F1}"/>
    <cellStyle name="Normal 5 4 2 4 2 4" xfId="11619" xr:uid="{72697EB5-B22F-4E90-B885-7973F97B723B}"/>
    <cellStyle name="Normal 5 4 2 4 3" xfId="5242" xr:uid="{00000000-0005-0000-0000-0000EE1A0000}"/>
    <cellStyle name="Normal 5 4 2 4 3 2" xfId="22140" xr:uid="{F2ABE307-3B0C-4F1D-BEDE-081BCF77B614}"/>
    <cellStyle name="Normal 5 4 2 4 3 3" xfId="13692" xr:uid="{B2C00785-5216-434D-9D8F-74B4E71CA92A}"/>
    <cellStyle name="Normal 5 4 2 4 4" xfId="17922" xr:uid="{143422D4-A6DF-4D09-A969-01AD6BED6213}"/>
    <cellStyle name="Normal 5 4 2 4 5" xfId="9474" xr:uid="{5EEAED39-4A0D-4AF0-9338-79F5C7A21E57}"/>
    <cellStyle name="Normal 5 4 2 5" xfId="1348" xr:uid="{00000000-0005-0000-0000-0000EF1A0000}"/>
    <cellStyle name="Normal 5 4 2 5 2" xfId="3578" xr:uid="{00000000-0005-0000-0000-0000F01A0000}"/>
    <cellStyle name="Normal 5 4 2 5 2 2" xfId="7800" xr:uid="{00000000-0005-0000-0000-0000F11A0000}"/>
    <cellStyle name="Normal 5 4 2 5 2 2 2" xfId="24698" xr:uid="{1D4C51B2-7C2C-40BD-9900-F491355E7A47}"/>
    <cellStyle name="Normal 5 4 2 5 2 2 3" xfId="16250" xr:uid="{1C9A15F0-5D4C-4B7B-9B9E-6E9E298D22F2}"/>
    <cellStyle name="Normal 5 4 2 5 2 3" xfId="20480" xr:uid="{47E6545D-FBE9-4653-B1A4-8F36CC3F9D4C}"/>
    <cellStyle name="Normal 5 4 2 5 2 4" xfId="12032" xr:uid="{D2F9F4F3-1F0A-42E4-B03F-671C1B59AFED}"/>
    <cellStyle name="Normal 5 4 2 5 3" xfId="5655" xr:uid="{00000000-0005-0000-0000-0000F21A0000}"/>
    <cellStyle name="Normal 5 4 2 5 3 2" xfId="22553" xr:uid="{F87DF592-CBDD-4B1E-A57F-EACBE14359E6}"/>
    <cellStyle name="Normal 5 4 2 5 3 3" xfId="14105" xr:uid="{7F703894-DA0E-41DB-81B9-4DE63EF4CBE9}"/>
    <cellStyle name="Normal 5 4 2 5 4" xfId="18335" xr:uid="{960EFEA7-240A-46D9-ACB8-3E490E1B9B97}"/>
    <cellStyle name="Normal 5 4 2 5 5" xfId="9887" xr:uid="{EB73B78E-4E34-4E3B-BC96-340DA2C643C1}"/>
    <cellStyle name="Normal 5 4 2 6" xfId="1761" xr:uid="{00000000-0005-0000-0000-0000F31A0000}"/>
    <cellStyle name="Normal 5 4 2 6 2" xfId="3991" xr:uid="{00000000-0005-0000-0000-0000F41A0000}"/>
    <cellStyle name="Normal 5 4 2 6 2 2" xfId="8213" xr:uid="{00000000-0005-0000-0000-0000F51A0000}"/>
    <cellStyle name="Normal 5 4 2 6 2 2 2" xfId="25111" xr:uid="{C7862444-9BFF-4F13-BB28-EE10FA26F2A3}"/>
    <cellStyle name="Normal 5 4 2 6 2 2 3" xfId="16663" xr:uid="{14C6FCE7-76DB-4099-A202-C847EA5B3751}"/>
    <cellStyle name="Normal 5 4 2 6 2 3" xfId="20893" xr:uid="{192163BA-06B3-4497-BEF5-CA588402DD27}"/>
    <cellStyle name="Normal 5 4 2 6 2 4" xfId="12445" xr:uid="{7A27D5F9-36E6-485E-9EBF-F399343C91BE}"/>
    <cellStyle name="Normal 5 4 2 6 3" xfId="6068" xr:uid="{00000000-0005-0000-0000-0000F61A0000}"/>
    <cellStyle name="Normal 5 4 2 6 3 2" xfId="22966" xr:uid="{E1FA90E5-EFF8-48DD-B5F8-D90B5D100D20}"/>
    <cellStyle name="Normal 5 4 2 6 3 3" xfId="14518" xr:uid="{B33F1CC5-B716-4B9B-80E4-90B76A1DA09F}"/>
    <cellStyle name="Normal 5 4 2 6 4" xfId="18748" xr:uid="{45BE7987-75BA-48B3-8683-93DDAD4AFF25}"/>
    <cellStyle name="Normal 5 4 2 6 5" xfId="10300" xr:uid="{D6F9705E-68D2-457F-85F1-00C68AC64325}"/>
    <cellStyle name="Normal 5 4 2 7" xfId="2175" xr:uid="{00000000-0005-0000-0000-0000F71A0000}"/>
    <cellStyle name="Normal 5 4 2 7 2" xfId="4404" xr:uid="{00000000-0005-0000-0000-0000F81A0000}"/>
    <cellStyle name="Normal 5 4 2 7 2 2" xfId="8626" xr:uid="{00000000-0005-0000-0000-0000F91A0000}"/>
    <cellStyle name="Normal 5 4 2 7 2 2 2" xfId="25524" xr:uid="{F1A80A50-A4DC-4DCF-8C1E-5F3A8B8066BC}"/>
    <cellStyle name="Normal 5 4 2 7 2 2 3" xfId="17076" xr:uid="{87B0D09C-55FA-47B4-A6DD-E783E3606879}"/>
    <cellStyle name="Normal 5 4 2 7 2 3" xfId="21306" xr:uid="{5325D0D6-F1C6-4823-AFBD-D9E2482FEBEA}"/>
    <cellStyle name="Normal 5 4 2 7 2 4" xfId="12858" xr:uid="{7CB51781-5367-4EC1-9DB0-1DB1286EE94B}"/>
    <cellStyle name="Normal 5 4 2 7 3" xfId="6481" xr:uid="{00000000-0005-0000-0000-0000FA1A0000}"/>
    <cellStyle name="Normal 5 4 2 7 3 2" xfId="23379" xr:uid="{C8F5AEE9-958D-4268-8FD1-2295EE90907B}"/>
    <cellStyle name="Normal 5 4 2 7 3 3" xfId="14931" xr:uid="{1096E2AE-E9E8-40FD-A0A8-DBA7A4CDE034}"/>
    <cellStyle name="Normal 5 4 2 7 4" xfId="19161" xr:uid="{BF958160-1B35-4C2D-9C5E-A54381C2DECD}"/>
    <cellStyle name="Normal 5 4 2 7 5" xfId="10713" xr:uid="{04DDB205-24BE-4D9D-96BB-BB6B17D534F0}"/>
    <cellStyle name="Normal 5 4 2 8" xfId="2611" xr:uid="{00000000-0005-0000-0000-0000FB1A0000}"/>
    <cellStyle name="Normal 5 4 2 8 2" xfId="6894" xr:uid="{00000000-0005-0000-0000-0000FC1A0000}"/>
    <cellStyle name="Normal 5 4 2 8 2 2" xfId="23792" xr:uid="{E6766DEB-F9FF-4918-80F9-52E6C174A976}"/>
    <cellStyle name="Normal 5 4 2 8 2 3" xfId="15344" xr:uid="{86FB5E27-622A-45CB-BB94-60602E9736A5}"/>
    <cellStyle name="Normal 5 4 2 8 3" xfId="19574" xr:uid="{53874D74-850D-40CF-893A-25031A342CDC}"/>
    <cellStyle name="Normal 5 4 2 8 4" xfId="11126" xr:uid="{5284E802-49BC-4FDB-97FB-5289A4163EA8}"/>
    <cellStyle name="Normal 5 4 2 9" xfId="4829" xr:uid="{00000000-0005-0000-0000-0000FD1A0000}"/>
    <cellStyle name="Normal 5 4 2 9 2" xfId="21727" xr:uid="{0D2D42C5-B8B8-4A1E-A2A3-A898C2F91ABD}"/>
    <cellStyle name="Normal 5 4 2 9 3" xfId="13279" xr:uid="{7E6AAE00-599F-4021-B8B3-FF425AAE32B9}"/>
    <cellStyle name="Normal 5 4 3" xfId="461" xr:uid="{00000000-0005-0000-0000-0000FE1A0000}"/>
    <cellStyle name="Normal 5 4 3 10" xfId="9065" xr:uid="{EB6B876D-5D51-4D2F-8B9C-37BDB2C1058F}"/>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24290" xr:uid="{0F058FB3-1E7E-4ED4-8ABA-A8AD6FC7AB77}"/>
    <cellStyle name="Normal 5 4 3 2 2 2 2 3" xfId="15842" xr:uid="{5349E7F4-E0D5-49D2-A4FB-BBA4D9A43E01}"/>
    <cellStyle name="Normal 5 4 3 2 2 2 3" xfId="20072" xr:uid="{5E6871C5-06A7-4095-A838-F423EA40ED4E}"/>
    <cellStyle name="Normal 5 4 3 2 2 2 4" xfId="11624" xr:uid="{301E8D18-9FD0-4187-B80E-38A2713DF35D}"/>
    <cellStyle name="Normal 5 4 3 2 2 3" xfId="5247" xr:uid="{00000000-0005-0000-0000-0000031B0000}"/>
    <cellStyle name="Normal 5 4 3 2 2 3 2" xfId="22145" xr:uid="{49EC7324-7F79-4248-863A-B5A3AA0DCA3A}"/>
    <cellStyle name="Normal 5 4 3 2 2 3 3" xfId="13697" xr:uid="{9047171D-26E2-4D58-8ED7-614D3133D17B}"/>
    <cellStyle name="Normal 5 4 3 2 2 4" xfId="17927" xr:uid="{C1ED1D14-CF31-4D44-8BFC-F224CE9720A7}"/>
    <cellStyle name="Normal 5 4 3 2 2 5" xfId="9479" xr:uid="{4D432AA7-2650-4EF9-A4C6-BC0EECB13BED}"/>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24703" xr:uid="{FEC6FE57-F8EA-4A3A-9C5B-7CB91CBF088E}"/>
    <cellStyle name="Normal 5 4 3 2 3 2 2 3" xfId="16255" xr:uid="{481B76CD-C24D-411E-8FBF-27841E895867}"/>
    <cellStyle name="Normal 5 4 3 2 3 2 3" xfId="20485" xr:uid="{C4299B18-A94A-4E2E-8D93-0ABBBF96BD3C}"/>
    <cellStyle name="Normal 5 4 3 2 3 2 4" xfId="12037" xr:uid="{64F16961-55C7-4D8B-AAD1-74BE8B164E06}"/>
    <cellStyle name="Normal 5 4 3 2 3 3" xfId="5660" xr:uid="{00000000-0005-0000-0000-0000071B0000}"/>
    <cellStyle name="Normal 5 4 3 2 3 3 2" xfId="22558" xr:uid="{A4296D6B-8CF6-4176-8A0D-32A4B0727388}"/>
    <cellStyle name="Normal 5 4 3 2 3 3 3" xfId="14110" xr:uid="{B5BD7B7B-D82E-41C4-9302-C811F2AB875A}"/>
    <cellStyle name="Normal 5 4 3 2 3 4" xfId="18340" xr:uid="{55C76658-B011-4B96-A6DF-FF414FA1CE02}"/>
    <cellStyle name="Normal 5 4 3 2 3 5" xfId="9892" xr:uid="{55B8ADAC-E214-40F4-A941-E5722E2093A2}"/>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25116" xr:uid="{46537379-C59F-474F-BA15-EE79A9CEC9A2}"/>
    <cellStyle name="Normal 5 4 3 2 4 2 2 3" xfId="16668" xr:uid="{8293E7A9-B7CB-443D-A98C-D8E7B6C06D91}"/>
    <cellStyle name="Normal 5 4 3 2 4 2 3" xfId="20898" xr:uid="{F820FADB-F651-4A34-B12D-6DFC6FDA1E0D}"/>
    <cellStyle name="Normal 5 4 3 2 4 2 4" xfId="12450" xr:uid="{E2AD664A-8019-468E-9DA1-0D64FCD6E4BA}"/>
    <cellStyle name="Normal 5 4 3 2 4 3" xfId="6073" xr:uid="{00000000-0005-0000-0000-00000B1B0000}"/>
    <cellStyle name="Normal 5 4 3 2 4 3 2" xfId="22971" xr:uid="{8C8EE854-6F94-408D-A227-2AD29AAE27C0}"/>
    <cellStyle name="Normal 5 4 3 2 4 3 3" xfId="14523" xr:uid="{D5217701-0924-4F88-A851-C50DFDC32963}"/>
    <cellStyle name="Normal 5 4 3 2 4 4" xfId="18753" xr:uid="{8D9499A3-A812-4C7F-87DD-024E5BB25043}"/>
    <cellStyle name="Normal 5 4 3 2 4 5" xfId="10305" xr:uid="{CEBEC71B-ABF1-4EF6-ABBE-D43B0BEA61F1}"/>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25529" xr:uid="{6E8EF354-0E14-438A-8741-D82B6D0B54E4}"/>
    <cellStyle name="Normal 5 4 3 2 5 2 2 3" xfId="17081" xr:uid="{24ACAA52-3B63-4CF4-9162-A89EA115ACC3}"/>
    <cellStyle name="Normal 5 4 3 2 5 2 3" xfId="21311" xr:uid="{EC09BDE5-B957-4548-B7BE-D767B01B1FA5}"/>
    <cellStyle name="Normal 5 4 3 2 5 2 4" xfId="12863" xr:uid="{F97A18C5-8C4F-43B4-9B39-DD09FE1DBF32}"/>
    <cellStyle name="Normal 5 4 3 2 5 3" xfId="6486" xr:uid="{00000000-0005-0000-0000-00000F1B0000}"/>
    <cellStyle name="Normal 5 4 3 2 5 3 2" xfId="23384" xr:uid="{254A17BC-ADD7-43A9-887E-F7538ACFBC80}"/>
    <cellStyle name="Normal 5 4 3 2 5 3 3" xfId="14936" xr:uid="{9B910B3D-6506-4274-89FB-ED53765D1A11}"/>
    <cellStyle name="Normal 5 4 3 2 5 4" xfId="19166" xr:uid="{003AC570-AE0F-4F32-818A-096038A18674}"/>
    <cellStyle name="Normal 5 4 3 2 5 5" xfId="10718" xr:uid="{DC342F86-982E-40C2-8F9E-B1B525CF91C7}"/>
    <cellStyle name="Normal 5 4 3 2 6" xfId="2616" xr:uid="{00000000-0005-0000-0000-0000101B0000}"/>
    <cellStyle name="Normal 5 4 3 2 6 2" xfId="6899" xr:uid="{00000000-0005-0000-0000-0000111B0000}"/>
    <cellStyle name="Normal 5 4 3 2 6 2 2" xfId="23797" xr:uid="{BBDDF3FC-3DFA-47EB-A3FF-1B6642965804}"/>
    <cellStyle name="Normal 5 4 3 2 6 2 3" xfId="15349" xr:uid="{5998A29D-80A9-4ECC-9FE3-142D0C912E65}"/>
    <cellStyle name="Normal 5 4 3 2 6 3" xfId="19579" xr:uid="{775FF9CD-F4F3-433A-85F3-A14E231F91C9}"/>
    <cellStyle name="Normal 5 4 3 2 6 4" xfId="11131" xr:uid="{3026F3BD-D7A3-45D6-BB35-D040B2D49DA9}"/>
    <cellStyle name="Normal 5 4 3 2 7" xfId="4834" xr:uid="{00000000-0005-0000-0000-0000121B0000}"/>
    <cellStyle name="Normal 5 4 3 2 7 2" xfId="21732" xr:uid="{8D4D42A0-7AF4-44BE-A4BD-CDFB54F28C46}"/>
    <cellStyle name="Normal 5 4 3 2 7 3" xfId="13284" xr:uid="{A3145F99-89F0-42FA-BD74-E173E1734F95}"/>
    <cellStyle name="Normal 5 4 3 2 8" xfId="17514" xr:uid="{AF0C507C-9FB0-49F7-B027-90915A56E745}"/>
    <cellStyle name="Normal 5 4 3 2 9" xfId="9066" xr:uid="{67DF13CA-0BBA-46CD-A8BE-C533B4CDF999}"/>
    <cellStyle name="Normal 5 4 3 3" xfId="935" xr:uid="{00000000-0005-0000-0000-0000131B0000}"/>
    <cellStyle name="Normal 5 4 3 3 2" xfId="3169" xr:uid="{00000000-0005-0000-0000-0000141B0000}"/>
    <cellStyle name="Normal 5 4 3 3 2 2" xfId="7391" xr:uid="{00000000-0005-0000-0000-0000151B0000}"/>
    <cellStyle name="Normal 5 4 3 3 2 2 2" xfId="24289" xr:uid="{C44CBB64-616E-4D28-AF7D-25B2B3A12F05}"/>
    <cellStyle name="Normal 5 4 3 3 2 2 3" xfId="15841" xr:uid="{D14F4A61-2A18-4AB4-9A87-46776BB5D6F8}"/>
    <cellStyle name="Normal 5 4 3 3 2 3" xfId="20071" xr:uid="{5919F23C-B292-4D5F-9EAE-B5940DA2864E}"/>
    <cellStyle name="Normal 5 4 3 3 2 4" xfId="11623" xr:uid="{781F50D4-01D6-46FB-A062-FCF6C08A21CA}"/>
    <cellStyle name="Normal 5 4 3 3 3" xfId="5246" xr:uid="{00000000-0005-0000-0000-0000161B0000}"/>
    <cellStyle name="Normal 5 4 3 3 3 2" xfId="22144" xr:uid="{1A65E44F-D9B6-4694-91C5-BB6EA038BFA6}"/>
    <cellStyle name="Normal 5 4 3 3 3 3" xfId="13696" xr:uid="{F6C66279-2B5A-4E04-BF10-817D3B4BC585}"/>
    <cellStyle name="Normal 5 4 3 3 4" xfId="17926" xr:uid="{29229DE1-507C-4B22-91C6-706D24650BF7}"/>
    <cellStyle name="Normal 5 4 3 3 5" xfId="9478" xr:uid="{BF20D799-B019-4920-8E38-B5A3490D9F89}"/>
    <cellStyle name="Normal 5 4 3 4" xfId="1352" xr:uid="{00000000-0005-0000-0000-0000171B0000}"/>
    <cellStyle name="Normal 5 4 3 4 2" xfId="3582" xr:uid="{00000000-0005-0000-0000-0000181B0000}"/>
    <cellStyle name="Normal 5 4 3 4 2 2" xfId="7804" xr:uid="{00000000-0005-0000-0000-0000191B0000}"/>
    <cellStyle name="Normal 5 4 3 4 2 2 2" xfId="24702" xr:uid="{C04D78BF-7CD9-4404-B3A6-4722E0F1F6E4}"/>
    <cellStyle name="Normal 5 4 3 4 2 2 3" xfId="16254" xr:uid="{0FA34190-3B82-433A-8A54-453F15469F51}"/>
    <cellStyle name="Normal 5 4 3 4 2 3" xfId="20484" xr:uid="{20B96FCD-5454-43E4-A279-5F41D14DE1C9}"/>
    <cellStyle name="Normal 5 4 3 4 2 4" xfId="12036" xr:uid="{3F778917-3090-4E4B-867B-5A6DD4B396D8}"/>
    <cellStyle name="Normal 5 4 3 4 3" xfId="5659" xr:uid="{00000000-0005-0000-0000-00001A1B0000}"/>
    <cellStyle name="Normal 5 4 3 4 3 2" xfId="22557" xr:uid="{3DEA0D77-C327-422B-9112-32D67A89F554}"/>
    <cellStyle name="Normal 5 4 3 4 3 3" xfId="14109" xr:uid="{5E8F7468-8AE6-4220-9CD4-3E530009F1FE}"/>
    <cellStyle name="Normal 5 4 3 4 4" xfId="18339" xr:uid="{42FF104D-77D9-4210-9510-382A1E7822E9}"/>
    <cellStyle name="Normal 5 4 3 4 5" xfId="9891" xr:uid="{966B7FE9-3737-469D-A1C3-180AB710A9B3}"/>
    <cellStyle name="Normal 5 4 3 5" xfId="1765" xr:uid="{00000000-0005-0000-0000-00001B1B0000}"/>
    <cellStyle name="Normal 5 4 3 5 2" xfId="3995" xr:uid="{00000000-0005-0000-0000-00001C1B0000}"/>
    <cellStyle name="Normal 5 4 3 5 2 2" xfId="8217" xr:uid="{00000000-0005-0000-0000-00001D1B0000}"/>
    <cellStyle name="Normal 5 4 3 5 2 2 2" xfId="25115" xr:uid="{6772BB5F-A1DD-48AD-A017-02981CDEA129}"/>
    <cellStyle name="Normal 5 4 3 5 2 2 3" xfId="16667" xr:uid="{69EAB4F4-BEA8-4FDF-B865-F28994052C27}"/>
    <cellStyle name="Normal 5 4 3 5 2 3" xfId="20897" xr:uid="{BD8FE08C-828E-4BD0-A2D3-687E6E88CBC7}"/>
    <cellStyle name="Normal 5 4 3 5 2 4" xfId="12449" xr:uid="{73E72659-B57E-4D62-96B0-CFC840688EF3}"/>
    <cellStyle name="Normal 5 4 3 5 3" xfId="6072" xr:uid="{00000000-0005-0000-0000-00001E1B0000}"/>
    <cellStyle name="Normal 5 4 3 5 3 2" xfId="22970" xr:uid="{6DEB938C-BCA1-4ED2-BEAA-D81FEC9CD4F8}"/>
    <cellStyle name="Normal 5 4 3 5 3 3" xfId="14522" xr:uid="{FF4B18FE-051E-4DE8-B2BB-24E68A5191C2}"/>
    <cellStyle name="Normal 5 4 3 5 4" xfId="18752" xr:uid="{88AC90D7-77D2-41AA-8267-641D1BBC7FB1}"/>
    <cellStyle name="Normal 5 4 3 5 5" xfId="10304" xr:uid="{E6ED7642-D658-47CE-A3CB-25326AE5655C}"/>
    <cellStyle name="Normal 5 4 3 6" xfId="2179" xr:uid="{00000000-0005-0000-0000-00001F1B0000}"/>
    <cellStyle name="Normal 5 4 3 6 2" xfId="4408" xr:uid="{00000000-0005-0000-0000-0000201B0000}"/>
    <cellStyle name="Normal 5 4 3 6 2 2" xfId="8630" xr:uid="{00000000-0005-0000-0000-0000211B0000}"/>
    <cellStyle name="Normal 5 4 3 6 2 2 2" xfId="25528" xr:uid="{749121E6-C818-4011-86CF-7C3F43620484}"/>
    <cellStyle name="Normal 5 4 3 6 2 2 3" xfId="17080" xr:uid="{4E558089-E5B0-4C33-8874-B7F59DBFC134}"/>
    <cellStyle name="Normal 5 4 3 6 2 3" xfId="21310" xr:uid="{F049911E-ECA2-410F-B836-B87F0EDF789A}"/>
    <cellStyle name="Normal 5 4 3 6 2 4" xfId="12862" xr:uid="{FFC5D6F9-FE97-4925-B509-B8412F9157B9}"/>
    <cellStyle name="Normal 5 4 3 6 3" xfId="6485" xr:uid="{00000000-0005-0000-0000-0000221B0000}"/>
    <cellStyle name="Normal 5 4 3 6 3 2" xfId="23383" xr:uid="{F20C1F17-7D82-4158-9BB7-5435F7D911B8}"/>
    <cellStyle name="Normal 5 4 3 6 3 3" xfId="14935" xr:uid="{CC59F74D-BDF4-4014-A469-349206582537}"/>
    <cellStyle name="Normal 5 4 3 6 4" xfId="19165" xr:uid="{FE664151-9EAF-40F6-B0C2-9E1B5C85F42B}"/>
    <cellStyle name="Normal 5 4 3 6 5" xfId="10717" xr:uid="{2316D43F-1760-4DA5-AB8D-EB3D474B5B20}"/>
    <cellStyle name="Normal 5 4 3 7" xfId="2615" xr:uid="{00000000-0005-0000-0000-0000231B0000}"/>
    <cellStyle name="Normal 5 4 3 7 2" xfId="6898" xr:uid="{00000000-0005-0000-0000-0000241B0000}"/>
    <cellStyle name="Normal 5 4 3 7 2 2" xfId="23796" xr:uid="{E697EE38-064D-4450-A66C-BC261225327D}"/>
    <cellStyle name="Normal 5 4 3 7 2 3" xfId="15348" xr:uid="{54FF5B76-534B-4AAD-B239-FF66B1313084}"/>
    <cellStyle name="Normal 5 4 3 7 3" xfId="19578" xr:uid="{13476E0B-9B80-4536-9776-5F458A54ACAF}"/>
    <cellStyle name="Normal 5 4 3 7 4" xfId="11130" xr:uid="{4D00D3D9-C3EE-46FC-97FC-E4DD4736A1AE}"/>
    <cellStyle name="Normal 5 4 3 8" xfId="4833" xr:uid="{00000000-0005-0000-0000-0000251B0000}"/>
    <cellStyle name="Normal 5 4 3 8 2" xfId="21731" xr:uid="{A51D416F-4491-4322-8BAA-64FBD01604AC}"/>
    <cellStyle name="Normal 5 4 3 8 3" xfId="13283" xr:uid="{D876A971-FADB-4811-A25D-29CE4D4CB6CE}"/>
    <cellStyle name="Normal 5 4 3 9" xfId="17513" xr:uid="{DA196775-6CF5-450C-AE0D-08E255661AB2}"/>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2 2 2" xfId="24291" xr:uid="{31EDB06F-01B2-4056-B9CC-93846F601F78}"/>
    <cellStyle name="Normal 5 4 4 2 2 2 3" xfId="15843" xr:uid="{89D020CB-2D2B-437D-890A-FF2C2F828789}"/>
    <cellStyle name="Normal 5 4 4 2 2 3" xfId="20073" xr:uid="{1541B9A6-2718-4431-9CDE-6040C9EF8062}"/>
    <cellStyle name="Normal 5 4 4 2 2 4" xfId="11625" xr:uid="{62F12E26-6B2F-400A-A523-12BFE3B80180}"/>
    <cellStyle name="Normal 5 4 4 2 3" xfId="5248" xr:uid="{00000000-0005-0000-0000-00002A1B0000}"/>
    <cellStyle name="Normal 5 4 4 2 3 2" xfId="22146" xr:uid="{8C2EB66E-4D19-45E7-972B-F11F62B96DE7}"/>
    <cellStyle name="Normal 5 4 4 2 3 3" xfId="13698" xr:uid="{FD603E14-727D-4E8A-8ED6-8D9A0D129375}"/>
    <cellStyle name="Normal 5 4 4 2 4" xfId="17928" xr:uid="{E3F64678-4EC0-449D-AE93-6E22F6AC4738}"/>
    <cellStyle name="Normal 5 4 4 2 5" xfId="9480" xr:uid="{7635A34D-C261-4F44-9C1C-77AAA6E3D7B9}"/>
    <cellStyle name="Normal 5 4 4 3" xfId="1354" xr:uid="{00000000-0005-0000-0000-00002B1B0000}"/>
    <cellStyle name="Normal 5 4 4 3 2" xfId="3584" xr:uid="{00000000-0005-0000-0000-00002C1B0000}"/>
    <cellStyle name="Normal 5 4 4 3 2 2" xfId="7806" xr:uid="{00000000-0005-0000-0000-00002D1B0000}"/>
    <cellStyle name="Normal 5 4 4 3 2 2 2" xfId="24704" xr:uid="{E05FE8DE-B893-4678-A746-971CF816C779}"/>
    <cellStyle name="Normal 5 4 4 3 2 2 3" xfId="16256" xr:uid="{034AB6A2-D8DB-43B9-805D-680B755008C9}"/>
    <cellStyle name="Normal 5 4 4 3 2 3" xfId="20486" xr:uid="{22217B0B-2B31-41F1-8FA6-45B4E3E89C37}"/>
    <cellStyle name="Normal 5 4 4 3 2 4" xfId="12038" xr:uid="{119D50FD-AA6F-4EB3-AF62-511E0D95C8F3}"/>
    <cellStyle name="Normal 5 4 4 3 3" xfId="5661" xr:uid="{00000000-0005-0000-0000-00002E1B0000}"/>
    <cellStyle name="Normal 5 4 4 3 3 2" xfId="22559" xr:uid="{F391EF42-F21D-4762-9BD9-14C59BA0B117}"/>
    <cellStyle name="Normal 5 4 4 3 3 3" xfId="14111" xr:uid="{E644E152-0227-4CEB-9D09-6278647C4B37}"/>
    <cellStyle name="Normal 5 4 4 3 4" xfId="18341" xr:uid="{C6CB11F1-98A6-44E0-883A-9DF5506712B9}"/>
    <cellStyle name="Normal 5 4 4 3 5" xfId="9893" xr:uid="{351005F2-7E63-4F6C-86F1-4FA57F5E0025}"/>
    <cellStyle name="Normal 5 4 4 4" xfId="1767" xr:uid="{00000000-0005-0000-0000-00002F1B0000}"/>
    <cellStyle name="Normal 5 4 4 4 2" xfId="3997" xr:uid="{00000000-0005-0000-0000-0000301B0000}"/>
    <cellStyle name="Normal 5 4 4 4 2 2" xfId="8219" xr:uid="{00000000-0005-0000-0000-0000311B0000}"/>
    <cellStyle name="Normal 5 4 4 4 2 2 2" xfId="25117" xr:uid="{34612E3A-CB0C-4595-B4A3-649E6D926F7A}"/>
    <cellStyle name="Normal 5 4 4 4 2 2 3" xfId="16669" xr:uid="{76C5E6EC-6D4C-4078-9871-14729CC5468F}"/>
    <cellStyle name="Normal 5 4 4 4 2 3" xfId="20899" xr:uid="{91A618EA-9693-4A01-9D07-1071416D0C1A}"/>
    <cellStyle name="Normal 5 4 4 4 2 4" xfId="12451" xr:uid="{3A01E1BE-757D-43C3-8F0B-7893909A5964}"/>
    <cellStyle name="Normal 5 4 4 4 3" xfId="6074" xr:uid="{00000000-0005-0000-0000-0000321B0000}"/>
    <cellStyle name="Normal 5 4 4 4 3 2" xfId="22972" xr:uid="{3B2CC0BF-184F-4D7B-AE3B-CA09FDFE7FB5}"/>
    <cellStyle name="Normal 5 4 4 4 3 3" xfId="14524" xr:uid="{77C7CC5F-9EB3-474C-89BE-BF8A5200AD4D}"/>
    <cellStyle name="Normal 5 4 4 4 4" xfId="18754" xr:uid="{C9DBD78E-60F3-4F9E-AC43-49B285A7C1CB}"/>
    <cellStyle name="Normal 5 4 4 4 5" xfId="10306" xr:uid="{EC4F1908-4414-4367-B2E1-7935E26046DA}"/>
    <cellStyle name="Normal 5 4 4 5" xfId="2181" xr:uid="{00000000-0005-0000-0000-0000331B0000}"/>
    <cellStyle name="Normal 5 4 4 5 2" xfId="4410" xr:uid="{00000000-0005-0000-0000-0000341B0000}"/>
    <cellStyle name="Normal 5 4 4 5 2 2" xfId="8632" xr:uid="{00000000-0005-0000-0000-0000351B0000}"/>
    <cellStyle name="Normal 5 4 4 5 2 2 2" xfId="25530" xr:uid="{F490A587-4B4C-4B7A-9FFB-966832D530ED}"/>
    <cellStyle name="Normal 5 4 4 5 2 2 3" xfId="17082" xr:uid="{D86ADF98-6748-420A-A54B-0234EAD1D8FC}"/>
    <cellStyle name="Normal 5 4 4 5 2 3" xfId="21312" xr:uid="{7398904E-0049-4A87-BBAC-38F6449743A0}"/>
    <cellStyle name="Normal 5 4 4 5 2 4" xfId="12864" xr:uid="{FD7814F4-410D-43E0-909D-1952B23B81DC}"/>
    <cellStyle name="Normal 5 4 4 5 3" xfId="6487" xr:uid="{00000000-0005-0000-0000-0000361B0000}"/>
    <cellStyle name="Normal 5 4 4 5 3 2" xfId="23385" xr:uid="{2799108E-9023-4D42-897C-3428721AFDDB}"/>
    <cellStyle name="Normal 5 4 4 5 3 3" xfId="14937" xr:uid="{E982C15C-F7EF-4BEF-A175-646D55D4A4B0}"/>
    <cellStyle name="Normal 5 4 4 5 4" xfId="19167" xr:uid="{D078EB2B-B3E8-4B3D-968C-05B636A14706}"/>
    <cellStyle name="Normal 5 4 4 5 5" xfId="10719" xr:uid="{DACCD4CF-13EB-45DC-AD0A-45F4814407C1}"/>
    <cellStyle name="Normal 5 4 4 6" xfId="2617" xr:uid="{00000000-0005-0000-0000-0000371B0000}"/>
    <cellStyle name="Normal 5 4 4 6 2" xfId="6900" xr:uid="{00000000-0005-0000-0000-0000381B0000}"/>
    <cellStyle name="Normal 5 4 4 6 2 2" xfId="23798" xr:uid="{D2B246A1-8DBF-4F84-AD46-8826C357514C}"/>
    <cellStyle name="Normal 5 4 4 6 2 3" xfId="15350" xr:uid="{A99DAADB-956F-4960-821F-624931D5F401}"/>
    <cellStyle name="Normal 5 4 4 6 3" xfId="19580" xr:uid="{289836E7-DAE6-4F1E-9A0A-51C3343002DB}"/>
    <cellStyle name="Normal 5 4 4 6 4" xfId="11132" xr:uid="{D555ADBA-6E28-4965-9A50-D3AFB6B9D152}"/>
    <cellStyle name="Normal 5 4 4 7" xfId="4835" xr:uid="{00000000-0005-0000-0000-0000391B0000}"/>
    <cellStyle name="Normal 5 4 4 7 2" xfId="21733" xr:uid="{59360780-233B-4D45-9E3A-2BB9C2BAE13E}"/>
    <cellStyle name="Normal 5 4 4 7 3" xfId="13285" xr:uid="{8B2431BA-4263-4DA1-A725-B793B49BDCA0}"/>
    <cellStyle name="Normal 5 4 4 8" xfId="17515" xr:uid="{A50FF5BB-7E8C-4E2E-A560-A618345E1B52}"/>
    <cellStyle name="Normal 5 4 4 9" xfId="9067" xr:uid="{C977E8DD-78BC-44E3-A7BE-F95867B9EA2F}"/>
    <cellStyle name="Normal 5 4 5" xfId="930" xr:uid="{00000000-0005-0000-0000-00003A1B0000}"/>
    <cellStyle name="Normal 5 4 5 2" xfId="3164" xr:uid="{00000000-0005-0000-0000-00003B1B0000}"/>
    <cellStyle name="Normal 5 4 5 2 2" xfId="7386" xr:uid="{00000000-0005-0000-0000-00003C1B0000}"/>
    <cellStyle name="Normal 5 4 5 2 2 2" xfId="24284" xr:uid="{3507859C-A199-419B-B0CD-0001378DE5D0}"/>
    <cellStyle name="Normal 5 4 5 2 2 3" xfId="15836" xr:uid="{1C60B68E-6968-45E0-8A1C-5F8AB703EFBD}"/>
    <cellStyle name="Normal 5 4 5 2 3" xfId="20066" xr:uid="{1071C583-560F-490F-8E9B-350F6FB64CD9}"/>
    <cellStyle name="Normal 5 4 5 2 4" xfId="11618" xr:uid="{C4CC4CB5-348B-4EA3-BC89-F59406B7E0EF}"/>
    <cellStyle name="Normal 5 4 5 3" xfId="5241" xr:uid="{00000000-0005-0000-0000-00003D1B0000}"/>
    <cellStyle name="Normal 5 4 5 3 2" xfId="22139" xr:uid="{6DCBC066-DD3E-49B5-9BBA-617306AB5BB2}"/>
    <cellStyle name="Normal 5 4 5 3 3" xfId="13691" xr:uid="{65C645C1-2F93-484F-80C2-5A52061FC0E4}"/>
    <cellStyle name="Normal 5 4 5 4" xfId="17921" xr:uid="{C3DA2383-1131-4D62-8631-CC5ACE1D6F28}"/>
    <cellStyle name="Normal 5 4 5 5" xfId="9473" xr:uid="{434C5809-7264-46B1-83D0-E8E97D4CD4DB}"/>
    <cellStyle name="Normal 5 4 6" xfId="1347" xr:uid="{00000000-0005-0000-0000-00003E1B0000}"/>
    <cellStyle name="Normal 5 4 6 2" xfId="3577" xr:uid="{00000000-0005-0000-0000-00003F1B0000}"/>
    <cellStyle name="Normal 5 4 6 2 2" xfId="7799" xr:uid="{00000000-0005-0000-0000-0000401B0000}"/>
    <cellStyle name="Normal 5 4 6 2 2 2" xfId="24697" xr:uid="{72A37E21-8A4F-4575-A016-B4150D008438}"/>
    <cellStyle name="Normal 5 4 6 2 2 3" xfId="16249" xr:uid="{BCCC1BE8-A9B2-4A87-8670-7FA109068A74}"/>
    <cellStyle name="Normal 5 4 6 2 3" xfId="20479" xr:uid="{97F1B27F-1E3B-4C4B-A239-72E62230DF6B}"/>
    <cellStyle name="Normal 5 4 6 2 4" xfId="12031" xr:uid="{36D6BBAC-255A-4D91-BCD1-8865AFF00D2F}"/>
    <cellStyle name="Normal 5 4 6 3" xfId="5654" xr:uid="{00000000-0005-0000-0000-0000411B0000}"/>
    <cellStyle name="Normal 5 4 6 3 2" xfId="22552" xr:uid="{3ACC2CF3-4BE8-4DC0-BABE-A0E752BF9E26}"/>
    <cellStyle name="Normal 5 4 6 3 3" xfId="14104" xr:uid="{3543C87B-6BC4-46B1-8348-B2422E846A90}"/>
    <cellStyle name="Normal 5 4 6 4" xfId="18334" xr:uid="{B20C090E-45C4-48B9-973C-5EEE9B96C65D}"/>
    <cellStyle name="Normal 5 4 6 5" xfId="9886" xr:uid="{10149E00-69F0-4DC8-AE1A-47DD12B2A756}"/>
    <cellStyle name="Normal 5 4 7" xfId="1760" xr:uid="{00000000-0005-0000-0000-0000421B0000}"/>
    <cellStyle name="Normal 5 4 7 2" xfId="3990" xr:uid="{00000000-0005-0000-0000-0000431B0000}"/>
    <cellStyle name="Normal 5 4 7 2 2" xfId="8212" xr:uid="{00000000-0005-0000-0000-0000441B0000}"/>
    <cellStyle name="Normal 5 4 7 2 2 2" xfId="25110" xr:uid="{B2E56509-AEC1-4561-9899-E268775980D8}"/>
    <cellStyle name="Normal 5 4 7 2 2 3" xfId="16662" xr:uid="{6F638A6C-283D-444F-B3A8-6E93CE773331}"/>
    <cellStyle name="Normal 5 4 7 2 3" xfId="20892" xr:uid="{FECE871A-7CCA-42A5-BEED-BD49D4CAE19F}"/>
    <cellStyle name="Normal 5 4 7 2 4" xfId="12444" xr:uid="{ED96FE60-341B-4728-8B1B-A175A0916C18}"/>
    <cellStyle name="Normal 5 4 7 3" xfId="6067" xr:uid="{00000000-0005-0000-0000-0000451B0000}"/>
    <cellStyle name="Normal 5 4 7 3 2" xfId="22965" xr:uid="{4FCB30C1-8FAC-4FB9-AC36-0854A1B4D09D}"/>
    <cellStyle name="Normal 5 4 7 3 3" xfId="14517" xr:uid="{15FE4417-2B4C-4789-A6D8-EFE486539AB6}"/>
    <cellStyle name="Normal 5 4 7 4" xfId="18747" xr:uid="{9A17175F-DED0-4108-9349-514C2F519D60}"/>
    <cellStyle name="Normal 5 4 7 5" xfId="10299" xr:uid="{9473AAE1-8EB5-4041-9465-A54F2AF91C14}"/>
    <cellStyle name="Normal 5 4 8" xfId="2174" xr:uid="{00000000-0005-0000-0000-0000461B0000}"/>
    <cellStyle name="Normal 5 4 8 2" xfId="4403" xr:uid="{00000000-0005-0000-0000-0000471B0000}"/>
    <cellStyle name="Normal 5 4 8 2 2" xfId="8625" xr:uid="{00000000-0005-0000-0000-0000481B0000}"/>
    <cellStyle name="Normal 5 4 8 2 2 2" xfId="25523" xr:uid="{9218716B-6F09-4259-8AFC-84FE91FD0AF2}"/>
    <cellStyle name="Normal 5 4 8 2 2 3" xfId="17075" xr:uid="{025FC5AC-7F2E-4B9E-BF44-C63ACD0C7DC9}"/>
    <cellStyle name="Normal 5 4 8 2 3" xfId="21305" xr:uid="{F00F1A33-C8C2-456D-94D9-6D138628EE5F}"/>
    <cellStyle name="Normal 5 4 8 2 4" xfId="12857" xr:uid="{C0ED1B47-25E3-4985-9BCD-9C2DF3F9CCBC}"/>
    <cellStyle name="Normal 5 4 8 3" xfId="6480" xr:uid="{00000000-0005-0000-0000-0000491B0000}"/>
    <cellStyle name="Normal 5 4 8 3 2" xfId="23378" xr:uid="{4817CB46-348C-40DB-85A8-ED15B18BAFDC}"/>
    <cellStyle name="Normal 5 4 8 3 3" xfId="14930" xr:uid="{DE51D8C7-10DB-4E1C-A2BD-903E326550F3}"/>
    <cellStyle name="Normal 5 4 8 4" xfId="19160" xr:uid="{57A7E56A-0E77-4BB1-8F2F-C5FA41710630}"/>
    <cellStyle name="Normal 5 4 8 5" xfId="10712" xr:uid="{DCBF195D-8695-491F-AACE-E9FCD0228DA0}"/>
    <cellStyle name="Normal 5 4 9" xfId="2610" xr:uid="{00000000-0005-0000-0000-00004A1B0000}"/>
    <cellStyle name="Normal 5 4 9 2" xfId="6893" xr:uid="{00000000-0005-0000-0000-00004B1B0000}"/>
    <cellStyle name="Normal 5 4 9 2 2" xfId="23791" xr:uid="{A9711A9D-7388-42BA-B65A-AFD1A6C9C223}"/>
    <cellStyle name="Normal 5 4 9 2 3" xfId="15343" xr:uid="{EA1887DA-E56F-431A-8A03-5DCAB59A977D}"/>
    <cellStyle name="Normal 5 4 9 3" xfId="19573" xr:uid="{11BF7D13-75F9-4806-9080-3AEEFECF385B}"/>
    <cellStyle name="Normal 5 4 9 4" xfId="11125" xr:uid="{8C7D3826-AC11-4E60-924B-FD4C86DF26C2}"/>
    <cellStyle name="Normal 5 5" xfId="464" xr:uid="{00000000-0005-0000-0000-00004C1B0000}"/>
    <cellStyle name="Normal 5 5 10" xfId="17516" xr:uid="{7FA59459-DFF3-4336-A4E2-B958B9DAB302}"/>
    <cellStyle name="Normal 5 5 11" xfId="9068" xr:uid="{36ECDACF-6C41-43EE-9A42-008369AF2592}"/>
    <cellStyle name="Normal 5 5 2" xfId="465" xr:uid="{00000000-0005-0000-0000-00004D1B0000}"/>
    <cellStyle name="Normal 5 5 2 10" xfId="9069" xr:uid="{C3B881BE-6498-493E-8892-AB79F9105CA2}"/>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24294" xr:uid="{31EEF98F-D13A-490F-B533-63AB5F92C25D}"/>
    <cellStyle name="Normal 5 5 2 2 2 2 2 3" xfId="15846" xr:uid="{3C2EEBA7-3990-4A74-B065-3A625814E491}"/>
    <cellStyle name="Normal 5 5 2 2 2 2 3" xfId="20076" xr:uid="{BE6A1D7B-2724-4D4C-BEBB-9D78EE4EEE33}"/>
    <cellStyle name="Normal 5 5 2 2 2 2 4" xfId="11628" xr:uid="{1084B05F-E7D5-46CD-9CAE-6EAC76DDC2D2}"/>
    <cellStyle name="Normal 5 5 2 2 2 3" xfId="5251" xr:uid="{00000000-0005-0000-0000-0000521B0000}"/>
    <cellStyle name="Normal 5 5 2 2 2 3 2" xfId="22149" xr:uid="{5B34E115-F479-4BB0-8CD2-C844886DB49A}"/>
    <cellStyle name="Normal 5 5 2 2 2 3 3" xfId="13701" xr:uid="{0A210ED2-77F4-45B9-A4CA-D62601C8EF22}"/>
    <cellStyle name="Normal 5 5 2 2 2 4" xfId="17931" xr:uid="{EDA1398F-9E74-4341-8D5A-2612F73E8F06}"/>
    <cellStyle name="Normal 5 5 2 2 2 5" xfId="9483" xr:uid="{12E9FC3C-F9B0-4315-B562-0D65D2855B42}"/>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24707" xr:uid="{7AEE3E75-955A-46A1-909E-620BA671917A}"/>
    <cellStyle name="Normal 5 5 2 2 3 2 2 3" xfId="16259" xr:uid="{5E3F9E62-6521-4840-8BD1-04673809FD58}"/>
    <cellStyle name="Normal 5 5 2 2 3 2 3" xfId="20489" xr:uid="{17F28031-A231-48AD-95EB-8125A6E8004E}"/>
    <cellStyle name="Normal 5 5 2 2 3 2 4" xfId="12041" xr:uid="{F5BDAD6B-55D6-4156-B514-FD318F335A41}"/>
    <cellStyle name="Normal 5 5 2 2 3 3" xfId="5664" xr:uid="{00000000-0005-0000-0000-0000561B0000}"/>
    <cellStyle name="Normal 5 5 2 2 3 3 2" xfId="22562" xr:uid="{681BBF58-0738-431C-85CD-EC1594ABA6D1}"/>
    <cellStyle name="Normal 5 5 2 2 3 3 3" xfId="14114" xr:uid="{9F05B7EC-AEF9-46A8-ACB8-0A8B2AAFE758}"/>
    <cellStyle name="Normal 5 5 2 2 3 4" xfId="18344" xr:uid="{BE8058F1-3251-4795-B444-C97FB10CAF27}"/>
    <cellStyle name="Normal 5 5 2 2 3 5" xfId="9896" xr:uid="{CD1F2F94-2E99-474A-BB9D-C3FC6859B1EC}"/>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25120" xr:uid="{A67A318D-BB1C-4920-B85B-37F1A92A8C43}"/>
    <cellStyle name="Normal 5 5 2 2 4 2 2 3" xfId="16672" xr:uid="{7FCEA186-332A-4978-AD54-9518F5F4BACB}"/>
    <cellStyle name="Normal 5 5 2 2 4 2 3" xfId="20902" xr:uid="{EF0F5DD0-512E-4692-9FBC-ACED38FC42AA}"/>
    <cellStyle name="Normal 5 5 2 2 4 2 4" xfId="12454" xr:uid="{96AD467B-CC02-415D-8A02-E82A4F3991BA}"/>
    <cellStyle name="Normal 5 5 2 2 4 3" xfId="6077" xr:uid="{00000000-0005-0000-0000-00005A1B0000}"/>
    <cellStyle name="Normal 5 5 2 2 4 3 2" xfId="22975" xr:uid="{FEAD642B-0EAE-415B-B3BF-9900E7F5858D}"/>
    <cellStyle name="Normal 5 5 2 2 4 3 3" xfId="14527" xr:uid="{CB78615B-C5F7-46A6-9497-392DF4D8DF68}"/>
    <cellStyle name="Normal 5 5 2 2 4 4" xfId="18757" xr:uid="{4235A171-1BA9-41AF-9CE8-DAA79EF83943}"/>
    <cellStyle name="Normal 5 5 2 2 4 5" xfId="10309" xr:uid="{A0B39AFF-C9F7-456B-AA59-1702C04E4640}"/>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25533" xr:uid="{B5320A10-7702-4F8A-A3F8-ECDB03C629C2}"/>
    <cellStyle name="Normal 5 5 2 2 5 2 2 3" xfId="17085" xr:uid="{A3FAB84D-171F-411A-83FC-336A90C978C8}"/>
    <cellStyle name="Normal 5 5 2 2 5 2 3" xfId="21315" xr:uid="{4C2BA766-0FB4-48FF-81F3-D1CB8420C31A}"/>
    <cellStyle name="Normal 5 5 2 2 5 2 4" xfId="12867" xr:uid="{24518ED7-1038-488A-BE8B-74E6D7111BD8}"/>
    <cellStyle name="Normal 5 5 2 2 5 3" xfId="6490" xr:uid="{00000000-0005-0000-0000-00005E1B0000}"/>
    <cellStyle name="Normal 5 5 2 2 5 3 2" xfId="23388" xr:uid="{24FD2F75-4BF3-4C7F-BD88-C59313ADD020}"/>
    <cellStyle name="Normal 5 5 2 2 5 3 3" xfId="14940" xr:uid="{734BB1B5-DD04-4B41-826D-94C7E0EEFEB3}"/>
    <cellStyle name="Normal 5 5 2 2 5 4" xfId="19170" xr:uid="{4AA7D21B-7FE7-4C4C-AD5F-077FB957FD46}"/>
    <cellStyle name="Normal 5 5 2 2 5 5" xfId="10722" xr:uid="{8DDA1531-94ED-470F-8A08-4F0A17E42500}"/>
    <cellStyle name="Normal 5 5 2 2 6" xfId="2620" xr:uid="{00000000-0005-0000-0000-00005F1B0000}"/>
    <cellStyle name="Normal 5 5 2 2 6 2" xfId="6903" xr:uid="{00000000-0005-0000-0000-0000601B0000}"/>
    <cellStyle name="Normal 5 5 2 2 6 2 2" xfId="23801" xr:uid="{348B6663-C618-4715-8AC0-E7E4032A4A79}"/>
    <cellStyle name="Normal 5 5 2 2 6 2 3" xfId="15353" xr:uid="{BDF9B220-6D52-4037-BE4E-B408DF6DB6DE}"/>
    <cellStyle name="Normal 5 5 2 2 6 3" xfId="19583" xr:uid="{EF4A58D2-A2DF-47FD-A23A-3A05D2007FCE}"/>
    <cellStyle name="Normal 5 5 2 2 6 4" xfId="11135" xr:uid="{17DC6EA9-6619-4E66-ABB6-14EFFEDB3408}"/>
    <cellStyle name="Normal 5 5 2 2 7" xfId="4838" xr:uid="{00000000-0005-0000-0000-0000611B0000}"/>
    <cellStyle name="Normal 5 5 2 2 7 2" xfId="21736" xr:uid="{75C657A5-CD9C-4E0E-BC6C-A3427ABA9426}"/>
    <cellStyle name="Normal 5 5 2 2 7 3" xfId="13288" xr:uid="{71FB44C2-8446-4088-BFBC-F391CE247265}"/>
    <cellStyle name="Normal 5 5 2 2 8" xfId="17518" xr:uid="{A0E1E0B0-2114-4CBF-9E5C-8A338AEE9B2C}"/>
    <cellStyle name="Normal 5 5 2 2 9" xfId="9070" xr:uid="{B6013732-D4B3-4DF3-93BA-C3B5E8261E48}"/>
    <cellStyle name="Normal 5 5 2 3" xfId="939" xr:uid="{00000000-0005-0000-0000-0000621B0000}"/>
    <cellStyle name="Normal 5 5 2 3 2" xfId="3173" xr:uid="{00000000-0005-0000-0000-0000631B0000}"/>
    <cellStyle name="Normal 5 5 2 3 2 2" xfId="7395" xr:uid="{00000000-0005-0000-0000-0000641B0000}"/>
    <cellStyle name="Normal 5 5 2 3 2 2 2" xfId="24293" xr:uid="{BB748350-B89B-4D60-8A01-0A7544CFF94B}"/>
    <cellStyle name="Normal 5 5 2 3 2 2 3" xfId="15845" xr:uid="{638FA1B0-8D4A-4BCD-87B6-654B2C57B345}"/>
    <cellStyle name="Normal 5 5 2 3 2 3" xfId="20075" xr:uid="{051DE5B0-5B14-4169-9592-0499122AB6E9}"/>
    <cellStyle name="Normal 5 5 2 3 2 4" xfId="11627" xr:uid="{A8F01940-C323-4677-9DC5-213A7225E0BC}"/>
    <cellStyle name="Normal 5 5 2 3 3" xfId="5250" xr:uid="{00000000-0005-0000-0000-0000651B0000}"/>
    <cellStyle name="Normal 5 5 2 3 3 2" xfId="22148" xr:uid="{52AE5AB1-D745-447F-AEFB-065C4BE8AA98}"/>
    <cellStyle name="Normal 5 5 2 3 3 3" xfId="13700" xr:uid="{38E0DA68-7781-4426-9DAC-4F44262617F5}"/>
    <cellStyle name="Normal 5 5 2 3 4" xfId="17930" xr:uid="{B6663068-EF97-4166-8358-CB2195C3B26E}"/>
    <cellStyle name="Normal 5 5 2 3 5" xfId="9482" xr:uid="{C3C3A558-559C-472D-8174-70CACC68C5D4}"/>
    <cellStyle name="Normal 5 5 2 4" xfId="1356" xr:uid="{00000000-0005-0000-0000-0000661B0000}"/>
    <cellStyle name="Normal 5 5 2 4 2" xfId="3586" xr:uid="{00000000-0005-0000-0000-0000671B0000}"/>
    <cellStyle name="Normal 5 5 2 4 2 2" xfId="7808" xr:uid="{00000000-0005-0000-0000-0000681B0000}"/>
    <cellStyle name="Normal 5 5 2 4 2 2 2" xfId="24706" xr:uid="{067FAA00-8572-4C99-AA95-202003D6F4D0}"/>
    <cellStyle name="Normal 5 5 2 4 2 2 3" xfId="16258" xr:uid="{A29C96C0-B679-4655-9A66-2B11B2BFBC9D}"/>
    <cellStyle name="Normal 5 5 2 4 2 3" xfId="20488" xr:uid="{9CFE302C-7E61-4B00-8D9F-7144F30A86F4}"/>
    <cellStyle name="Normal 5 5 2 4 2 4" xfId="12040" xr:uid="{7EF1A853-A01F-4115-B08B-2A10505E7376}"/>
    <cellStyle name="Normal 5 5 2 4 3" xfId="5663" xr:uid="{00000000-0005-0000-0000-0000691B0000}"/>
    <cellStyle name="Normal 5 5 2 4 3 2" xfId="22561" xr:uid="{772BD35E-557E-4386-8E3A-7869A45C315B}"/>
    <cellStyle name="Normal 5 5 2 4 3 3" xfId="14113" xr:uid="{EC8BED3C-AED6-467D-88A3-F16E210EA8E7}"/>
    <cellStyle name="Normal 5 5 2 4 4" xfId="18343" xr:uid="{DFDF7B8E-4EC3-40FB-8224-36B8E8EE860E}"/>
    <cellStyle name="Normal 5 5 2 4 5" xfId="9895" xr:uid="{6B5A1931-CC1F-41AA-A813-01A8A596C69B}"/>
    <cellStyle name="Normal 5 5 2 5" xfId="1769" xr:uid="{00000000-0005-0000-0000-00006A1B0000}"/>
    <cellStyle name="Normal 5 5 2 5 2" xfId="3999" xr:uid="{00000000-0005-0000-0000-00006B1B0000}"/>
    <cellStyle name="Normal 5 5 2 5 2 2" xfId="8221" xr:uid="{00000000-0005-0000-0000-00006C1B0000}"/>
    <cellStyle name="Normal 5 5 2 5 2 2 2" xfId="25119" xr:uid="{5FC46AE8-06D3-49A8-BF67-9E9E8717E19D}"/>
    <cellStyle name="Normal 5 5 2 5 2 2 3" xfId="16671" xr:uid="{F4074A1D-F262-4A5C-A621-A79C6930D18E}"/>
    <cellStyle name="Normal 5 5 2 5 2 3" xfId="20901" xr:uid="{5B96C4CD-BB19-4B3B-892B-0C9559E032E8}"/>
    <cellStyle name="Normal 5 5 2 5 2 4" xfId="12453" xr:uid="{C7BA1422-BCE7-4925-8C9E-BE8890B39DFF}"/>
    <cellStyle name="Normal 5 5 2 5 3" xfId="6076" xr:uid="{00000000-0005-0000-0000-00006D1B0000}"/>
    <cellStyle name="Normal 5 5 2 5 3 2" xfId="22974" xr:uid="{7D4CD994-9A45-424E-874B-F07D40C32AC7}"/>
    <cellStyle name="Normal 5 5 2 5 3 3" xfId="14526" xr:uid="{5BB05A3C-DE1F-4AAC-9E9B-7E57210B222E}"/>
    <cellStyle name="Normal 5 5 2 5 4" xfId="18756" xr:uid="{406C5F57-9C63-42D7-9BF6-39700E749A5C}"/>
    <cellStyle name="Normal 5 5 2 5 5" xfId="10308" xr:uid="{7C2DA6CD-A46F-435C-A21D-6729682D6E16}"/>
    <cellStyle name="Normal 5 5 2 6" xfId="2183" xr:uid="{00000000-0005-0000-0000-00006E1B0000}"/>
    <cellStyle name="Normal 5 5 2 6 2" xfId="4412" xr:uid="{00000000-0005-0000-0000-00006F1B0000}"/>
    <cellStyle name="Normal 5 5 2 6 2 2" xfId="8634" xr:uid="{00000000-0005-0000-0000-0000701B0000}"/>
    <cellStyle name="Normal 5 5 2 6 2 2 2" xfId="25532" xr:uid="{20B38B47-F2BB-4DDD-B240-849E8BBE4D14}"/>
    <cellStyle name="Normal 5 5 2 6 2 2 3" xfId="17084" xr:uid="{398BB12E-57CB-4458-BCB4-E508E2108197}"/>
    <cellStyle name="Normal 5 5 2 6 2 3" xfId="21314" xr:uid="{FBDF0EC7-8872-44F9-9AB7-9971AE70639A}"/>
    <cellStyle name="Normal 5 5 2 6 2 4" xfId="12866" xr:uid="{6D951DC2-03C5-49F7-80B1-D3CEF57D344C}"/>
    <cellStyle name="Normal 5 5 2 6 3" xfId="6489" xr:uid="{00000000-0005-0000-0000-0000711B0000}"/>
    <cellStyle name="Normal 5 5 2 6 3 2" xfId="23387" xr:uid="{34B9E7D0-E334-4907-84A0-5446591B1966}"/>
    <cellStyle name="Normal 5 5 2 6 3 3" xfId="14939" xr:uid="{9B2448DF-3198-4F43-80AC-85EA9B336EF9}"/>
    <cellStyle name="Normal 5 5 2 6 4" xfId="19169" xr:uid="{E4C2A0A0-7E7F-4BB8-AEF2-2DCF1B808506}"/>
    <cellStyle name="Normal 5 5 2 6 5" xfId="10721" xr:uid="{1E659AD3-E785-4E5F-82FD-1927C14EB987}"/>
    <cellStyle name="Normal 5 5 2 7" xfId="2619" xr:uid="{00000000-0005-0000-0000-0000721B0000}"/>
    <cellStyle name="Normal 5 5 2 7 2" xfId="6902" xr:uid="{00000000-0005-0000-0000-0000731B0000}"/>
    <cellStyle name="Normal 5 5 2 7 2 2" xfId="23800" xr:uid="{E0F96515-2C28-44A7-A6AD-27E1D2EF9574}"/>
    <cellStyle name="Normal 5 5 2 7 2 3" xfId="15352" xr:uid="{24F653D3-7CC1-4609-9C0C-DCEE42272C55}"/>
    <cellStyle name="Normal 5 5 2 7 3" xfId="19582" xr:uid="{169D2093-34CF-44C3-AF26-F3620D54844B}"/>
    <cellStyle name="Normal 5 5 2 7 4" xfId="11134" xr:uid="{F49C5467-CA50-43E1-BEB7-442D8361662A}"/>
    <cellStyle name="Normal 5 5 2 8" xfId="4837" xr:uid="{00000000-0005-0000-0000-0000741B0000}"/>
    <cellStyle name="Normal 5 5 2 8 2" xfId="21735" xr:uid="{C4740B5D-4C2C-4A44-867B-B4C18586C154}"/>
    <cellStyle name="Normal 5 5 2 8 3" xfId="13287" xr:uid="{4A045950-CFDB-45AB-A2B0-0D395CDF48A5}"/>
    <cellStyle name="Normal 5 5 2 9" xfId="17517" xr:uid="{C9C2A6EC-804A-4C4F-83D5-404AD2C25BA7}"/>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2 2 2" xfId="24295" xr:uid="{93ECE2DF-2220-4A02-91FB-09010A5CC98A}"/>
    <cellStyle name="Normal 5 5 3 2 2 2 3" xfId="15847" xr:uid="{1D689777-79A3-4AA9-9E7D-41681C871636}"/>
    <cellStyle name="Normal 5 5 3 2 2 3" xfId="20077" xr:uid="{F48B6FDB-B19E-47DA-86D2-98A099B280C5}"/>
    <cellStyle name="Normal 5 5 3 2 2 4" xfId="11629" xr:uid="{88FD0FA8-D2B9-45A3-86BC-BCA522DE495D}"/>
    <cellStyle name="Normal 5 5 3 2 3" xfId="5252" xr:uid="{00000000-0005-0000-0000-0000791B0000}"/>
    <cellStyle name="Normal 5 5 3 2 3 2" xfId="22150" xr:uid="{0EA1D914-2027-40DE-92F6-2011EF6AE14B}"/>
    <cellStyle name="Normal 5 5 3 2 3 3" xfId="13702" xr:uid="{74C2F563-D0D2-435E-A04D-01C074F2E7BF}"/>
    <cellStyle name="Normal 5 5 3 2 4" xfId="17932" xr:uid="{4D50CD16-CC09-48E5-88EF-362E2C5F2AD4}"/>
    <cellStyle name="Normal 5 5 3 2 5" xfId="9484" xr:uid="{BFFF2924-9558-438A-B8FE-AF73AAE3D13E}"/>
    <cellStyle name="Normal 5 5 3 3" xfId="1358" xr:uid="{00000000-0005-0000-0000-00007A1B0000}"/>
    <cellStyle name="Normal 5 5 3 3 2" xfId="3588" xr:uid="{00000000-0005-0000-0000-00007B1B0000}"/>
    <cellStyle name="Normal 5 5 3 3 2 2" xfId="7810" xr:uid="{00000000-0005-0000-0000-00007C1B0000}"/>
    <cellStyle name="Normal 5 5 3 3 2 2 2" xfId="24708" xr:uid="{E619F166-B758-4D7E-948D-1C05BBC3849E}"/>
    <cellStyle name="Normal 5 5 3 3 2 2 3" xfId="16260" xr:uid="{70BEDFDB-9C60-4631-91F5-5DD3572BEBDE}"/>
    <cellStyle name="Normal 5 5 3 3 2 3" xfId="20490" xr:uid="{639D1ADD-8EEC-4DF6-8531-23DCDB4A603C}"/>
    <cellStyle name="Normal 5 5 3 3 2 4" xfId="12042" xr:uid="{5F43E068-C2DB-4757-9500-401047C9C6B8}"/>
    <cellStyle name="Normal 5 5 3 3 3" xfId="5665" xr:uid="{00000000-0005-0000-0000-00007D1B0000}"/>
    <cellStyle name="Normal 5 5 3 3 3 2" xfId="22563" xr:uid="{3346F1A3-8829-4853-961E-EFAEBBE8767D}"/>
    <cellStyle name="Normal 5 5 3 3 3 3" xfId="14115" xr:uid="{644FD16F-AE4F-4067-B597-C02BC79C69D1}"/>
    <cellStyle name="Normal 5 5 3 3 4" xfId="18345" xr:uid="{F8187A44-88EF-491B-A7B7-C5DA64E11FE4}"/>
    <cellStyle name="Normal 5 5 3 3 5" xfId="9897" xr:uid="{21B418CF-3D7F-4D99-AE14-472ACD3FC74F}"/>
    <cellStyle name="Normal 5 5 3 4" xfId="1771" xr:uid="{00000000-0005-0000-0000-00007E1B0000}"/>
    <cellStyle name="Normal 5 5 3 4 2" xfId="4001" xr:uid="{00000000-0005-0000-0000-00007F1B0000}"/>
    <cellStyle name="Normal 5 5 3 4 2 2" xfId="8223" xr:uid="{00000000-0005-0000-0000-0000801B0000}"/>
    <cellStyle name="Normal 5 5 3 4 2 2 2" xfId="25121" xr:uid="{24333E80-91E0-4B5F-B33C-36FE53C97E17}"/>
    <cellStyle name="Normal 5 5 3 4 2 2 3" xfId="16673" xr:uid="{3DF80D5B-18B2-4783-9324-094227DBCF6D}"/>
    <cellStyle name="Normal 5 5 3 4 2 3" xfId="20903" xr:uid="{67CD01B6-46E0-4251-BE9B-E26CDA5C5393}"/>
    <cellStyle name="Normal 5 5 3 4 2 4" xfId="12455" xr:uid="{7810E28C-D4BE-43E1-B843-A5172FD5575E}"/>
    <cellStyle name="Normal 5 5 3 4 3" xfId="6078" xr:uid="{00000000-0005-0000-0000-0000811B0000}"/>
    <cellStyle name="Normal 5 5 3 4 3 2" xfId="22976" xr:uid="{698B0D61-12F3-47BE-813D-0875971BBFA6}"/>
    <cellStyle name="Normal 5 5 3 4 3 3" xfId="14528" xr:uid="{ADE66BC3-E3FD-4BEE-84CE-00C472271EF0}"/>
    <cellStyle name="Normal 5 5 3 4 4" xfId="18758" xr:uid="{6BBC6284-89B0-4392-B91E-971F4DE65CE1}"/>
    <cellStyle name="Normal 5 5 3 4 5" xfId="10310" xr:uid="{195495AC-3D65-4EA9-885A-7DCAB90D5F36}"/>
    <cellStyle name="Normal 5 5 3 5" xfId="2185" xr:uid="{00000000-0005-0000-0000-0000821B0000}"/>
    <cellStyle name="Normal 5 5 3 5 2" xfId="4414" xr:uid="{00000000-0005-0000-0000-0000831B0000}"/>
    <cellStyle name="Normal 5 5 3 5 2 2" xfId="8636" xr:uid="{00000000-0005-0000-0000-0000841B0000}"/>
    <cellStyle name="Normal 5 5 3 5 2 2 2" xfId="25534" xr:uid="{38A62679-7E06-47A9-9602-3C3639485928}"/>
    <cellStyle name="Normal 5 5 3 5 2 2 3" xfId="17086" xr:uid="{E89FDDEC-9927-4838-B0CD-46B9473EE989}"/>
    <cellStyle name="Normal 5 5 3 5 2 3" xfId="21316" xr:uid="{F9CA660A-0419-48AA-9939-7B99A6EE1957}"/>
    <cellStyle name="Normal 5 5 3 5 2 4" xfId="12868" xr:uid="{B6ECCEC1-9BD4-486E-BC30-4E444DE21F39}"/>
    <cellStyle name="Normal 5 5 3 5 3" xfId="6491" xr:uid="{00000000-0005-0000-0000-0000851B0000}"/>
    <cellStyle name="Normal 5 5 3 5 3 2" xfId="23389" xr:uid="{BF2D38DD-E3A8-46CC-B0C1-AA7E40D13AB0}"/>
    <cellStyle name="Normal 5 5 3 5 3 3" xfId="14941" xr:uid="{4A5F491B-2E58-45E2-ACCC-143077D262A5}"/>
    <cellStyle name="Normal 5 5 3 5 4" xfId="19171" xr:uid="{28950A7D-E123-4B5F-BB0C-45CDFC4AB42C}"/>
    <cellStyle name="Normal 5 5 3 5 5" xfId="10723" xr:uid="{CDF93E67-27B7-405A-AB84-5657F37DBC58}"/>
    <cellStyle name="Normal 5 5 3 6" xfId="2621" xr:uid="{00000000-0005-0000-0000-0000861B0000}"/>
    <cellStyle name="Normal 5 5 3 6 2" xfId="6904" xr:uid="{00000000-0005-0000-0000-0000871B0000}"/>
    <cellStyle name="Normal 5 5 3 6 2 2" xfId="23802" xr:uid="{76270DFF-8872-4037-BE08-4582BB4A4D54}"/>
    <cellStyle name="Normal 5 5 3 6 2 3" xfId="15354" xr:uid="{15A082ED-BE68-4E4E-AF95-C62F973F6289}"/>
    <cellStyle name="Normal 5 5 3 6 3" xfId="19584" xr:uid="{F6E7A147-DBEA-46D1-8709-D3C520EA4C56}"/>
    <cellStyle name="Normal 5 5 3 6 4" xfId="11136" xr:uid="{71845013-BB4A-4E76-83D4-9A003924C961}"/>
    <cellStyle name="Normal 5 5 3 7" xfId="4839" xr:uid="{00000000-0005-0000-0000-0000881B0000}"/>
    <cellStyle name="Normal 5 5 3 7 2" xfId="21737" xr:uid="{7B019188-2B44-440F-9C19-612AB3C5182F}"/>
    <cellStyle name="Normal 5 5 3 7 3" xfId="13289" xr:uid="{F787ECD0-3D53-4B3F-917D-E05F63C1877B}"/>
    <cellStyle name="Normal 5 5 3 8" xfId="17519" xr:uid="{4EB3584E-FB6C-49FA-9AF0-9B2A5781593B}"/>
    <cellStyle name="Normal 5 5 3 9" xfId="9071" xr:uid="{1E97574D-F2FE-4F49-BDC3-5C7256C6C11D}"/>
    <cellStyle name="Normal 5 5 4" xfId="938" xr:uid="{00000000-0005-0000-0000-0000891B0000}"/>
    <cellStyle name="Normal 5 5 4 2" xfId="3172" xr:uid="{00000000-0005-0000-0000-00008A1B0000}"/>
    <cellStyle name="Normal 5 5 4 2 2" xfId="7394" xr:uid="{00000000-0005-0000-0000-00008B1B0000}"/>
    <cellStyle name="Normal 5 5 4 2 2 2" xfId="24292" xr:uid="{BCED1100-9AD2-44D7-8AA4-954FD4320DB2}"/>
    <cellStyle name="Normal 5 5 4 2 2 3" xfId="15844" xr:uid="{36A16A33-360D-4631-ADAE-FD19E8797B60}"/>
    <cellStyle name="Normal 5 5 4 2 3" xfId="20074" xr:uid="{C98ACCCB-1ABC-432E-BD5B-9614B1C8088A}"/>
    <cellStyle name="Normal 5 5 4 2 4" xfId="11626" xr:uid="{3C500F1E-F5AF-4696-97AF-5C9BD8F1663B}"/>
    <cellStyle name="Normal 5 5 4 3" xfId="5249" xr:uid="{00000000-0005-0000-0000-00008C1B0000}"/>
    <cellStyle name="Normal 5 5 4 3 2" xfId="22147" xr:uid="{E727B4D3-96D2-45E6-A148-C5C25A4E8A87}"/>
    <cellStyle name="Normal 5 5 4 3 3" xfId="13699" xr:uid="{3793C228-CDB3-45A6-93E1-F484095D66B1}"/>
    <cellStyle name="Normal 5 5 4 4" xfId="17929" xr:uid="{6149DF75-CC02-4D8A-BCFF-59E4108457EF}"/>
    <cellStyle name="Normal 5 5 4 5" xfId="9481" xr:uid="{004491F4-EB25-4C56-91C8-3CCEC3C33BF5}"/>
    <cellStyle name="Normal 5 5 5" xfId="1355" xr:uid="{00000000-0005-0000-0000-00008D1B0000}"/>
    <cellStyle name="Normal 5 5 5 2" xfId="3585" xr:uid="{00000000-0005-0000-0000-00008E1B0000}"/>
    <cellStyle name="Normal 5 5 5 2 2" xfId="7807" xr:uid="{00000000-0005-0000-0000-00008F1B0000}"/>
    <cellStyle name="Normal 5 5 5 2 2 2" xfId="24705" xr:uid="{F73BC9F2-8FC9-479E-97CF-1AF11DFAD264}"/>
    <cellStyle name="Normal 5 5 5 2 2 3" xfId="16257" xr:uid="{556C7836-5DDC-4362-A559-9E27567AC1EC}"/>
    <cellStyle name="Normal 5 5 5 2 3" xfId="20487" xr:uid="{0D48C80D-9A87-4CC2-A77A-C3B77C087476}"/>
    <cellStyle name="Normal 5 5 5 2 4" xfId="12039" xr:uid="{3CF1639D-FB01-46F1-8456-4A6CE2EE51DC}"/>
    <cellStyle name="Normal 5 5 5 3" xfId="5662" xr:uid="{00000000-0005-0000-0000-0000901B0000}"/>
    <cellStyle name="Normal 5 5 5 3 2" xfId="22560" xr:uid="{2EE04684-E485-442D-9FAB-8EA3A9EC85D2}"/>
    <cellStyle name="Normal 5 5 5 3 3" xfId="14112" xr:uid="{C6DC4CE9-3379-4B56-9886-A4033D3D2DDA}"/>
    <cellStyle name="Normal 5 5 5 4" xfId="18342" xr:uid="{58091B5C-096D-454C-AF2D-E44D14520734}"/>
    <cellStyle name="Normal 5 5 5 5" xfId="9894" xr:uid="{554D2674-F372-480A-BF8F-BF96AE6603DE}"/>
    <cellStyle name="Normal 5 5 6" xfId="1768" xr:uid="{00000000-0005-0000-0000-0000911B0000}"/>
    <cellStyle name="Normal 5 5 6 2" xfId="3998" xr:uid="{00000000-0005-0000-0000-0000921B0000}"/>
    <cellStyle name="Normal 5 5 6 2 2" xfId="8220" xr:uid="{00000000-0005-0000-0000-0000931B0000}"/>
    <cellStyle name="Normal 5 5 6 2 2 2" xfId="25118" xr:uid="{EE964F72-BA28-4154-994B-5CAB8F1C8D95}"/>
    <cellStyle name="Normal 5 5 6 2 2 3" xfId="16670" xr:uid="{FAED4006-83EE-4563-A2EC-41AA1CF0BB65}"/>
    <cellStyle name="Normal 5 5 6 2 3" xfId="20900" xr:uid="{A74C0FDF-23B5-4DC8-B82E-99B57488AB81}"/>
    <cellStyle name="Normal 5 5 6 2 4" xfId="12452" xr:uid="{D5AAFF87-3225-4F6B-816B-87B39E66771A}"/>
    <cellStyle name="Normal 5 5 6 3" xfId="6075" xr:uid="{00000000-0005-0000-0000-0000941B0000}"/>
    <cellStyle name="Normal 5 5 6 3 2" xfId="22973" xr:uid="{78C41DC8-CDFD-4E94-9CC3-3C6034B4B07B}"/>
    <cellStyle name="Normal 5 5 6 3 3" xfId="14525" xr:uid="{0FE67304-B441-410F-B4A0-36669373A91F}"/>
    <cellStyle name="Normal 5 5 6 4" xfId="18755" xr:uid="{779C4E06-1D95-4181-B104-4E9A108BFA2D}"/>
    <cellStyle name="Normal 5 5 6 5" xfId="10307" xr:uid="{18FA6E1E-B1E2-4805-9272-21119CF5F6F5}"/>
    <cellStyle name="Normal 5 5 7" xfId="2182" xr:uid="{00000000-0005-0000-0000-0000951B0000}"/>
    <cellStyle name="Normal 5 5 7 2" xfId="4411" xr:uid="{00000000-0005-0000-0000-0000961B0000}"/>
    <cellStyle name="Normal 5 5 7 2 2" xfId="8633" xr:uid="{00000000-0005-0000-0000-0000971B0000}"/>
    <cellStyle name="Normal 5 5 7 2 2 2" xfId="25531" xr:uid="{6F5458B4-721C-4D18-8EBA-B2C08D781774}"/>
    <cellStyle name="Normal 5 5 7 2 2 3" xfId="17083" xr:uid="{FF3CBC2C-EBE6-4ED4-BCCD-AEF3FDD6F422}"/>
    <cellStyle name="Normal 5 5 7 2 3" xfId="21313" xr:uid="{FB25D3A7-5449-484D-A9DE-309EAC5E5CAA}"/>
    <cellStyle name="Normal 5 5 7 2 4" xfId="12865" xr:uid="{F48F770F-4689-4FEA-853C-368BA253DFEF}"/>
    <cellStyle name="Normal 5 5 7 3" xfId="6488" xr:uid="{00000000-0005-0000-0000-0000981B0000}"/>
    <cellStyle name="Normal 5 5 7 3 2" xfId="23386" xr:uid="{14EDE29A-4AAA-4B41-9FE6-5679FBF6CB9E}"/>
    <cellStyle name="Normal 5 5 7 3 3" xfId="14938" xr:uid="{43C46E9D-B3B6-4035-BCD0-043EB50E56CA}"/>
    <cellStyle name="Normal 5 5 7 4" xfId="19168" xr:uid="{4F8842DE-6510-4469-8401-23D34EC985AB}"/>
    <cellStyle name="Normal 5 5 7 5" xfId="10720" xr:uid="{704A9F21-67E6-4FD9-893F-11D6F5B260F1}"/>
    <cellStyle name="Normal 5 5 8" xfId="2618" xr:uid="{00000000-0005-0000-0000-0000991B0000}"/>
    <cellStyle name="Normal 5 5 8 2" xfId="6901" xr:uid="{00000000-0005-0000-0000-00009A1B0000}"/>
    <cellStyle name="Normal 5 5 8 2 2" xfId="23799" xr:uid="{116B1734-22D5-45DF-B183-264B18AFC71F}"/>
    <cellStyle name="Normal 5 5 8 2 3" xfId="15351" xr:uid="{4131458C-0AF5-4336-BCC4-8936D292E5FE}"/>
    <cellStyle name="Normal 5 5 8 3" xfId="19581" xr:uid="{78878211-35C5-4062-8CEB-8E3E493F4134}"/>
    <cellStyle name="Normal 5 5 8 4" xfId="11133" xr:uid="{F1FFF52A-DBA9-42E0-9A12-D86169930B74}"/>
    <cellStyle name="Normal 5 5 9" xfId="4836" xr:uid="{00000000-0005-0000-0000-00009B1B0000}"/>
    <cellStyle name="Normal 5 5 9 2" xfId="21734" xr:uid="{1C202016-446F-4648-8544-A48FF07F469E}"/>
    <cellStyle name="Normal 5 5 9 3" xfId="13286" xr:uid="{1579F928-8E91-4CEE-A8E3-44B24AC19AB1}"/>
    <cellStyle name="Normal 5 6" xfId="468" xr:uid="{00000000-0005-0000-0000-00009C1B0000}"/>
    <cellStyle name="Normal 5 6 10" xfId="9072" xr:uid="{86CCEBD8-0121-486C-90FE-9EA3A5B13FCB}"/>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2 2 2" xfId="24297" xr:uid="{B9287FD3-F851-4EA3-A1D2-BDB6C43AA047}"/>
    <cellStyle name="Normal 5 6 2 2 2 2 3" xfId="15849" xr:uid="{F4FDF48E-A1DA-412D-98E7-556B9ACD9367}"/>
    <cellStyle name="Normal 5 6 2 2 2 3" xfId="20079" xr:uid="{A549B4B9-76C0-4FC0-B839-4B1D1DE2036F}"/>
    <cellStyle name="Normal 5 6 2 2 2 4" xfId="11631" xr:uid="{837613D2-6639-403E-9061-D9933FE2DEC4}"/>
    <cellStyle name="Normal 5 6 2 2 3" xfId="5254" xr:uid="{00000000-0005-0000-0000-0000A11B0000}"/>
    <cellStyle name="Normal 5 6 2 2 3 2" xfId="22152" xr:uid="{445FFA44-A88C-4781-833A-6FCFD5ED8D18}"/>
    <cellStyle name="Normal 5 6 2 2 3 3" xfId="13704" xr:uid="{72ADCA40-646E-4333-A63C-65186414F228}"/>
    <cellStyle name="Normal 5 6 2 2 4" xfId="17934" xr:uid="{5F68E86D-D8A3-4D25-B598-E2E8A318BF75}"/>
    <cellStyle name="Normal 5 6 2 2 5" xfId="9486" xr:uid="{78B35A8F-2D52-4A20-896D-3A4A3F0A6415}"/>
    <cellStyle name="Normal 5 6 2 3" xfId="1360" xr:uid="{00000000-0005-0000-0000-0000A21B0000}"/>
    <cellStyle name="Normal 5 6 2 3 2" xfId="3590" xr:uid="{00000000-0005-0000-0000-0000A31B0000}"/>
    <cellStyle name="Normal 5 6 2 3 2 2" xfId="7812" xr:uid="{00000000-0005-0000-0000-0000A41B0000}"/>
    <cellStyle name="Normal 5 6 2 3 2 2 2" xfId="24710" xr:uid="{E129D201-94C5-4A38-B6C1-AB2FCAA34370}"/>
    <cellStyle name="Normal 5 6 2 3 2 2 3" xfId="16262" xr:uid="{6C9A5645-C316-47FE-B658-1B64688E0D9D}"/>
    <cellStyle name="Normal 5 6 2 3 2 3" xfId="20492" xr:uid="{6A6A3F46-7932-4616-B824-12D553C465CA}"/>
    <cellStyle name="Normal 5 6 2 3 2 4" xfId="12044" xr:uid="{B0A011A7-AAF8-45BE-BBD1-2F9A450B7109}"/>
    <cellStyle name="Normal 5 6 2 3 3" xfId="5667" xr:uid="{00000000-0005-0000-0000-0000A51B0000}"/>
    <cellStyle name="Normal 5 6 2 3 3 2" xfId="22565" xr:uid="{579F0108-CE82-47E7-A61F-1D51084C0CE3}"/>
    <cellStyle name="Normal 5 6 2 3 3 3" xfId="14117" xr:uid="{E7901ADE-31FC-4F1F-8302-4AFEC5517B00}"/>
    <cellStyle name="Normal 5 6 2 3 4" xfId="18347" xr:uid="{3CAB40A6-3FF9-438D-B4C1-20C4B8A73498}"/>
    <cellStyle name="Normal 5 6 2 3 5" xfId="9899" xr:uid="{7378991F-9553-4912-B18B-1A1F9AB903CE}"/>
    <cellStyle name="Normal 5 6 2 4" xfId="1773" xr:uid="{00000000-0005-0000-0000-0000A61B0000}"/>
    <cellStyle name="Normal 5 6 2 4 2" xfId="4003" xr:uid="{00000000-0005-0000-0000-0000A71B0000}"/>
    <cellStyle name="Normal 5 6 2 4 2 2" xfId="8225" xr:uid="{00000000-0005-0000-0000-0000A81B0000}"/>
    <cellStyle name="Normal 5 6 2 4 2 2 2" xfId="25123" xr:uid="{32634EF8-B95E-45D4-9326-DF726C04AB2F}"/>
    <cellStyle name="Normal 5 6 2 4 2 2 3" xfId="16675" xr:uid="{78FBF215-EA66-405E-BB20-59E53E971235}"/>
    <cellStyle name="Normal 5 6 2 4 2 3" xfId="20905" xr:uid="{25891483-E8AB-4F42-B131-E047A401A787}"/>
    <cellStyle name="Normal 5 6 2 4 2 4" xfId="12457" xr:uid="{D211AE83-3EAB-4668-973A-15FE80F2DBA4}"/>
    <cellStyle name="Normal 5 6 2 4 3" xfId="6080" xr:uid="{00000000-0005-0000-0000-0000A91B0000}"/>
    <cellStyle name="Normal 5 6 2 4 3 2" xfId="22978" xr:uid="{5541DD5C-F22C-4FA2-B590-3722C1C28826}"/>
    <cellStyle name="Normal 5 6 2 4 3 3" xfId="14530" xr:uid="{D30E6437-F577-4AB6-A842-0CBEB55545D9}"/>
    <cellStyle name="Normal 5 6 2 4 4" xfId="18760" xr:uid="{7E70EAF0-E501-48E7-BE1E-B1BD3B963725}"/>
    <cellStyle name="Normal 5 6 2 4 5" xfId="10312" xr:uid="{7B1944D8-0E8E-4C57-A977-75FC5E4FCC43}"/>
    <cellStyle name="Normal 5 6 2 5" xfId="2187" xr:uid="{00000000-0005-0000-0000-0000AA1B0000}"/>
    <cellStyle name="Normal 5 6 2 5 2" xfId="4416" xr:uid="{00000000-0005-0000-0000-0000AB1B0000}"/>
    <cellStyle name="Normal 5 6 2 5 2 2" xfId="8638" xr:uid="{00000000-0005-0000-0000-0000AC1B0000}"/>
    <cellStyle name="Normal 5 6 2 5 2 2 2" xfId="25536" xr:uid="{CF8DE420-9B83-4B72-8AAE-CDE7E3752E39}"/>
    <cellStyle name="Normal 5 6 2 5 2 2 3" xfId="17088" xr:uid="{B68F2C47-FF93-4A1D-8346-4A5BE6994BA8}"/>
    <cellStyle name="Normal 5 6 2 5 2 3" xfId="21318" xr:uid="{DC9415DE-77AE-4118-907E-958BC651A052}"/>
    <cellStyle name="Normal 5 6 2 5 2 4" xfId="12870" xr:uid="{0FCE598D-931F-420D-834C-1D06A5590794}"/>
    <cellStyle name="Normal 5 6 2 5 3" xfId="6493" xr:uid="{00000000-0005-0000-0000-0000AD1B0000}"/>
    <cellStyle name="Normal 5 6 2 5 3 2" xfId="23391" xr:uid="{081ABB07-C1D7-4055-A878-D29A0F190A3F}"/>
    <cellStyle name="Normal 5 6 2 5 3 3" xfId="14943" xr:uid="{44D4C2BA-F9E3-4952-829A-806D9FFE6844}"/>
    <cellStyle name="Normal 5 6 2 5 4" xfId="19173" xr:uid="{CFEAE004-E1FF-4BE8-9858-5F454CEC6A64}"/>
    <cellStyle name="Normal 5 6 2 5 5" xfId="10725" xr:uid="{80F30458-5099-4091-BABE-3324A433A53D}"/>
    <cellStyle name="Normal 5 6 2 6" xfId="2623" xr:uid="{00000000-0005-0000-0000-0000AE1B0000}"/>
    <cellStyle name="Normal 5 6 2 6 2" xfId="6906" xr:uid="{00000000-0005-0000-0000-0000AF1B0000}"/>
    <cellStyle name="Normal 5 6 2 6 2 2" xfId="23804" xr:uid="{AD248CE0-4880-459E-86E9-C80012C0FB24}"/>
    <cellStyle name="Normal 5 6 2 6 2 3" xfId="15356" xr:uid="{EA03CCFC-D950-40DA-A17E-CA8B40A845B7}"/>
    <cellStyle name="Normal 5 6 2 6 3" xfId="19586" xr:uid="{62CB620C-E06C-454E-8F9F-E8B7906A4CC2}"/>
    <cellStyle name="Normal 5 6 2 6 4" xfId="11138" xr:uid="{355E9268-9F51-4BDB-B7EE-1F481A507D4C}"/>
    <cellStyle name="Normal 5 6 2 7" xfId="4841" xr:uid="{00000000-0005-0000-0000-0000B01B0000}"/>
    <cellStyle name="Normal 5 6 2 7 2" xfId="21739" xr:uid="{D145E1BC-D4C0-47A0-A140-EEBD23AE72EC}"/>
    <cellStyle name="Normal 5 6 2 7 3" xfId="13291" xr:uid="{C7D8783F-D5E9-4C28-9728-B11E843CB2C2}"/>
    <cellStyle name="Normal 5 6 2 8" xfId="17521" xr:uid="{4D391B85-9AB0-497C-A7D5-6579BB5E9F31}"/>
    <cellStyle name="Normal 5 6 2 9" xfId="9073" xr:uid="{2181BA1F-4D81-4D35-8A44-650F08A585D5}"/>
    <cellStyle name="Normal 5 6 3" xfId="942" xr:uid="{00000000-0005-0000-0000-0000B11B0000}"/>
    <cellStyle name="Normal 5 6 3 2" xfId="3176" xr:uid="{00000000-0005-0000-0000-0000B21B0000}"/>
    <cellStyle name="Normal 5 6 3 2 2" xfId="7398" xr:uid="{00000000-0005-0000-0000-0000B31B0000}"/>
    <cellStyle name="Normal 5 6 3 2 2 2" xfId="24296" xr:uid="{CF30A45C-AF06-4687-88DB-2899E24E29B5}"/>
    <cellStyle name="Normal 5 6 3 2 2 3" xfId="15848" xr:uid="{439E72B2-6FD5-4FF5-8818-5573F9F759CB}"/>
    <cellStyle name="Normal 5 6 3 2 3" xfId="20078" xr:uid="{53F26A30-3DD2-4983-936B-EE97D1BE431E}"/>
    <cellStyle name="Normal 5 6 3 2 4" xfId="11630" xr:uid="{116B05E6-A15D-416C-ADF7-0F413ECEACCE}"/>
    <cellStyle name="Normal 5 6 3 3" xfId="5253" xr:uid="{00000000-0005-0000-0000-0000B41B0000}"/>
    <cellStyle name="Normal 5 6 3 3 2" xfId="22151" xr:uid="{2D4CD19D-45F8-449B-9A01-61F1C10542AC}"/>
    <cellStyle name="Normal 5 6 3 3 3" xfId="13703" xr:uid="{64FF8480-FCB3-4C8E-988D-D775CF363003}"/>
    <cellStyle name="Normal 5 6 3 4" xfId="17933" xr:uid="{0F150877-37EA-465A-95B8-857B979E4075}"/>
    <cellStyle name="Normal 5 6 3 5" xfId="9485" xr:uid="{294F1890-5E2C-480D-94DD-E3273F807213}"/>
    <cellStyle name="Normal 5 6 4" xfId="1359" xr:uid="{00000000-0005-0000-0000-0000B51B0000}"/>
    <cellStyle name="Normal 5 6 4 2" xfId="3589" xr:uid="{00000000-0005-0000-0000-0000B61B0000}"/>
    <cellStyle name="Normal 5 6 4 2 2" xfId="7811" xr:uid="{00000000-0005-0000-0000-0000B71B0000}"/>
    <cellStyle name="Normal 5 6 4 2 2 2" xfId="24709" xr:uid="{B85536C3-44D3-4521-A40D-736A3D634421}"/>
    <cellStyle name="Normal 5 6 4 2 2 3" xfId="16261" xr:uid="{122CA6E6-2E44-4649-8334-2EA00F38776F}"/>
    <cellStyle name="Normal 5 6 4 2 3" xfId="20491" xr:uid="{7DAABD0C-EAC4-426D-B47D-B8078CEA63A0}"/>
    <cellStyle name="Normal 5 6 4 2 4" xfId="12043" xr:uid="{C1B75CB2-592C-4A5C-BEE2-FCEE29DBD405}"/>
    <cellStyle name="Normal 5 6 4 3" xfId="5666" xr:uid="{00000000-0005-0000-0000-0000B81B0000}"/>
    <cellStyle name="Normal 5 6 4 3 2" xfId="22564" xr:uid="{936D5E40-9F71-4C43-AF7A-7B47D891DAF8}"/>
    <cellStyle name="Normal 5 6 4 3 3" xfId="14116" xr:uid="{FE828D29-1603-40A0-9056-DFB5ADAA29B6}"/>
    <cellStyle name="Normal 5 6 4 4" xfId="18346" xr:uid="{AF07B461-6173-4512-A4BD-0DB5B8EEF0F2}"/>
    <cellStyle name="Normal 5 6 4 5" xfId="9898" xr:uid="{D8B93F13-6792-422A-87B4-46DC41C57B4E}"/>
    <cellStyle name="Normal 5 6 5" xfId="1772" xr:uid="{00000000-0005-0000-0000-0000B91B0000}"/>
    <cellStyle name="Normal 5 6 5 2" xfId="4002" xr:uid="{00000000-0005-0000-0000-0000BA1B0000}"/>
    <cellStyle name="Normal 5 6 5 2 2" xfId="8224" xr:uid="{00000000-0005-0000-0000-0000BB1B0000}"/>
    <cellStyle name="Normal 5 6 5 2 2 2" xfId="25122" xr:uid="{1BEAB485-ED92-4A76-AFD7-F4E032557057}"/>
    <cellStyle name="Normal 5 6 5 2 2 3" xfId="16674" xr:uid="{3018CD58-B2BC-4284-B439-1648803E46A7}"/>
    <cellStyle name="Normal 5 6 5 2 3" xfId="20904" xr:uid="{047A12CA-F3AE-4ADC-9111-F9D19A6A1D18}"/>
    <cellStyle name="Normal 5 6 5 2 4" xfId="12456" xr:uid="{AF6CBFFD-AA15-4455-AEDC-4851E817D316}"/>
    <cellStyle name="Normal 5 6 5 3" xfId="6079" xr:uid="{00000000-0005-0000-0000-0000BC1B0000}"/>
    <cellStyle name="Normal 5 6 5 3 2" xfId="22977" xr:uid="{D36EBAF9-CEEF-4A7D-AF68-23E258119613}"/>
    <cellStyle name="Normal 5 6 5 3 3" xfId="14529" xr:uid="{7CDFF623-1491-407E-8933-5A0F072D600D}"/>
    <cellStyle name="Normal 5 6 5 4" xfId="18759" xr:uid="{8A5B5D19-2423-4C12-866F-29F083B25AD9}"/>
    <cellStyle name="Normal 5 6 5 5" xfId="10311" xr:uid="{CF018B21-EAB8-4C94-A93A-881C55742404}"/>
    <cellStyle name="Normal 5 6 6" xfId="2186" xr:uid="{00000000-0005-0000-0000-0000BD1B0000}"/>
    <cellStyle name="Normal 5 6 6 2" xfId="4415" xr:uid="{00000000-0005-0000-0000-0000BE1B0000}"/>
    <cellStyle name="Normal 5 6 6 2 2" xfId="8637" xr:uid="{00000000-0005-0000-0000-0000BF1B0000}"/>
    <cellStyle name="Normal 5 6 6 2 2 2" xfId="25535" xr:uid="{7A7FFF00-7EFC-4B3E-979B-0FC63597AC55}"/>
    <cellStyle name="Normal 5 6 6 2 2 3" xfId="17087" xr:uid="{8F97B1D3-0C44-410F-8E3D-4F4900D56290}"/>
    <cellStyle name="Normal 5 6 6 2 3" xfId="21317" xr:uid="{C2ED8268-9B16-4117-88AB-981EE5801742}"/>
    <cellStyle name="Normal 5 6 6 2 4" xfId="12869" xr:uid="{526246B0-4413-4A78-AF60-A230FED71A9E}"/>
    <cellStyle name="Normal 5 6 6 3" xfId="6492" xr:uid="{00000000-0005-0000-0000-0000C01B0000}"/>
    <cellStyle name="Normal 5 6 6 3 2" xfId="23390" xr:uid="{3B594464-45EA-41BF-932B-20504F17940B}"/>
    <cellStyle name="Normal 5 6 6 3 3" xfId="14942" xr:uid="{C9A26CC8-46B7-4211-80FC-28FAD37D1334}"/>
    <cellStyle name="Normal 5 6 6 4" xfId="19172" xr:uid="{C490D69C-45F5-4AAE-A259-42DBCBD475A1}"/>
    <cellStyle name="Normal 5 6 6 5" xfId="10724" xr:uid="{E1330145-C75C-44FF-A2F2-6413B0EEE865}"/>
    <cellStyle name="Normal 5 6 7" xfId="2622" xr:uid="{00000000-0005-0000-0000-0000C11B0000}"/>
    <cellStyle name="Normal 5 6 7 2" xfId="6905" xr:uid="{00000000-0005-0000-0000-0000C21B0000}"/>
    <cellStyle name="Normal 5 6 7 2 2" xfId="23803" xr:uid="{695EC961-7DA7-42DF-A700-B18CBDBA2BE8}"/>
    <cellStyle name="Normal 5 6 7 2 3" xfId="15355" xr:uid="{7399E53D-B208-41C5-B0B2-7489D5DC47A8}"/>
    <cellStyle name="Normal 5 6 7 3" xfId="19585" xr:uid="{15F2FD75-8ACC-4BD5-A85A-5ABC8B934175}"/>
    <cellStyle name="Normal 5 6 7 4" xfId="11137" xr:uid="{D993F31C-1C36-4CE0-AB1E-2BDD75847513}"/>
    <cellStyle name="Normal 5 6 8" xfId="4840" xr:uid="{00000000-0005-0000-0000-0000C31B0000}"/>
    <cellStyle name="Normal 5 6 8 2" xfId="21738" xr:uid="{186CA490-F642-44B1-9A4F-BFA877C8F87A}"/>
    <cellStyle name="Normal 5 6 8 3" xfId="13290" xr:uid="{3DB7E7FC-20A9-4D5F-B933-8D910D9845DD}"/>
    <cellStyle name="Normal 5 6 9" xfId="17520" xr:uid="{4050EE9E-576C-4C84-86FB-9E965A6AA54C}"/>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2 2 2" xfId="24298" xr:uid="{FC71445B-90D8-4D86-9662-A176BE4A792A}"/>
    <cellStyle name="Normal 5 7 2 2 2 3" xfId="15850" xr:uid="{5C9FFA21-4A2E-464E-B980-61E7355E5CB8}"/>
    <cellStyle name="Normal 5 7 2 2 3" xfId="20080" xr:uid="{64618D8D-C2EC-4CB3-A8A9-B648DDD4DB53}"/>
    <cellStyle name="Normal 5 7 2 2 4" xfId="11632" xr:uid="{93B814A3-E051-4A09-BF56-CE43906599FB}"/>
    <cellStyle name="Normal 5 7 2 3" xfId="5255" xr:uid="{00000000-0005-0000-0000-0000C81B0000}"/>
    <cellStyle name="Normal 5 7 2 3 2" xfId="22153" xr:uid="{5B3BF915-39F2-4DB9-8A8A-7FB104D803D7}"/>
    <cellStyle name="Normal 5 7 2 3 3" xfId="13705" xr:uid="{35415A4C-507E-45F4-B7A4-57346EAD262E}"/>
    <cellStyle name="Normal 5 7 2 4" xfId="17935" xr:uid="{11019926-AAC6-45EF-8BEB-C7C6110BB68B}"/>
    <cellStyle name="Normal 5 7 2 5" xfId="9487" xr:uid="{473D90B3-41DD-49C6-93A2-1B3D1337118A}"/>
    <cellStyle name="Normal 5 7 3" xfId="1361" xr:uid="{00000000-0005-0000-0000-0000C91B0000}"/>
    <cellStyle name="Normal 5 7 3 2" xfId="3591" xr:uid="{00000000-0005-0000-0000-0000CA1B0000}"/>
    <cellStyle name="Normal 5 7 3 2 2" xfId="7813" xr:uid="{00000000-0005-0000-0000-0000CB1B0000}"/>
    <cellStyle name="Normal 5 7 3 2 2 2" xfId="24711" xr:uid="{30902237-9421-487B-B931-BDDF42B11C41}"/>
    <cellStyle name="Normal 5 7 3 2 2 3" xfId="16263" xr:uid="{3F64784F-CE0F-46B5-B44E-90A79DB91DBB}"/>
    <cellStyle name="Normal 5 7 3 2 3" xfId="20493" xr:uid="{5720BBC5-0B32-4B00-B731-2C0ABC7B8DB7}"/>
    <cellStyle name="Normal 5 7 3 2 4" xfId="12045" xr:uid="{A2D798C8-02FF-4BD4-B36C-D64FD4039908}"/>
    <cellStyle name="Normal 5 7 3 3" xfId="5668" xr:uid="{00000000-0005-0000-0000-0000CC1B0000}"/>
    <cellStyle name="Normal 5 7 3 3 2" xfId="22566" xr:uid="{DA5CC9B1-CAD3-4579-A6AD-8FEF37EDAFF8}"/>
    <cellStyle name="Normal 5 7 3 3 3" xfId="14118" xr:uid="{C901A21C-270B-469C-B134-801026DE3323}"/>
    <cellStyle name="Normal 5 7 3 4" xfId="18348" xr:uid="{6594E4E0-9F1F-4E38-97D4-EEEA93C768C0}"/>
    <cellStyle name="Normal 5 7 3 5" xfId="9900" xr:uid="{18C9C47F-5C6F-43CC-B525-610A1A60AE82}"/>
    <cellStyle name="Normal 5 7 4" xfId="1774" xr:uid="{00000000-0005-0000-0000-0000CD1B0000}"/>
    <cellStyle name="Normal 5 7 4 2" xfId="4004" xr:uid="{00000000-0005-0000-0000-0000CE1B0000}"/>
    <cellStyle name="Normal 5 7 4 2 2" xfId="8226" xr:uid="{00000000-0005-0000-0000-0000CF1B0000}"/>
    <cellStyle name="Normal 5 7 4 2 2 2" xfId="25124" xr:uid="{B243F8DF-0C22-4D65-B839-A86EDB31D854}"/>
    <cellStyle name="Normal 5 7 4 2 2 3" xfId="16676" xr:uid="{BBA65964-A38A-430A-B600-48E2C36B55B8}"/>
    <cellStyle name="Normal 5 7 4 2 3" xfId="20906" xr:uid="{0AD06A82-1996-4B9F-8542-01E6C53C8BAB}"/>
    <cellStyle name="Normal 5 7 4 2 4" xfId="12458" xr:uid="{846CF5E5-B4A8-4273-9EA5-0DC82D94B92A}"/>
    <cellStyle name="Normal 5 7 4 3" xfId="6081" xr:uid="{00000000-0005-0000-0000-0000D01B0000}"/>
    <cellStyle name="Normal 5 7 4 3 2" xfId="22979" xr:uid="{1B8E894F-C381-4FAA-BDF1-0CE4F145B574}"/>
    <cellStyle name="Normal 5 7 4 3 3" xfId="14531" xr:uid="{C552D1CD-072E-4D6D-9DBC-08EE925322AC}"/>
    <cellStyle name="Normal 5 7 4 4" xfId="18761" xr:uid="{58563DAD-8081-4FFA-9BC7-64B195123E7F}"/>
    <cellStyle name="Normal 5 7 4 5" xfId="10313" xr:uid="{782BB9B6-CA1A-4BC6-8371-01547BEE9305}"/>
    <cellStyle name="Normal 5 7 5" xfId="2188" xr:uid="{00000000-0005-0000-0000-0000D11B0000}"/>
    <cellStyle name="Normal 5 7 5 2" xfId="4417" xr:uid="{00000000-0005-0000-0000-0000D21B0000}"/>
    <cellStyle name="Normal 5 7 5 2 2" xfId="8639" xr:uid="{00000000-0005-0000-0000-0000D31B0000}"/>
    <cellStyle name="Normal 5 7 5 2 2 2" xfId="25537" xr:uid="{8DC8B0CF-63DC-406B-AC48-8E4B3C2B01D0}"/>
    <cellStyle name="Normal 5 7 5 2 2 3" xfId="17089" xr:uid="{F8663AA1-679C-4C6F-9C34-1BC402209178}"/>
    <cellStyle name="Normal 5 7 5 2 3" xfId="21319" xr:uid="{8E31BA06-D666-482E-A887-42708D9E3EC0}"/>
    <cellStyle name="Normal 5 7 5 2 4" xfId="12871" xr:uid="{7AFB9CF3-6EDA-45FE-8613-75ECCC83BA73}"/>
    <cellStyle name="Normal 5 7 5 3" xfId="6494" xr:uid="{00000000-0005-0000-0000-0000D41B0000}"/>
    <cellStyle name="Normal 5 7 5 3 2" xfId="23392" xr:uid="{1960B4A2-C4D8-4EB5-808B-F9273A18DA96}"/>
    <cellStyle name="Normal 5 7 5 3 3" xfId="14944" xr:uid="{F67CF0FF-F431-4CB5-9143-B35113F0D42D}"/>
    <cellStyle name="Normal 5 7 5 4" xfId="19174" xr:uid="{3A49AAD9-A5A8-4AA3-9885-66C636A81411}"/>
    <cellStyle name="Normal 5 7 5 5" xfId="10726" xr:uid="{BE99C373-3E55-4271-BF37-D11F7394EBE3}"/>
    <cellStyle name="Normal 5 7 6" xfId="2624" xr:uid="{00000000-0005-0000-0000-0000D51B0000}"/>
    <cellStyle name="Normal 5 7 6 2" xfId="6907" xr:uid="{00000000-0005-0000-0000-0000D61B0000}"/>
    <cellStyle name="Normal 5 7 6 2 2" xfId="23805" xr:uid="{4783617F-7CDA-4F55-9CAA-3011EDCFC650}"/>
    <cellStyle name="Normal 5 7 6 2 3" xfId="15357" xr:uid="{7AFE1DBF-B325-4ADE-A356-2C60744DA975}"/>
    <cellStyle name="Normal 5 7 6 3" xfId="19587" xr:uid="{B3A04752-3DAA-41A4-8EBB-7241DBFC2DE2}"/>
    <cellStyle name="Normal 5 7 6 4" xfId="11139" xr:uid="{D4D3E5B6-FCDC-48AE-BB21-DE61D9AA604B}"/>
    <cellStyle name="Normal 5 7 7" xfId="4842" xr:uid="{00000000-0005-0000-0000-0000D71B0000}"/>
    <cellStyle name="Normal 5 7 7 2" xfId="21740" xr:uid="{13BBCF10-9A8F-4DFD-B041-5489608E886E}"/>
    <cellStyle name="Normal 5 7 7 3" xfId="13292" xr:uid="{2ADAB086-A3F7-4C03-ACFC-E54EA24DADB1}"/>
    <cellStyle name="Normal 5 7 8" xfId="17522" xr:uid="{0F90E6AF-113C-4399-A1C2-92C6D8D9E1BB}"/>
    <cellStyle name="Normal 5 7 9" xfId="9074" xr:uid="{6F44459D-D673-4EA2-871B-895399AF0271}"/>
    <cellStyle name="Normal 5 8" xfId="880" xr:uid="{00000000-0005-0000-0000-0000D81B0000}"/>
    <cellStyle name="Normal 5 8 2" xfId="3115" xr:uid="{00000000-0005-0000-0000-0000D91B0000}"/>
    <cellStyle name="Normal 5 8 2 2" xfId="7337" xr:uid="{00000000-0005-0000-0000-0000DA1B0000}"/>
    <cellStyle name="Normal 5 8 2 2 2" xfId="24235" xr:uid="{2D8DA85B-8872-4D6F-9AB0-B2134716699A}"/>
    <cellStyle name="Normal 5 8 2 2 3" xfId="15787" xr:uid="{C5E9A400-0925-4AC9-A9AD-AC31AC0363C5}"/>
    <cellStyle name="Normal 5 8 2 3" xfId="20017" xr:uid="{6F643F40-FF53-4591-A8CB-F48080C4760C}"/>
    <cellStyle name="Normal 5 8 2 4" xfId="11569" xr:uid="{AD0F337E-2D3B-44F1-BB12-0DEBAEF7EB9B}"/>
    <cellStyle name="Normal 5 8 3" xfId="5192" xr:uid="{00000000-0005-0000-0000-0000DB1B0000}"/>
    <cellStyle name="Normal 5 8 3 2" xfId="22090" xr:uid="{4DDF0448-AF28-438A-87A4-1ECE0B02937E}"/>
    <cellStyle name="Normal 5 8 3 3" xfId="13642" xr:uid="{E1182946-D38A-4712-AF2E-351FEBF2561D}"/>
    <cellStyle name="Normal 5 8 4" xfId="17872" xr:uid="{AAFA4197-9BD5-410F-9F41-83F6A741FF62}"/>
    <cellStyle name="Normal 5 8 5" xfId="9424" xr:uid="{E4CC186C-331C-448D-8072-1E2D88043BD5}"/>
    <cellStyle name="Normal 5 9" xfId="1298" xr:uid="{00000000-0005-0000-0000-0000DC1B0000}"/>
    <cellStyle name="Normal 5 9 2" xfId="3528" xr:uid="{00000000-0005-0000-0000-0000DD1B0000}"/>
    <cellStyle name="Normal 5 9 2 2" xfId="7750" xr:uid="{00000000-0005-0000-0000-0000DE1B0000}"/>
    <cellStyle name="Normal 5 9 2 2 2" xfId="24648" xr:uid="{CDE39445-E25B-442F-A3F2-B819B38BDEFA}"/>
    <cellStyle name="Normal 5 9 2 2 3" xfId="16200" xr:uid="{F8526ACC-0171-42A6-AB0D-656361D2F80A}"/>
    <cellStyle name="Normal 5 9 2 3" xfId="20430" xr:uid="{B5A7FB20-89DA-4133-B8DB-8D6BF3C6DBCB}"/>
    <cellStyle name="Normal 5 9 2 4" xfId="11982" xr:uid="{F7E19CD7-6B0C-4554-BD38-06EBB7097A93}"/>
    <cellStyle name="Normal 5 9 3" xfId="5605" xr:uid="{00000000-0005-0000-0000-0000DF1B0000}"/>
    <cellStyle name="Normal 5 9 3 2" xfId="22503" xr:uid="{A3152E62-3D8B-4919-AD3E-F1A71FED2B49}"/>
    <cellStyle name="Normal 5 9 3 3" xfId="14055" xr:uid="{37B61585-28B0-434D-AC1A-53D51B206516}"/>
    <cellStyle name="Normal 5 9 4" xfId="18285" xr:uid="{827D9EAB-8225-4324-94F9-CAEE8684B5AD}"/>
    <cellStyle name="Normal 5 9 5" xfId="9837" xr:uid="{D4B57FC6-CC76-4ADF-B8F4-CED0649B020A}"/>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25538" xr:uid="{8B941D6D-EEC6-4176-A4E9-A80EF25FEF20}"/>
    <cellStyle name="Normal 8 10 2 2 3" xfId="17090" xr:uid="{4CE9CCA2-7AA6-4949-8D77-3CE153996715}"/>
    <cellStyle name="Normal 8 10 2 3" xfId="21320" xr:uid="{E5F3C1A1-0FFC-49D3-9BEE-DD937E36509A}"/>
    <cellStyle name="Normal 8 10 2 4" xfId="12872" xr:uid="{D0850B89-9480-4D14-8633-16E8CA7E8685}"/>
    <cellStyle name="Normal 8 10 3" xfId="6495" xr:uid="{00000000-0005-0000-0000-0000EB1B0000}"/>
    <cellStyle name="Normal 8 10 3 2" xfId="23393" xr:uid="{AE1D246F-DC26-4449-98F4-F3D070A910DE}"/>
    <cellStyle name="Normal 8 10 3 3" xfId="14945" xr:uid="{8A7B1E92-C731-40EC-9298-DC15D5A60FAB}"/>
    <cellStyle name="Normal 8 10 4" xfId="19175" xr:uid="{2D6E5AA4-540E-4464-8BC1-717C4DF67102}"/>
    <cellStyle name="Normal 8 10 5" xfId="10727" xr:uid="{834F3D00-B307-489A-91E6-6B75BE9FD329}"/>
    <cellStyle name="Normal 8 11" xfId="2625" xr:uid="{00000000-0005-0000-0000-0000EC1B0000}"/>
    <cellStyle name="Normal 8 11 2" xfId="6908" xr:uid="{00000000-0005-0000-0000-0000ED1B0000}"/>
    <cellStyle name="Normal 8 11 2 2" xfId="23806" xr:uid="{BC2E08E9-FDEE-4131-A349-3A3682A4FB35}"/>
    <cellStyle name="Normal 8 11 2 3" xfId="15358" xr:uid="{7BF04905-5CE7-4544-BB90-37DC3045E6D0}"/>
    <cellStyle name="Normal 8 11 3" xfId="19588" xr:uid="{5F658854-F5AC-42B0-A050-2EC159860453}"/>
    <cellStyle name="Normal 8 11 4" xfId="11140" xr:uid="{2AE77F05-7376-4F2B-9654-8CA64524B710}"/>
    <cellStyle name="Normal 8 12" xfId="4843" xr:uid="{00000000-0005-0000-0000-0000EE1B0000}"/>
    <cellStyle name="Normal 8 12 2" xfId="21741" xr:uid="{3353D6D8-CDDB-4418-8350-DE5F75C7C42E}"/>
    <cellStyle name="Normal 8 12 3" xfId="13293" xr:uid="{77E2E888-13D6-4F55-B18D-D1CDF6EFFC70}"/>
    <cellStyle name="Normal 8 13" xfId="17523" xr:uid="{B3F1338C-0B5E-4C67-B2A7-71CF60D4672A}"/>
    <cellStyle name="Normal 8 14" xfId="9075" xr:uid="{DCB12CD6-038C-4B93-AEC1-4206D4C665FC}"/>
    <cellStyle name="Normal 8 2" xfId="479" xr:uid="{00000000-0005-0000-0000-0000EF1B0000}"/>
    <cellStyle name="Normal 8 2 10" xfId="2626" xr:uid="{00000000-0005-0000-0000-0000F01B0000}"/>
    <cellStyle name="Normal 8 2 10 2" xfId="6909" xr:uid="{00000000-0005-0000-0000-0000F11B0000}"/>
    <cellStyle name="Normal 8 2 10 2 2" xfId="23807" xr:uid="{60AC37F8-6FBC-4380-9652-5A581E3B6E0E}"/>
    <cellStyle name="Normal 8 2 10 2 3" xfId="15359" xr:uid="{20602332-1A43-470A-B75E-68E2F5261727}"/>
    <cellStyle name="Normal 8 2 10 3" xfId="19589" xr:uid="{46B9E5DA-F3D3-4D80-B19A-2D5E0584BB4F}"/>
    <cellStyle name="Normal 8 2 10 4" xfId="11141" xr:uid="{33259C69-5797-43AA-82AC-E90F5F5B2C2A}"/>
    <cellStyle name="Normal 8 2 11" xfId="4844" xr:uid="{00000000-0005-0000-0000-0000F21B0000}"/>
    <cellStyle name="Normal 8 2 11 2" xfId="21742" xr:uid="{267297FA-1AB8-4132-AA43-1E1D5110C1D3}"/>
    <cellStyle name="Normal 8 2 11 3" xfId="13294" xr:uid="{DF656D67-C2FA-42A1-918F-51FFAFFA7CDD}"/>
    <cellStyle name="Normal 8 2 12" xfId="17524" xr:uid="{A17596D5-5305-4C4F-8716-35C9728E9D5D}"/>
    <cellStyle name="Normal 8 2 13" xfId="9076" xr:uid="{98485850-C329-4C13-8455-DC364BF05B49}"/>
    <cellStyle name="Normal 8 2 2" xfId="480" xr:uid="{00000000-0005-0000-0000-0000F31B0000}"/>
    <cellStyle name="Normal 8 2 2 10" xfId="4845" xr:uid="{00000000-0005-0000-0000-0000F41B0000}"/>
    <cellStyle name="Normal 8 2 2 10 2" xfId="21743" xr:uid="{D9A80115-BDAA-49DB-92EA-D4958EB62115}"/>
    <cellStyle name="Normal 8 2 2 10 3" xfId="13295" xr:uid="{73B1392A-5F17-4E21-8579-BCFB8255E46C}"/>
    <cellStyle name="Normal 8 2 2 11" xfId="17525" xr:uid="{0567B3D6-0239-4693-B0B4-860F6D5B0141}"/>
    <cellStyle name="Normal 8 2 2 12" xfId="9077" xr:uid="{E0D41D63-2763-431E-9810-70485CC5E20F}"/>
    <cellStyle name="Normal 8 2 2 2" xfId="481" xr:uid="{00000000-0005-0000-0000-0000F51B0000}"/>
    <cellStyle name="Normal 8 2 2 2 10" xfId="17526" xr:uid="{B0FAE5C7-E528-44FC-978F-DFA5A81E0ED9}"/>
    <cellStyle name="Normal 8 2 2 2 11" xfId="9078" xr:uid="{AFED6D2A-F6A9-48BB-8A4F-A06DAC7FC295}"/>
    <cellStyle name="Normal 8 2 2 2 2" xfId="482" xr:uid="{00000000-0005-0000-0000-0000F61B0000}"/>
    <cellStyle name="Normal 8 2 2 2 2 10" xfId="9079" xr:uid="{541B57A0-9399-49CB-9147-FF66D2E82A58}"/>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24304" xr:uid="{B0B82590-8331-4D69-9B20-BD2852A27C30}"/>
    <cellStyle name="Normal 8 2 2 2 2 2 2 2 2 3" xfId="15856" xr:uid="{46A12620-586E-4307-A0A7-1B77EA488C9E}"/>
    <cellStyle name="Normal 8 2 2 2 2 2 2 2 3" xfId="20086" xr:uid="{232DE592-460D-4ECB-9F38-11EB2A9CB79F}"/>
    <cellStyle name="Normal 8 2 2 2 2 2 2 2 4" xfId="11638" xr:uid="{DAC126AB-56EB-49C8-95A0-E479F4602CBE}"/>
    <cellStyle name="Normal 8 2 2 2 2 2 2 3" xfId="5261" xr:uid="{00000000-0005-0000-0000-0000FB1B0000}"/>
    <cellStyle name="Normal 8 2 2 2 2 2 2 3 2" xfId="22159" xr:uid="{719173A1-6C81-4555-8048-695DCC2971A8}"/>
    <cellStyle name="Normal 8 2 2 2 2 2 2 3 3" xfId="13711" xr:uid="{0DF09BA9-151C-48A7-99BE-8243794BD5A0}"/>
    <cellStyle name="Normal 8 2 2 2 2 2 2 4" xfId="17941" xr:uid="{4B7E0F6D-4CBA-4613-BF71-30BA693B7F4B}"/>
    <cellStyle name="Normal 8 2 2 2 2 2 2 5" xfId="9493" xr:uid="{8B84425B-5273-48BE-A39C-EEF4F1B9682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24717" xr:uid="{6819246B-999D-452A-A86F-34BE9CFD771B}"/>
    <cellStyle name="Normal 8 2 2 2 2 2 3 2 2 3" xfId="16269" xr:uid="{1076FD8A-C2E3-4A7A-BBA5-AE52280F526F}"/>
    <cellStyle name="Normal 8 2 2 2 2 2 3 2 3" xfId="20499" xr:uid="{A2B7E790-5755-44F8-BC82-D47E02C2CC35}"/>
    <cellStyle name="Normal 8 2 2 2 2 2 3 2 4" xfId="12051" xr:uid="{F8CF366A-F927-47FB-AAD8-7540599DD07A}"/>
    <cellStyle name="Normal 8 2 2 2 2 2 3 3" xfId="5674" xr:uid="{00000000-0005-0000-0000-0000FF1B0000}"/>
    <cellStyle name="Normal 8 2 2 2 2 2 3 3 2" xfId="22572" xr:uid="{21E9D4E5-2C37-44C3-A62C-9A72D92957CE}"/>
    <cellStyle name="Normal 8 2 2 2 2 2 3 3 3" xfId="14124" xr:uid="{E1B284D4-6EEF-42AE-8D1B-2A36385E9678}"/>
    <cellStyle name="Normal 8 2 2 2 2 2 3 4" xfId="18354" xr:uid="{3BE881FC-EF0D-453E-BD2F-FB3DFD3F6C95}"/>
    <cellStyle name="Normal 8 2 2 2 2 2 3 5" xfId="9906" xr:uid="{7CB7D49A-62A5-4F44-BAB6-465402DD297B}"/>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25130" xr:uid="{EDF798D4-8AD5-4F01-BD22-7FAC656FB46D}"/>
    <cellStyle name="Normal 8 2 2 2 2 2 4 2 2 3" xfId="16682" xr:uid="{AB0C9A93-B288-42AB-BAB9-E1337DEFA62E}"/>
    <cellStyle name="Normal 8 2 2 2 2 2 4 2 3" xfId="20912" xr:uid="{B64EE5C2-F6D4-455F-A950-A6EB01FCFE37}"/>
    <cellStyle name="Normal 8 2 2 2 2 2 4 2 4" xfId="12464" xr:uid="{0BB19F37-5F85-45B9-BFB9-2EBC1521EE5D}"/>
    <cellStyle name="Normal 8 2 2 2 2 2 4 3" xfId="6087" xr:uid="{00000000-0005-0000-0000-0000031C0000}"/>
    <cellStyle name="Normal 8 2 2 2 2 2 4 3 2" xfId="22985" xr:uid="{86385211-CCAF-4E6C-9FBA-2873E08FE9F3}"/>
    <cellStyle name="Normal 8 2 2 2 2 2 4 3 3" xfId="14537" xr:uid="{D45F8DA7-2D24-4B42-9E70-133A50A99CD5}"/>
    <cellStyle name="Normal 8 2 2 2 2 2 4 4" xfId="18767" xr:uid="{E904C684-F865-4A2C-AD32-5490DB85D9C1}"/>
    <cellStyle name="Normal 8 2 2 2 2 2 4 5" xfId="10319" xr:uid="{C887FF06-C98D-47E6-A4CE-476D22F1546C}"/>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25543" xr:uid="{3BC88EAB-CC88-46F5-9823-6A593125B86C}"/>
    <cellStyle name="Normal 8 2 2 2 2 2 5 2 2 3" xfId="17095" xr:uid="{721F344A-F1E1-4665-ACFF-302A69E5EE33}"/>
    <cellStyle name="Normal 8 2 2 2 2 2 5 2 3" xfId="21325" xr:uid="{EB968DA8-E89C-4144-8370-3CBB9F868465}"/>
    <cellStyle name="Normal 8 2 2 2 2 2 5 2 4" xfId="12877" xr:uid="{4DA6E1CB-8FBA-4B32-B68E-1E979523EA38}"/>
    <cellStyle name="Normal 8 2 2 2 2 2 5 3" xfId="6500" xr:uid="{00000000-0005-0000-0000-0000071C0000}"/>
    <cellStyle name="Normal 8 2 2 2 2 2 5 3 2" xfId="23398" xr:uid="{53A80245-C064-4B09-99CA-81624E2BB0D7}"/>
    <cellStyle name="Normal 8 2 2 2 2 2 5 3 3" xfId="14950" xr:uid="{BCBC4651-894B-414D-B1BD-BE826FF295C1}"/>
    <cellStyle name="Normal 8 2 2 2 2 2 5 4" xfId="19180" xr:uid="{72E5ABEE-8C56-409D-9869-B383899C3A15}"/>
    <cellStyle name="Normal 8 2 2 2 2 2 5 5" xfId="10732" xr:uid="{461FA312-7931-4024-BE8D-B52BFF5BADC5}"/>
    <cellStyle name="Normal 8 2 2 2 2 2 6" xfId="2630" xr:uid="{00000000-0005-0000-0000-0000081C0000}"/>
    <cellStyle name="Normal 8 2 2 2 2 2 6 2" xfId="6913" xr:uid="{00000000-0005-0000-0000-0000091C0000}"/>
    <cellStyle name="Normal 8 2 2 2 2 2 6 2 2" xfId="23811" xr:uid="{11D376E2-F177-4103-9A03-369CB6EFE673}"/>
    <cellStyle name="Normal 8 2 2 2 2 2 6 2 3" xfId="15363" xr:uid="{A25671A2-A45D-4A66-A5A1-91256117C8B3}"/>
    <cellStyle name="Normal 8 2 2 2 2 2 6 3" xfId="19593" xr:uid="{F716D4A3-19FE-4C33-997A-C48E8E6F0E12}"/>
    <cellStyle name="Normal 8 2 2 2 2 2 6 4" xfId="11145" xr:uid="{CA0A01B4-ADC9-42C1-8649-9164D48AA356}"/>
    <cellStyle name="Normal 8 2 2 2 2 2 7" xfId="4848" xr:uid="{00000000-0005-0000-0000-00000A1C0000}"/>
    <cellStyle name="Normal 8 2 2 2 2 2 7 2" xfId="21746" xr:uid="{C683DD5B-9B19-4683-9BD2-17A6C9618581}"/>
    <cellStyle name="Normal 8 2 2 2 2 2 7 3" xfId="13298" xr:uid="{93E68C3E-5968-4205-A893-F10C733D8AFB}"/>
    <cellStyle name="Normal 8 2 2 2 2 2 8" xfId="17528" xr:uid="{FAEDC74C-5795-48CF-891C-F0949E7DEEF3}"/>
    <cellStyle name="Normal 8 2 2 2 2 2 9" xfId="9080" xr:uid="{01C2695E-4DA9-4954-8A93-C9C959184A88}"/>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24303" xr:uid="{5D3EBB1C-F3E0-43C5-8692-D073CF43999A}"/>
    <cellStyle name="Normal 8 2 2 2 2 3 2 2 3" xfId="15855" xr:uid="{ADB76CBC-2FAD-48CA-B7B5-04BAE61F2D2B}"/>
    <cellStyle name="Normal 8 2 2 2 2 3 2 3" xfId="20085" xr:uid="{B97A79FB-8B81-413D-A337-0CDDEC862C89}"/>
    <cellStyle name="Normal 8 2 2 2 2 3 2 4" xfId="11637" xr:uid="{0049196E-B797-462C-8F1C-2B4471488259}"/>
    <cellStyle name="Normal 8 2 2 2 2 3 3" xfId="5260" xr:uid="{00000000-0005-0000-0000-00000E1C0000}"/>
    <cellStyle name="Normal 8 2 2 2 2 3 3 2" xfId="22158" xr:uid="{D4F59F96-8A96-4F7C-BB71-622015EB9499}"/>
    <cellStyle name="Normal 8 2 2 2 2 3 3 3" xfId="13710" xr:uid="{58617B61-E9F8-4B46-8D8E-CDD4BA42D587}"/>
    <cellStyle name="Normal 8 2 2 2 2 3 4" xfId="17940" xr:uid="{DC02A2A6-81A0-4578-9AF8-FD037D0101A9}"/>
    <cellStyle name="Normal 8 2 2 2 2 3 5" xfId="9492" xr:uid="{21F219E6-0068-4AA6-8ECF-DAEC6E7DF86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24716" xr:uid="{000E1BA3-8BBA-4DBF-B4F0-C7546AD20E9D}"/>
    <cellStyle name="Normal 8 2 2 2 2 4 2 2 3" xfId="16268" xr:uid="{CC4BAC13-012E-4B1A-B1D5-C2DF9DC42673}"/>
    <cellStyle name="Normal 8 2 2 2 2 4 2 3" xfId="20498" xr:uid="{81095047-D048-4317-8CFA-C4B3F30CEAC3}"/>
    <cellStyle name="Normal 8 2 2 2 2 4 2 4" xfId="12050" xr:uid="{B59B2824-59A8-45C5-B2F9-17B51B6537FB}"/>
    <cellStyle name="Normal 8 2 2 2 2 4 3" xfId="5673" xr:uid="{00000000-0005-0000-0000-0000121C0000}"/>
    <cellStyle name="Normal 8 2 2 2 2 4 3 2" xfId="22571" xr:uid="{DBE852D7-C950-42E5-9820-5E556F555221}"/>
    <cellStyle name="Normal 8 2 2 2 2 4 3 3" xfId="14123" xr:uid="{981EE6A7-702F-4B3A-9694-4BC6B0087B02}"/>
    <cellStyle name="Normal 8 2 2 2 2 4 4" xfId="18353" xr:uid="{B02FB700-A157-4E0C-888B-81F4C4C6B243}"/>
    <cellStyle name="Normal 8 2 2 2 2 4 5" xfId="9905" xr:uid="{94E63871-BCCD-4063-AF0B-BCAEE18AF95F}"/>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25129" xr:uid="{D7FBB6C9-AEC2-4C26-A82C-C30405F5AA72}"/>
    <cellStyle name="Normal 8 2 2 2 2 5 2 2 3" xfId="16681" xr:uid="{4599B3EB-FE6B-40C9-9DB2-CDE5E64FD072}"/>
    <cellStyle name="Normal 8 2 2 2 2 5 2 3" xfId="20911" xr:uid="{39ADCA11-0218-4601-B6EB-EA6EEE5D1198}"/>
    <cellStyle name="Normal 8 2 2 2 2 5 2 4" xfId="12463" xr:uid="{AF1B7DC2-7746-4AB8-A36C-E80A6CBF26D6}"/>
    <cellStyle name="Normal 8 2 2 2 2 5 3" xfId="6086" xr:uid="{00000000-0005-0000-0000-0000161C0000}"/>
    <cellStyle name="Normal 8 2 2 2 2 5 3 2" xfId="22984" xr:uid="{4E5C1454-8E35-444B-82DC-39351661CBC6}"/>
    <cellStyle name="Normal 8 2 2 2 2 5 3 3" xfId="14536" xr:uid="{79BF6C7C-B6AC-40B6-A0DC-C46A34DE7719}"/>
    <cellStyle name="Normal 8 2 2 2 2 5 4" xfId="18766" xr:uid="{0CBC5D6B-D4AC-4802-9C17-81428A732651}"/>
    <cellStyle name="Normal 8 2 2 2 2 5 5" xfId="10318" xr:uid="{5FD85B39-5770-40A7-A1D6-17E8730544F9}"/>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25542" xr:uid="{CCA29E81-DFD5-4722-90B3-21F5407AA506}"/>
    <cellStyle name="Normal 8 2 2 2 2 6 2 2 3" xfId="17094" xr:uid="{D585ED0D-4832-4C0E-8A58-38543096AB55}"/>
    <cellStyle name="Normal 8 2 2 2 2 6 2 3" xfId="21324" xr:uid="{C46FA762-B93B-4FFF-8F50-FC4CAD80A1D1}"/>
    <cellStyle name="Normal 8 2 2 2 2 6 2 4" xfId="12876" xr:uid="{53CA02A1-4F97-439F-8ABB-B66777057023}"/>
    <cellStyle name="Normal 8 2 2 2 2 6 3" xfId="6499" xr:uid="{00000000-0005-0000-0000-00001A1C0000}"/>
    <cellStyle name="Normal 8 2 2 2 2 6 3 2" xfId="23397" xr:uid="{6329F4B0-A6A3-4536-A5EE-50882A5723DC}"/>
    <cellStyle name="Normal 8 2 2 2 2 6 3 3" xfId="14949" xr:uid="{BC676796-6B4D-4926-9C70-FDAAE95070A3}"/>
    <cellStyle name="Normal 8 2 2 2 2 6 4" xfId="19179" xr:uid="{597AF421-455A-41A7-9F5D-950ED47F139E}"/>
    <cellStyle name="Normal 8 2 2 2 2 6 5" xfId="10731" xr:uid="{37109D71-ADEA-4F0C-BA84-9D02C5B0156F}"/>
    <cellStyle name="Normal 8 2 2 2 2 7" xfId="2629" xr:uid="{00000000-0005-0000-0000-00001B1C0000}"/>
    <cellStyle name="Normal 8 2 2 2 2 7 2" xfId="6912" xr:uid="{00000000-0005-0000-0000-00001C1C0000}"/>
    <cellStyle name="Normal 8 2 2 2 2 7 2 2" xfId="23810" xr:uid="{4389BB5B-A915-472B-ACCD-BEC123793D11}"/>
    <cellStyle name="Normal 8 2 2 2 2 7 2 3" xfId="15362" xr:uid="{AF9D9D2E-6057-4E30-B107-2F6DCC01BA57}"/>
    <cellStyle name="Normal 8 2 2 2 2 7 3" xfId="19592" xr:uid="{5A24FF8C-0445-4D78-9283-7CDE54272B1C}"/>
    <cellStyle name="Normal 8 2 2 2 2 7 4" xfId="11144" xr:uid="{79B8E3DB-1B20-4626-940C-23BCC32DB436}"/>
    <cellStyle name="Normal 8 2 2 2 2 8" xfId="4847" xr:uid="{00000000-0005-0000-0000-00001D1C0000}"/>
    <cellStyle name="Normal 8 2 2 2 2 8 2" xfId="21745" xr:uid="{2F98DA60-D7A0-448A-BBF3-92C2F514AB76}"/>
    <cellStyle name="Normal 8 2 2 2 2 8 3" xfId="13297" xr:uid="{9BFFB30F-0FF1-4E4C-AA6B-19DAC348D452}"/>
    <cellStyle name="Normal 8 2 2 2 2 9" xfId="17527" xr:uid="{5E0F1F60-3F6F-404E-A07F-8FF4E2AD8593}"/>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24305" xr:uid="{2DA1A850-811B-4F29-B74B-B4EEA4881176}"/>
    <cellStyle name="Normal 8 2 2 2 3 2 2 2 3" xfId="15857" xr:uid="{05C0745C-B44E-4294-8EAC-2DC016BF3F2D}"/>
    <cellStyle name="Normal 8 2 2 2 3 2 2 3" xfId="20087" xr:uid="{ADC2738D-EE92-47C0-A856-ABD81349D904}"/>
    <cellStyle name="Normal 8 2 2 2 3 2 2 4" xfId="11639" xr:uid="{DE89B4C8-55FD-4846-A197-A7F0368C44EB}"/>
    <cellStyle name="Normal 8 2 2 2 3 2 3" xfId="5262" xr:uid="{00000000-0005-0000-0000-0000221C0000}"/>
    <cellStyle name="Normal 8 2 2 2 3 2 3 2" xfId="22160" xr:uid="{0D6AFE7D-307B-4754-B34F-38422B66EE96}"/>
    <cellStyle name="Normal 8 2 2 2 3 2 3 3" xfId="13712" xr:uid="{98BA266C-C131-4379-BB16-406CEA1DA03B}"/>
    <cellStyle name="Normal 8 2 2 2 3 2 4" xfId="17942" xr:uid="{B7B9E2CB-B72C-4585-B60B-983050399191}"/>
    <cellStyle name="Normal 8 2 2 2 3 2 5" xfId="9494" xr:uid="{EA146049-5775-4240-86E1-8DC5CC948DE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24718" xr:uid="{C35DF438-9FB5-45B9-8428-DBA04D63EB54}"/>
    <cellStyle name="Normal 8 2 2 2 3 3 2 2 3" xfId="16270" xr:uid="{FFE74C33-579D-41BE-BC12-6010A6D6CDA8}"/>
    <cellStyle name="Normal 8 2 2 2 3 3 2 3" xfId="20500" xr:uid="{95796B4D-4655-49F2-B2D9-CB525D1CB793}"/>
    <cellStyle name="Normal 8 2 2 2 3 3 2 4" xfId="12052" xr:uid="{811F3642-DADA-4D71-B6DB-4DEFA5E05534}"/>
    <cellStyle name="Normal 8 2 2 2 3 3 3" xfId="5675" xr:uid="{00000000-0005-0000-0000-0000261C0000}"/>
    <cellStyle name="Normal 8 2 2 2 3 3 3 2" xfId="22573" xr:uid="{C654A1F2-9DFF-4538-BDC4-31306BED77B2}"/>
    <cellStyle name="Normal 8 2 2 2 3 3 3 3" xfId="14125" xr:uid="{FE709D35-444E-4D61-B59A-132262DA750A}"/>
    <cellStyle name="Normal 8 2 2 2 3 3 4" xfId="18355" xr:uid="{5E37A7E1-1663-456D-873B-EB07B71E4B03}"/>
    <cellStyle name="Normal 8 2 2 2 3 3 5" xfId="9907" xr:uid="{8E76676D-41A5-4890-A4CC-7204A502C911}"/>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25131" xr:uid="{80C0E092-446A-45B8-92C3-75E8EAABC1C4}"/>
    <cellStyle name="Normal 8 2 2 2 3 4 2 2 3" xfId="16683" xr:uid="{478AD2E2-8F72-438A-92DB-B8E635BBF0D1}"/>
    <cellStyle name="Normal 8 2 2 2 3 4 2 3" xfId="20913" xr:uid="{A92A05A4-4391-4ED1-A170-74695363D7EB}"/>
    <cellStyle name="Normal 8 2 2 2 3 4 2 4" xfId="12465" xr:uid="{4A6646BB-4AEC-4C0B-970C-1EAA9F1C9386}"/>
    <cellStyle name="Normal 8 2 2 2 3 4 3" xfId="6088" xr:uid="{00000000-0005-0000-0000-00002A1C0000}"/>
    <cellStyle name="Normal 8 2 2 2 3 4 3 2" xfId="22986" xr:uid="{499E5042-8D9B-4034-AB72-98BAD5282CAD}"/>
    <cellStyle name="Normal 8 2 2 2 3 4 3 3" xfId="14538" xr:uid="{429B2A09-997E-4E51-8830-773EC6D84E9A}"/>
    <cellStyle name="Normal 8 2 2 2 3 4 4" xfId="18768" xr:uid="{B89B2CF3-FC15-4E4F-BFB2-67BD020AA112}"/>
    <cellStyle name="Normal 8 2 2 2 3 4 5" xfId="10320" xr:uid="{5024FC54-DD0D-4F84-86E2-8733E4B3A78A}"/>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25544" xr:uid="{EBCEEF49-8D6A-4B3B-9C38-733E35B2439C}"/>
    <cellStyle name="Normal 8 2 2 2 3 5 2 2 3" xfId="17096" xr:uid="{43AF5B1B-74F6-464B-B1F1-8F25147F0667}"/>
    <cellStyle name="Normal 8 2 2 2 3 5 2 3" xfId="21326" xr:uid="{9CB6E2DC-897C-46B9-91EF-2EA050A28F80}"/>
    <cellStyle name="Normal 8 2 2 2 3 5 2 4" xfId="12878" xr:uid="{A9F50928-A9FD-4C95-B381-1201D564C1CB}"/>
    <cellStyle name="Normal 8 2 2 2 3 5 3" xfId="6501" xr:uid="{00000000-0005-0000-0000-00002E1C0000}"/>
    <cellStyle name="Normal 8 2 2 2 3 5 3 2" xfId="23399" xr:uid="{74F85681-9227-4567-B2B9-FA6DD9326171}"/>
    <cellStyle name="Normal 8 2 2 2 3 5 3 3" xfId="14951" xr:uid="{2FD8A2BE-AE9E-45BA-8001-ED2914C7A299}"/>
    <cellStyle name="Normal 8 2 2 2 3 5 4" xfId="19181" xr:uid="{86A86FB5-4EFF-485B-B8FC-B4FCAD0E63FE}"/>
    <cellStyle name="Normal 8 2 2 2 3 5 5" xfId="10733" xr:uid="{75238A18-EC7D-4AB2-8D2D-F4ED6BD77209}"/>
    <cellStyle name="Normal 8 2 2 2 3 6" xfId="2631" xr:uid="{00000000-0005-0000-0000-00002F1C0000}"/>
    <cellStyle name="Normal 8 2 2 2 3 6 2" xfId="6914" xr:uid="{00000000-0005-0000-0000-0000301C0000}"/>
    <cellStyle name="Normal 8 2 2 2 3 6 2 2" xfId="23812" xr:uid="{E4E8C7DD-F481-4358-BB9D-368D218913CE}"/>
    <cellStyle name="Normal 8 2 2 2 3 6 2 3" xfId="15364" xr:uid="{4CCD2BBF-7C16-48FD-A7F3-45721B661F3E}"/>
    <cellStyle name="Normal 8 2 2 2 3 6 3" xfId="19594" xr:uid="{22ABEC5B-CEF1-4BC1-A999-4881797A581E}"/>
    <cellStyle name="Normal 8 2 2 2 3 6 4" xfId="11146" xr:uid="{2DF3872C-131F-47E2-AE4E-31CBA7D845B6}"/>
    <cellStyle name="Normal 8 2 2 2 3 7" xfId="4849" xr:uid="{00000000-0005-0000-0000-0000311C0000}"/>
    <cellStyle name="Normal 8 2 2 2 3 7 2" xfId="21747" xr:uid="{8125B82D-BB4E-42D1-A61F-CE5CA6E40CE7}"/>
    <cellStyle name="Normal 8 2 2 2 3 7 3" xfId="13299" xr:uid="{0BBCEC04-FAD7-4469-A8B3-A9AEABD43B2B}"/>
    <cellStyle name="Normal 8 2 2 2 3 8" xfId="17529" xr:uid="{43B29A9E-AE88-424C-98E8-E6F6D08366CE}"/>
    <cellStyle name="Normal 8 2 2 2 3 9" xfId="9081" xr:uid="{370650F9-E5A8-40ED-8F48-926ECDAB0684}"/>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24302" xr:uid="{9C620D1F-CA77-47BC-84ED-9351CFA85CBD}"/>
    <cellStyle name="Normal 8 2 2 2 4 2 2 3" xfId="15854" xr:uid="{916A7F3E-0BA4-4A02-8D33-030EDE36487F}"/>
    <cellStyle name="Normal 8 2 2 2 4 2 3" xfId="20084" xr:uid="{A21EF0DD-13A3-4017-8DDC-BA81E99009EF}"/>
    <cellStyle name="Normal 8 2 2 2 4 2 4" xfId="11636" xr:uid="{39A415B6-3A2D-444F-AB83-941090FBE24B}"/>
    <cellStyle name="Normal 8 2 2 2 4 3" xfId="5259" xr:uid="{00000000-0005-0000-0000-0000351C0000}"/>
    <cellStyle name="Normal 8 2 2 2 4 3 2" xfId="22157" xr:uid="{1F669FB7-7CC1-4A2D-BFD1-5A83F0F4E8DA}"/>
    <cellStyle name="Normal 8 2 2 2 4 3 3" xfId="13709" xr:uid="{977A8FD8-100D-4BAF-90C8-BF82EBFC6048}"/>
    <cellStyle name="Normal 8 2 2 2 4 4" xfId="17939" xr:uid="{1605C396-9083-4BE3-8247-0CC9ABBCBBBF}"/>
    <cellStyle name="Normal 8 2 2 2 4 5" xfId="9491" xr:uid="{069057CB-EC44-4709-A848-8F8015EC99CD}"/>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24715" xr:uid="{B560D294-9EC0-4D10-9B62-6F13DECB666D}"/>
    <cellStyle name="Normal 8 2 2 2 5 2 2 3" xfId="16267" xr:uid="{1A0DD0E7-6787-452E-9A3B-0FADB5D612F3}"/>
    <cellStyle name="Normal 8 2 2 2 5 2 3" xfId="20497" xr:uid="{98817345-4AE1-4B82-A52E-0EB35ACD88DE}"/>
    <cellStyle name="Normal 8 2 2 2 5 2 4" xfId="12049" xr:uid="{6EBE73CA-7606-431A-9792-A13B746A3AB8}"/>
    <cellStyle name="Normal 8 2 2 2 5 3" xfId="5672" xr:uid="{00000000-0005-0000-0000-0000391C0000}"/>
    <cellStyle name="Normal 8 2 2 2 5 3 2" xfId="22570" xr:uid="{2EADC0AF-C0D1-405A-8418-9C4557682987}"/>
    <cellStyle name="Normal 8 2 2 2 5 3 3" xfId="14122" xr:uid="{1917B8D7-8AFD-4B9C-9837-45860F8196CD}"/>
    <cellStyle name="Normal 8 2 2 2 5 4" xfId="18352" xr:uid="{61D14BEF-EB3D-46E8-9665-F221F53A3ABD}"/>
    <cellStyle name="Normal 8 2 2 2 5 5" xfId="9904" xr:uid="{28EDD4A8-5C84-427F-972E-9E428F735AED}"/>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25128" xr:uid="{BB3F7374-A77B-4DEB-B7DC-64D992F88118}"/>
    <cellStyle name="Normal 8 2 2 2 6 2 2 3" xfId="16680" xr:uid="{14C33311-A6BA-449C-9A25-7708F6A0408B}"/>
    <cellStyle name="Normal 8 2 2 2 6 2 3" xfId="20910" xr:uid="{045DEFDC-1373-4E88-B927-5D812BEE7DDC}"/>
    <cellStyle name="Normal 8 2 2 2 6 2 4" xfId="12462" xr:uid="{5B2D2777-AA81-40BD-A6F7-5CCA67A71D97}"/>
    <cellStyle name="Normal 8 2 2 2 6 3" xfId="6085" xr:uid="{00000000-0005-0000-0000-00003D1C0000}"/>
    <cellStyle name="Normal 8 2 2 2 6 3 2" xfId="22983" xr:uid="{CBC11BDA-A64D-4D2F-B2EE-5724255948C0}"/>
    <cellStyle name="Normal 8 2 2 2 6 3 3" xfId="14535" xr:uid="{78D813AF-BF79-471D-9294-922330D8282F}"/>
    <cellStyle name="Normal 8 2 2 2 6 4" xfId="18765" xr:uid="{71D77D53-B815-4203-B696-C6F64641A802}"/>
    <cellStyle name="Normal 8 2 2 2 6 5" xfId="10317" xr:uid="{310246D3-A437-486C-8E47-F7C54938B211}"/>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25541" xr:uid="{C2E891A4-C7B9-4BAF-AE45-3FF77B443AFB}"/>
    <cellStyle name="Normal 8 2 2 2 7 2 2 3" xfId="17093" xr:uid="{D41C3A5B-0D24-413A-BC0B-2EE787E1BBDC}"/>
    <cellStyle name="Normal 8 2 2 2 7 2 3" xfId="21323" xr:uid="{BC9C1C0A-23D4-472E-A0F4-BA9BE90DF64C}"/>
    <cellStyle name="Normal 8 2 2 2 7 2 4" xfId="12875" xr:uid="{EA0A37DB-9F93-4273-8F05-35625D3E795E}"/>
    <cellStyle name="Normal 8 2 2 2 7 3" xfId="6498" xr:uid="{00000000-0005-0000-0000-0000411C0000}"/>
    <cellStyle name="Normal 8 2 2 2 7 3 2" xfId="23396" xr:uid="{3077787A-704A-4F24-9286-BD30FDC6E74E}"/>
    <cellStyle name="Normal 8 2 2 2 7 3 3" xfId="14948" xr:uid="{D2B7032B-C11F-4C64-9004-A26C44D47820}"/>
    <cellStyle name="Normal 8 2 2 2 7 4" xfId="19178" xr:uid="{2E7630AF-047C-43B5-B93B-6272BEC6C4A7}"/>
    <cellStyle name="Normal 8 2 2 2 7 5" xfId="10730" xr:uid="{EDEBC8E2-0C3D-4B7E-8B8C-F7FF7230E981}"/>
    <cellStyle name="Normal 8 2 2 2 8" xfId="2628" xr:uid="{00000000-0005-0000-0000-0000421C0000}"/>
    <cellStyle name="Normal 8 2 2 2 8 2" xfId="6911" xr:uid="{00000000-0005-0000-0000-0000431C0000}"/>
    <cellStyle name="Normal 8 2 2 2 8 2 2" xfId="23809" xr:uid="{3B72C1C6-9942-4DA9-BE1A-79EE3268E635}"/>
    <cellStyle name="Normal 8 2 2 2 8 2 3" xfId="15361" xr:uid="{5C5CBAA8-3E26-4621-BC14-A1AA8B45C432}"/>
    <cellStyle name="Normal 8 2 2 2 8 3" xfId="19591" xr:uid="{BE17396F-583E-43A5-AEA6-9F242FBD8E16}"/>
    <cellStyle name="Normal 8 2 2 2 8 4" xfId="11143" xr:uid="{EF8CCE45-807B-49DF-AAA4-DA0C7E8436BB}"/>
    <cellStyle name="Normal 8 2 2 2 9" xfId="4846" xr:uid="{00000000-0005-0000-0000-0000441C0000}"/>
    <cellStyle name="Normal 8 2 2 2 9 2" xfId="21744" xr:uid="{87D6B6D0-57AA-4DA5-969F-34DB285DECCC}"/>
    <cellStyle name="Normal 8 2 2 2 9 3" xfId="13296" xr:uid="{605F886D-D3FE-4CA8-AE3F-CC33F97CE003}"/>
    <cellStyle name="Normal 8 2 2 3" xfId="485" xr:uid="{00000000-0005-0000-0000-0000451C0000}"/>
    <cellStyle name="Normal 8 2 2 3 10" xfId="9082" xr:uid="{46915788-AC79-4D81-82FE-E843109D17CA}"/>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24307" xr:uid="{B0F683A9-7B76-4B52-8D84-343362D1A2DD}"/>
    <cellStyle name="Normal 8 2 2 3 2 2 2 2 3" xfId="15859" xr:uid="{968988A2-6B37-4C29-841F-2D0F334BD197}"/>
    <cellStyle name="Normal 8 2 2 3 2 2 2 3" xfId="20089" xr:uid="{B0086CC1-7F71-47F3-889E-CC45794E8D49}"/>
    <cellStyle name="Normal 8 2 2 3 2 2 2 4" xfId="11641" xr:uid="{318F5716-E519-4D22-98E3-9E6576598725}"/>
    <cellStyle name="Normal 8 2 2 3 2 2 3" xfId="5264" xr:uid="{00000000-0005-0000-0000-00004A1C0000}"/>
    <cellStyle name="Normal 8 2 2 3 2 2 3 2" xfId="22162" xr:uid="{4FD63225-9ECD-45D2-A5D7-1DCB9CD37662}"/>
    <cellStyle name="Normal 8 2 2 3 2 2 3 3" xfId="13714" xr:uid="{CCB9ED38-75E8-472C-BE55-ED42636B9123}"/>
    <cellStyle name="Normal 8 2 2 3 2 2 4" xfId="17944" xr:uid="{A2E76C66-E090-46D2-A84E-BCE5CFC55C3A}"/>
    <cellStyle name="Normal 8 2 2 3 2 2 5" xfId="9496" xr:uid="{281257C4-6444-4B79-97D6-D6A8325F7DF5}"/>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24720" xr:uid="{C0C0994E-A889-49BF-839F-C638B25A6C20}"/>
    <cellStyle name="Normal 8 2 2 3 2 3 2 2 3" xfId="16272" xr:uid="{C5512024-E021-403B-9C79-5FCD823DC7BC}"/>
    <cellStyle name="Normal 8 2 2 3 2 3 2 3" xfId="20502" xr:uid="{FC1118D8-10E6-4BE2-B2C3-B75EE4271686}"/>
    <cellStyle name="Normal 8 2 2 3 2 3 2 4" xfId="12054" xr:uid="{ECAEA426-142A-4B6B-97CE-847F9C31D925}"/>
    <cellStyle name="Normal 8 2 2 3 2 3 3" xfId="5677" xr:uid="{00000000-0005-0000-0000-00004E1C0000}"/>
    <cellStyle name="Normal 8 2 2 3 2 3 3 2" xfId="22575" xr:uid="{157C0F0E-D5BA-436F-8D37-212EAE3C2352}"/>
    <cellStyle name="Normal 8 2 2 3 2 3 3 3" xfId="14127" xr:uid="{4F36372C-60C5-4955-BA29-9711A0EA721D}"/>
    <cellStyle name="Normal 8 2 2 3 2 3 4" xfId="18357" xr:uid="{1AB6ADD4-3415-4E03-8124-7328F6809A28}"/>
    <cellStyle name="Normal 8 2 2 3 2 3 5" xfId="9909" xr:uid="{0D6A6AD4-47EB-4DAD-BC47-D45B27598FAE}"/>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25133" xr:uid="{7701165B-4436-47CC-86E4-0A30D969E951}"/>
    <cellStyle name="Normal 8 2 2 3 2 4 2 2 3" xfId="16685" xr:uid="{7AD42941-6B12-4C53-BC7A-CCBA5C311514}"/>
    <cellStyle name="Normal 8 2 2 3 2 4 2 3" xfId="20915" xr:uid="{AF024EDC-9790-43CD-92AD-9024F9362A48}"/>
    <cellStyle name="Normal 8 2 2 3 2 4 2 4" xfId="12467" xr:uid="{A6F40B63-2D43-456D-A69A-62AB90828082}"/>
    <cellStyle name="Normal 8 2 2 3 2 4 3" xfId="6090" xr:uid="{00000000-0005-0000-0000-0000521C0000}"/>
    <cellStyle name="Normal 8 2 2 3 2 4 3 2" xfId="22988" xr:uid="{AFC97925-BC01-4403-90FB-F5CAC19DD708}"/>
    <cellStyle name="Normal 8 2 2 3 2 4 3 3" xfId="14540" xr:uid="{D7E50BD0-DD05-4C31-B1E0-A693498EECC5}"/>
    <cellStyle name="Normal 8 2 2 3 2 4 4" xfId="18770" xr:uid="{6A59C1DE-6145-4D63-9735-3278FEB93B89}"/>
    <cellStyle name="Normal 8 2 2 3 2 4 5" xfId="10322" xr:uid="{AB2C6584-EA0A-4622-B370-2CB016F0C637}"/>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25546" xr:uid="{B29E2467-E607-48D5-920C-C04CDC23B6D5}"/>
    <cellStyle name="Normal 8 2 2 3 2 5 2 2 3" xfId="17098" xr:uid="{784091B7-7E94-42C4-8C8A-AC77BC729C0C}"/>
    <cellStyle name="Normal 8 2 2 3 2 5 2 3" xfId="21328" xr:uid="{67837671-1968-4E0B-BBD4-DF6DD58DD611}"/>
    <cellStyle name="Normal 8 2 2 3 2 5 2 4" xfId="12880" xr:uid="{D08ED37F-8394-4F66-BB32-2E3D08B1E445}"/>
    <cellStyle name="Normal 8 2 2 3 2 5 3" xfId="6503" xr:uid="{00000000-0005-0000-0000-0000561C0000}"/>
    <cellStyle name="Normal 8 2 2 3 2 5 3 2" xfId="23401" xr:uid="{3DB22CE2-EDE9-4604-9AE5-8201E1E5D3FF}"/>
    <cellStyle name="Normal 8 2 2 3 2 5 3 3" xfId="14953" xr:uid="{FAE6135D-79F6-4B54-BA34-BE1D4633B14D}"/>
    <cellStyle name="Normal 8 2 2 3 2 5 4" xfId="19183" xr:uid="{6BC5C27D-F5AB-4E12-8B3B-B0AC0EE8743D}"/>
    <cellStyle name="Normal 8 2 2 3 2 5 5" xfId="10735" xr:uid="{64CFFB1C-21EF-4BC7-807F-556760B99BB3}"/>
    <cellStyle name="Normal 8 2 2 3 2 6" xfId="2633" xr:uid="{00000000-0005-0000-0000-0000571C0000}"/>
    <cellStyle name="Normal 8 2 2 3 2 6 2" xfId="6916" xr:uid="{00000000-0005-0000-0000-0000581C0000}"/>
    <cellStyle name="Normal 8 2 2 3 2 6 2 2" xfId="23814" xr:uid="{BFC3BAED-F75C-493C-8B66-2BBA5CD6DC32}"/>
    <cellStyle name="Normal 8 2 2 3 2 6 2 3" xfId="15366" xr:uid="{7CC11B5E-0317-4016-8A78-925E4B370063}"/>
    <cellStyle name="Normal 8 2 2 3 2 6 3" xfId="19596" xr:uid="{485B258B-5494-4386-B6C8-188253E6784D}"/>
    <cellStyle name="Normal 8 2 2 3 2 6 4" xfId="11148" xr:uid="{5DDD5A18-85F6-4B2A-898C-382055E63E1A}"/>
    <cellStyle name="Normal 8 2 2 3 2 7" xfId="4851" xr:uid="{00000000-0005-0000-0000-0000591C0000}"/>
    <cellStyle name="Normal 8 2 2 3 2 7 2" xfId="21749" xr:uid="{83EB8F71-F913-46AF-B6CD-AD9EE76EB778}"/>
    <cellStyle name="Normal 8 2 2 3 2 7 3" xfId="13301" xr:uid="{1C9F605D-2C3F-46FA-A189-90BFEA8C3906}"/>
    <cellStyle name="Normal 8 2 2 3 2 8" xfId="17531" xr:uid="{58FDF5E1-EE6A-4F00-87BF-C2F762464829}"/>
    <cellStyle name="Normal 8 2 2 3 2 9" xfId="9083" xr:uid="{983FF5FD-90FB-4239-ABED-9106D0253A2F}"/>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24306" xr:uid="{7FBFB168-5785-49D6-808E-EAB10E5C0181}"/>
    <cellStyle name="Normal 8 2 2 3 3 2 2 3" xfId="15858" xr:uid="{CD2868A2-A01C-43C7-B1DB-F16377E5613B}"/>
    <cellStyle name="Normal 8 2 2 3 3 2 3" xfId="20088" xr:uid="{C59E6358-766C-45D4-AE95-1B21DB0CE5A9}"/>
    <cellStyle name="Normal 8 2 2 3 3 2 4" xfId="11640" xr:uid="{19A34B58-4175-4E9F-A701-4A377319817F}"/>
    <cellStyle name="Normal 8 2 2 3 3 3" xfId="5263" xr:uid="{00000000-0005-0000-0000-00005D1C0000}"/>
    <cellStyle name="Normal 8 2 2 3 3 3 2" xfId="22161" xr:uid="{566C236B-EBB5-4E5F-BC73-8D10F3E572C8}"/>
    <cellStyle name="Normal 8 2 2 3 3 3 3" xfId="13713" xr:uid="{083F650D-333F-4727-9272-F4D35BCEAF3E}"/>
    <cellStyle name="Normal 8 2 2 3 3 4" xfId="17943" xr:uid="{17E2D460-D083-45F0-A540-FF95AE4750A9}"/>
    <cellStyle name="Normal 8 2 2 3 3 5" xfId="9495" xr:uid="{8F01EF68-DCA4-4C0A-B264-003C6E75BDA0}"/>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24719" xr:uid="{59E542E1-B5B5-4721-88B6-AC33888D3E91}"/>
    <cellStyle name="Normal 8 2 2 3 4 2 2 3" xfId="16271" xr:uid="{97785398-9777-4EFF-8953-5D8D3179388F}"/>
    <cellStyle name="Normal 8 2 2 3 4 2 3" xfId="20501" xr:uid="{B7ACD966-831E-46EF-9BB2-ACAE242246D3}"/>
    <cellStyle name="Normal 8 2 2 3 4 2 4" xfId="12053" xr:uid="{FA315FDD-DAAC-443E-A777-F8B84DCA89F9}"/>
    <cellStyle name="Normal 8 2 2 3 4 3" xfId="5676" xr:uid="{00000000-0005-0000-0000-0000611C0000}"/>
    <cellStyle name="Normal 8 2 2 3 4 3 2" xfId="22574" xr:uid="{71DD8C89-463B-48C1-8BDF-DCB7FC79F88E}"/>
    <cellStyle name="Normal 8 2 2 3 4 3 3" xfId="14126" xr:uid="{9638E47F-CAAA-4F6C-A4B5-46196652BF64}"/>
    <cellStyle name="Normal 8 2 2 3 4 4" xfId="18356" xr:uid="{331E659D-8404-42EB-9F20-ADF6490CE5A2}"/>
    <cellStyle name="Normal 8 2 2 3 4 5" xfId="9908" xr:uid="{565BC2AD-6F05-417C-B518-214327693174}"/>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25132" xr:uid="{EE21A663-A814-44E5-9256-60F1930F4FC0}"/>
    <cellStyle name="Normal 8 2 2 3 5 2 2 3" xfId="16684" xr:uid="{565D34C1-1A9A-4EC8-8514-27B5F919C7DD}"/>
    <cellStyle name="Normal 8 2 2 3 5 2 3" xfId="20914" xr:uid="{FBEE5337-13B6-4467-848F-2715035B8C23}"/>
    <cellStyle name="Normal 8 2 2 3 5 2 4" xfId="12466" xr:uid="{4A965113-6D41-465B-95B6-DCBDB2F9120F}"/>
    <cellStyle name="Normal 8 2 2 3 5 3" xfId="6089" xr:uid="{00000000-0005-0000-0000-0000651C0000}"/>
    <cellStyle name="Normal 8 2 2 3 5 3 2" xfId="22987" xr:uid="{76F003E9-CE48-4D6A-BCCC-A94BC429C7AA}"/>
    <cellStyle name="Normal 8 2 2 3 5 3 3" xfId="14539" xr:uid="{D5D01778-58C1-424C-8C9B-D85A4F914B02}"/>
    <cellStyle name="Normal 8 2 2 3 5 4" xfId="18769" xr:uid="{0FD31B9E-8E4F-4750-A10A-E67C497A4E04}"/>
    <cellStyle name="Normal 8 2 2 3 5 5" xfId="10321" xr:uid="{997949A8-8EC6-47CA-9BBE-0BF3F585320F}"/>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25545" xr:uid="{906A99A9-C41B-4EEA-95D1-B632305F2518}"/>
    <cellStyle name="Normal 8 2 2 3 6 2 2 3" xfId="17097" xr:uid="{A48E15BE-900A-4186-8239-39AC8B74E707}"/>
    <cellStyle name="Normal 8 2 2 3 6 2 3" xfId="21327" xr:uid="{C8B027A7-9DD4-4146-BDC9-BF8FA0204FC4}"/>
    <cellStyle name="Normal 8 2 2 3 6 2 4" xfId="12879" xr:uid="{19BF23DC-7189-4C27-9D77-80F888FB17AE}"/>
    <cellStyle name="Normal 8 2 2 3 6 3" xfId="6502" xr:uid="{00000000-0005-0000-0000-0000691C0000}"/>
    <cellStyle name="Normal 8 2 2 3 6 3 2" xfId="23400" xr:uid="{DE0D0463-FF37-4F5D-9005-A0048EF8883A}"/>
    <cellStyle name="Normal 8 2 2 3 6 3 3" xfId="14952" xr:uid="{4E3DFACD-7C8D-4724-BB48-D91DA4962CBF}"/>
    <cellStyle name="Normal 8 2 2 3 6 4" xfId="19182" xr:uid="{54C2C315-11BE-47F4-8F77-07E80617E26C}"/>
    <cellStyle name="Normal 8 2 2 3 6 5" xfId="10734" xr:uid="{6B2F6DE5-4847-45E1-8740-78561B6E46AD}"/>
    <cellStyle name="Normal 8 2 2 3 7" xfId="2632" xr:uid="{00000000-0005-0000-0000-00006A1C0000}"/>
    <cellStyle name="Normal 8 2 2 3 7 2" xfId="6915" xr:uid="{00000000-0005-0000-0000-00006B1C0000}"/>
    <cellStyle name="Normal 8 2 2 3 7 2 2" xfId="23813" xr:uid="{5882D447-E89E-4DB7-94A2-7B0438D04865}"/>
    <cellStyle name="Normal 8 2 2 3 7 2 3" xfId="15365" xr:uid="{6B78B428-0457-4902-8B82-75FD9B5476BD}"/>
    <cellStyle name="Normal 8 2 2 3 7 3" xfId="19595" xr:uid="{BC5AB4C2-5B23-4AFA-902D-60D1A40FD7AC}"/>
    <cellStyle name="Normal 8 2 2 3 7 4" xfId="11147" xr:uid="{CA4D89DA-2228-4C4F-BED0-37228F1A1B14}"/>
    <cellStyle name="Normal 8 2 2 3 8" xfId="4850" xr:uid="{00000000-0005-0000-0000-00006C1C0000}"/>
    <cellStyle name="Normal 8 2 2 3 8 2" xfId="21748" xr:uid="{8377BA7D-2B1F-4CE3-84A3-DD0B29D5D235}"/>
    <cellStyle name="Normal 8 2 2 3 8 3" xfId="13300" xr:uid="{DEE8D317-68E5-4B1E-ADBD-EBB07A8D1343}"/>
    <cellStyle name="Normal 8 2 2 3 9" xfId="17530" xr:uid="{72F0C459-CCA9-4E04-93AE-68C2C52EB392}"/>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24308" xr:uid="{D0794295-8618-4E4D-A11E-390C4C08879D}"/>
    <cellStyle name="Normal 8 2 2 4 2 2 2 3" xfId="15860" xr:uid="{6BA79486-5861-4310-A35E-97D672610C23}"/>
    <cellStyle name="Normal 8 2 2 4 2 2 3" xfId="20090" xr:uid="{A1D3981C-717E-4088-808B-5B1C2955B04E}"/>
    <cellStyle name="Normal 8 2 2 4 2 2 4" xfId="11642" xr:uid="{1E619F91-ED9C-4309-BEE9-340F23BD54A9}"/>
    <cellStyle name="Normal 8 2 2 4 2 3" xfId="5265" xr:uid="{00000000-0005-0000-0000-0000711C0000}"/>
    <cellStyle name="Normal 8 2 2 4 2 3 2" xfId="22163" xr:uid="{35A3D6C2-BBC0-4A7F-B61B-607FE4873DEC}"/>
    <cellStyle name="Normal 8 2 2 4 2 3 3" xfId="13715" xr:uid="{33D47302-F9E9-4B29-B407-76B513C2819A}"/>
    <cellStyle name="Normal 8 2 2 4 2 4" xfId="17945" xr:uid="{5444BEBB-CADB-488B-A047-CCC8A1D618B2}"/>
    <cellStyle name="Normal 8 2 2 4 2 5" xfId="9497" xr:uid="{09FCE149-0A86-4418-9F43-4B41EAAECA21}"/>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24721" xr:uid="{DDAE6541-5BE0-405B-A2F3-B0B803470AED}"/>
    <cellStyle name="Normal 8 2 2 4 3 2 2 3" xfId="16273" xr:uid="{0E8DE76A-EA35-42D2-857E-F87D9F32250D}"/>
    <cellStyle name="Normal 8 2 2 4 3 2 3" xfId="20503" xr:uid="{B65227BC-BAA9-463B-8952-D1C8CC6825CA}"/>
    <cellStyle name="Normal 8 2 2 4 3 2 4" xfId="12055" xr:uid="{3943E678-3807-4901-8D97-CF56FA23E03A}"/>
    <cellStyle name="Normal 8 2 2 4 3 3" xfId="5678" xr:uid="{00000000-0005-0000-0000-0000751C0000}"/>
    <cellStyle name="Normal 8 2 2 4 3 3 2" xfId="22576" xr:uid="{74332B9B-9DAF-4283-9AA5-BB83003279B9}"/>
    <cellStyle name="Normal 8 2 2 4 3 3 3" xfId="14128" xr:uid="{6981203F-BA91-4D18-A15A-B681210D947D}"/>
    <cellStyle name="Normal 8 2 2 4 3 4" xfId="18358" xr:uid="{20B37790-CCD2-4714-9361-64D66DD62FB6}"/>
    <cellStyle name="Normal 8 2 2 4 3 5" xfId="9910" xr:uid="{2AB5BDB5-68A8-4C10-B937-5B09DF72E204}"/>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25134" xr:uid="{FF42FC51-221D-4B67-8360-45431526C960}"/>
    <cellStyle name="Normal 8 2 2 4 4 2 2 3" xfId="16686" xr:uid="{5D71261A-9528-420A-A22F-9B6853F8385F}"/>
    <cellStyle name="Normal 8 2 2 4 4 2 3" xfId="20916" xr:uid="{CA7922E1-22C0-406E-9F09-B78685621581}"/>
    <cellStyle name="Normal 8 2 2 4 4 2 4" xfId="12468" xr:uid="{63353798-E0C3-4A1B-92A1-5D09C157FBA3}"/>
    <cellStyle name="Normal 8 2 2 4 4 3" xfId="6091" xr:uid="{00000000-0005-0000-0000-0000791C0000}"/>
    <cellStyle name="Normal 8 2 2 4 4 3 2" xfId="22989" xr:uid="{7E0D076E-9C56-4298-B9FF-E58CB6901F52}"/>
    <cellStyle name="Normal 8 2 2 4 4 3 3" xfId="14541" xr:uid="{69F74BCB-7FF3-4D3E-AFC9-0F55A4A29DE1}"/>
    <cellStyle name="Normal 8 2 2 4 4 4" xfId="18771" xr:uid="{357B0EB3-ADCF-47BF-B867-97D2AC448793}"/>
    <cellStyle name="Normal 8 2 2 4 4 5" xfId="10323" xr:uid="{BF0AA785-8E20-466E-8DCD-87D4DB6FE1B7}"/>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25547" xr:uid="{27D7CAAC-99E1-4685-B35B-7A1100BD8442}"/>
    <cellStyle name="Normal 8 2 2 4 5 2 2 3" xfId="17099" xr:uid="{44B4655B-2E62-40CC-B0EF-EC653EEAC097}"/>
    <cellStyle name="Normal 8 2 2 4 5 2 3" xfId="21329" xr:uid="{51E7F377-17EA-43B1-86D6-3BF01F0FDF3B}"/>
    <cellStyle name="Normal 8 2 2 4 5 2 4" xfId="12881" xr:uid="{50BEE6AB-EA16-4FE9-A2C7-22EA833B0F94}"/>
    <cellStyle name="Normal 8 2 2 4 5 3" xfId="6504" xr:uid="{00000000-0005-0000-0000-00007D1C0000}"/>
    <cellStyle name="Normal 8 2 2 4 5 3 2" xfId="23402" xr:uid="{EAFB4223-307A-4013-8B04-CE62AD973AAA}"/>
    <cellStyle name="Normal 8 2 2 4 5 3 3" xfId="14954" xr:uid="{DA6E3F0A-4841-45E5-8D6F-E54896B181CA}"/>
    <cellStyle name="Normal 8 2 2 4 5 4" xfId="19184" xr:uid="{CFA1D458-917E-41C9-A790-AEA5FB14C472}"/>
    <cellStyle name="Normal 8 2 2 4 5 5" xfId="10736" xr:uid="{F96486FC-22A2-453C-89A7-114A32CBAAE8}"/>
    <cellStyle name="Normal 8 2 2 4 6" xfId="2634" xr:uid="{00000000-0005-0000-0000-00007E1C0000}"/>
    <cellStyle name="Normal 8 2 2 4 6 2" xfId="6917" xr:uid="{00000000-0005-0000-0000-00007F1C0000}"/>
    <cellStyle name="Normal 8 2 2 4 6 2 2" xfId="23815" xr:uid="{AE104F40-E981-4C7A-9278-6065C147232C}"/>
    <cellStyle name="Normal 8 2 2 4 6 2 3" xfId="15367" xr:uid="{2AF4101D-9FE9-41FB-8E43-BCDEED3FD62A}"/>
    <cellStyle name="Normal 8 2 2 4 6 3" xfId="19597" xr:uid="{29B8D4B8-AE65-427C-B4E6-1D91A587284D}"/>
    <cellStyle name="Normal 8 2 2 4 6 4" xfId="11149" xr:uid="{3ADEC78C-EDC5-4C90-92BE-AFB68BE46FC6}"/>
    <cellStyle name="Normal 8 2 2 4 7" xfId="4852" xr:uid="{00000000-0005-0000-0000-0000801C0000}"/>
    <cellStyle name="Normal 8 2 2 4 7 2" xfId="21750" xr:uid="{E272D614-62F0-4AEA-82CC-72C623239E95}"/>
    <cellStyle name="Normal 8 2 2 4 7 3" xfId="13302" xr:uid="{6C758346-CAD6-4275-B25F-8FACFF9153C9}"/>
    <cellStyle name="Normal 8 2 2 4 8" xfId="17532" xr:uid="{01CE4E23-3CD9-4DF4-B65C-7D2EEAF0481D}"/>
    <cellStyle name="Normal 8 2 2 4 9" xfId="9084" xr:uid="{D448EEC7-573D-48F6-9E47-78770AED6F54}"/>
    <cellStyle name="Normal 8 2 2 5" xfId="947" xr:uid="{00000000-0005-0000-0000-0000811C0000}"/>
    <cellStyle name="Normal 8 2 2 5 2" xfId="3181" xr:uid="{00000000-0005-0000-0000-0000821C0000}"/>
    <cellStyle name="Normal 8 2 2 5 2 2" xfId="7403" xr:uid="{00000000-0005-0000-0000-0000831C0000}"/>
    <cellStyle name="Normal 8 2 2 5 2 2 2" xfId="24301" xr:uid="{5045238F-B7F8-4ADA-B05E-124C7A7BEB20}"/>
    <cellStyle name="Normal 8 2 2 5 2 2 3" xfId="15853" xr:uid="{D21E8CBD-E5A0-49F5-9F8D-E5855A22BDC0}"/>
    <cellStyle name="Normal 8 2 2 5 2 3" xfId="20083" xr:uid="{5ED94C9D-5387-4BE4-8731-D2FD16909813}"/>
    <cellStyle name="Normal 8 2 2 5 2 4" xfId="11635" xr:uid="{B3C44A3C-4A73-47F5-BAC9-3E7F4BD2237F}"/>
    <cellStyle name="Normal 8 2 2 5 3" xfId="5258" xr:uid="{00000000-0005-0000-0000-0000841C0000}"/>
    <cellStyle name="Normal 8 2 2 5 3 2" xfId="22156" xr:uid="{A4747B76-2747-4E34-8177-DFA7F984AEB1}"/>
    <cellStyle name="Normal 8 2 2 5 3 3" xfId="13708" xr:uid="{4DF94597-29DE-4327-966D-D07750A22CD3}"/>
    <cellStyle name="Normal 8 2 2 5 4" xfId="17938" xr:uid="{5C5658FF-8EE7-43F8-86E7-B6A286871555}"/>
    <cellStyle name="Normal 8 2 2 5 5" xfId="9490" xr:uid="{FC154054-9AED-4E62-BF68-F3A0505EDCEB}"/>
    <cellStyle name="Normal 8 2 2 6" xfId="1364" xr:uid="{00000000-0005-0000-0000-0000851C0000}"/>
    <cellStyle name="Normal 8 2 2 6 2" xfId="3594" xr:uid="{00000000-0005-0000-0000-0000861C0000}"/>
    <cellStyle name="Normal 8 2 2 6 2 2" xfId="7816" xr:uid="{00000000-0005-0000-0000-0000871C0000}"/>
    <cellStyle name="Normal 8 2 2 6 2 2 2" xfId="24714" xr:uid="{C0D03CCC-CCFB-4E9D-9B33-73BEF09ABA91}"/>
    <cellStyle name="Normal 8 2 2 6 2 2 3" xfId="16266" xr:uid="{095429B5-E783-45BB-914D-1B8393844B26}"/>
    <cellStyle name="Normal 8 2 2 6 2 3" xfId="20496" xr:uid="{48BFE807-3183-450C-9DC3-7B89A3601620}"/>
    <cellStyle name="Normal 8 2 2 6 2 4" xfId="12048" xr:uid="{6767BA3F-57E6-4F44-98D2-31CB0DD96E2D}"/>
    <cellStyle name="Normal 8 2 2 6 3" xfId="5671" xr:uid="{00000000-0005-0000-0000-0000881C0000}"/>
    <cellStyle name="Normal 8 2 2 6 3 2" xfId="22569" xr:uid="{378D10F1-7F43-40A2-AA7B-4986D89ACA05}"/>
    <cellStyle name="Normal 8 2 2 6 3 3" xfId="14121" xr:uid="{B9FC7DE5-CCCF-4D34-AE93-AB561560C2EC}"/>
    <cellStyle name="Normal 8 2 2 6 4" xfId="18351" xr:uid="{704BA965-39DC-401C-87A7-3F2AA1507333}"/>
    <cellStyle name="Normal 8 2 2 6 5" xfId="9903" xr:uid="{09716986-9BD6-4DAB-BC66-C6A45B94415D}"/>
    <cellStyle name="Normal 8 2 2 7" xfId="1777" xr:uid="{00000000-0005-0000-0000-0000891C0000}"/>
    <cellStyle name="Normal 8 2 2 7 2" xfId="4007" xr:uid="{00000000-0005-0000-0000-00008A1C0000}"/>
    <cellStyle name="Normal 8 2 2 7 2 2" xfId="8229" xr:uid="{00000000-0005-0000-0000-00008B1C0000}"/>
    <cellStyle name="Normal 8 2 2 7 2 2 2" xfId="25127" xr:uid="{C53F58B8-D0DF-4079-96BD-34B7816DD8E3}"/>
    <cellStyle name="Normal 8 2 2 7 2 2 3" xfId="16679" xr:uid="{D664445C-70FF-49EC-8CD8-4409DAA52500}"/>
    <cellStyle name="Normal 8 2 2 7 2 3" xfId="20909" xr:uid="{548C0B12-52D9-4AD2-A0E9-92C4F85FF499}"/>
    <cellStyle name="Normal 8 2 2 7 2 4" xfId="12461" xr:uid="{ECCCF75E-28AE-4C78-B795-7F7D26709A8E}"/>
    <cellStyle name="Normal 8 2 2 7 3" xfId="6084" xr:uid="{00000000-0005-0000-0000-00008C1C0000}"/>
    <cellStyle name="Normal 8 2 2 7 3 2" xfId="22982" xr:uid="{E98D9654-172E-4BBB-8E3A-5EC6B0D6C31D}"/>
    <cellStyle name="Normal 8 2 2 7 3 3" xfId="14534" xr:uid="{74F9F739-7A3B-4483-B3F7-10B343688A89}"/>
    <cellStyle name="Normal 8 2 2 7 4" xfId="18764" xr:uid="{02FF5BD8-3512-4497-83B6-B159AA21900A}"/>
    <cellStyle name="Normal 8 2 2 7 5" xfId="10316" xr:uid="{9565BEE6-5336-48BD-A265-B438B2460822}"/>
    <cellStyle name="Normal 8 2 2 8" xfId="2191" xr:uid="{00000000-0005-0000-0000-00008D1C0000}"/>
    <cellStyle name="Normal 8 2 2 8 2" xfId="4420" xr:uid="{00000000-0005-0000-0000-00008E1C0000}"/>
    <cellStyle name="Normal 8 2 2 8 2 2" xfId="8642" xr:uid="{00000000-0005-0000-0000-00008F1C0000}"/>
    <cellStyle name="Normal 8 2 2 8 2 2 2" xfId="25540" xr:uid="{83D2F5CC-39E3-41AF-AB66-7793C306BFE7}"/>
    <cellStyle name="Normal 8 2 2 8 2 2 3" xfId="17092" xr:uid="{BB4CB8A4-797C-491F-B6A8-B8257B0BB30D}"/>
    <cellStyle name="Normal 8 2 2 8 2 3" xfId="21322" xr:uid="{C6B8B7DB-6BAA-4C3C-B28E-81694F5C0BE9}"/>
    <cellStyle name="Normal 8 2 2 8 2 4" xfId="12874" xr:uid="{2E030984-920A-4E5D-8B11-2837F14F459A}"/>
    <cellStyle name="Normal 8 2 2 8 3" xfId="6497" xr:uid="{00000000-0005-0000-0000-0000901C0000}"/>
    <cellStyle name="Normal 8 2 2 8 3 2" xfId="23395" xr:uid="{17EC2B99-5B02-4E9A-8C23-4233D0FF397F}"/>
    <cellStyle name="Normal 8 2 2 8 3 3" xfId="14947" xr:uid="{355A304A-3338-462C-A727-433991960FF2}"/>
    <cellStyle name="Normal 8 2 2 8 4" xfId="19177" xr:uid="{57947D3C-6724-430C-B57E-BE84D4CA40A1}"/>
    <cellStyle name="Normal 8 2 2 8 5" xfId="10729" xr:uid="{C4DEDF14-58B3-4588-BAB6-11ABC5DA226A}"/>
    <cellStyle name="Normal 8 2 2 9" xfId="2627" xr:uid="{00000000-0005-0000-0000-0000911C0000}"/>
    <cellStyle name="Normal 8 2 2 9 2" xfId="6910" xr:uid="{00000000-0005-0000-0000-0000921C0000}"/>
    <cellStyle name="Normal 8 2 2 9 2 2" xfId="23808" xr:uid="{F7C2A0D5-C1C2-4330-9E9E-F1C891F22953}"/>
    <cellStyle name="Normal 8 2 2 9 2 3" xfId="15360" xr:uid="{674D83C3-01E5-4149-963D-A13B9EA55B54}"/>
    <cellStyle name="Normal 8 2 2 9 3" xfId="19590" xr:uid="{20D24349-7324-49C1-AA11-D891A5DD7185}"/>
    <cellStyle name="Normal 8 2 2 9 4" xfId="11142" xr:uid="{F61A8903-B03A-47D3-874C-49ECD0B1F468}"/>
    <cellStyle name="Normal 8 2 3" xfId="488" xr:uid="{00000000-0005-0000-0000-0000931C0000}"/>
    <cellStyle name="Normal 8 2 3 10" xfId="17533" xr:uid="{489D7742-E505-435A-85C3-E1A5FB45EE18}"/>
    <cellStyle name="Normal 8 2 3 11" xfId="9085" xr:uid="{A2E7CB7B-F645-4194-B05B-FFFA277BE313}"/>
    <cellStyle name="Normal 8 2 3 2" xfId="489" xr:uid="{00000000-0005-0000-0000-0000941C0000}"/>
    <cellStyle name="Normal 8 2 3 2 10" xfId="9086" xr:uid="{0212D346-0DC9-45EC-879B-EAF9D6B66D77}"/>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24311" xr:uid="{3783B16C-BCB7-415E-ACFF-5EA87F9D48F4}"/>
    <cellStyle name="Normal 8 2 3 2 2 2 2 2 3" xfId="15863" xr:uid="{3DE34E24-ACDC-440C-A7E6-D8282F714F0D}"/>
    <cellStyle name="Normal 8 2 3 2 2 2 2 3" xfId="20093" xr:uid="{89AC3967-37CB-46AF-AF3A-543032092AA9}"/>
    <cellStyle name="Normal 8 2 3 2 2 2 2 4" xfId="11645" xr:uid="{39A37CD2-6D1F-4EB6-BA48-2E3B29C01040}"/>
    <cellStyle name="Normal 8 2 3 2 2 2 3" xfId="5268" xr:uid="{00000000-0005-0000-0000-0000991C0000}"/>
    <cellStyle name="Normal 8 2 3 2 2 2 3 2" xfId="22166" xr:uid="{E3BABE8B-FF0E-428B-8818-9B07DF958E1A}"/>
    <cellStyle name="Normal 8 2 3 2 2 2 3 3" xfId="13718" xr:uid="{DB34FB65-E446-4009-90EB-FA1A4783289B}"/>
    <cellStyle name="Normal 8 2 3 2 2 2 4" xfId="17948" xr:uid="{9981AADF-2B04-46B9-B658-2AC141CCFA5D}"/>
    <cellStyle name="Normal 8 2 3 2 2 2 5" xfId="9500" xr:uid="{FB99DB6E-1EFC-41BD-8D0F-13C7FA85BE1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24724" xr:uid="{E7CF3DDE-F293-4D4C-83A3-D0629BCAD88C}"/>
    <cellStyle name="Normal 8 2 3 2 2 3 2 2 3" xfId="16276" xr:uid="{7C8271D7-2682-4638-80C4-9F1584E94F4C}"/>
    <cellStyle name="Normal 8 2 3 2 2 3 2 3" xfId="20506" xr:uid="{18B01493-2B7D-4A67-AAE2-B893CF602A90}"/>
    <cellStyle name="Normal 8 2 3 2 2 3 2 4" xfId="12058" xr:uid="{EDC1A68E-4374-47EA-93BF-FBE462B37BE7}"/>
    <cellStyle name="Normal 8 2 3 2 2 3 3" xfId="5681" xr:uid="{00000000-0005-0000-0000-00009D1C0000}"/>
    <cellStyle name="Normal 8 2 3 2 2 3 3 2" xfId="22579" xr:uid="{1C12B911-E4CA-4F74-A756-B47B288740BE}"/>
    <cellStyle name="Normal 8 2 3 2 2 3 3 3" xfId="14131" xr:uid="{00D0C626-39B9-44EE-96F3-1A51D040C9ED}"/>
    <cellStyle name="Normal 8 2 3 2 2 3 4" xfId="18361" xr:uid="{B10272C2-C84F-49E4-88FA-939842F4DC4E}"/>
    <cellStyle name="Normal 8 2 3 2 2 3 5" xfId="9913" xr:uid="{13B3D719-EF45-4468-8DA9-5D804356EFE9}"/>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25137" xr:uid="{80A5DD12-2DC3-43A9-B7AB-E1BAE65BE4FD}"/>
    <cellStyle name="Normal 8 2 3 2 2 4 2 2 3" xfId="16689" xr:uid="{3873F20A-F5C2-4D77-B7DB-880421A9C519}"/>
    <cellStyle name="Normal 8 2 3 2 2 4 2 3" xfId="20919" xr:uid="{099F8AF0-BF2D-402D-9619-80D44FA26469}"/>
    <cellStyle name="Normal 8 2 3 2 2 4 2 4" xfId="12471" xr:uid="{DBDFA367-B54E-4549-8C1A-E67024890E2F}"/>
    <cellStyle name="Normal 8 2 3 2 2 4 3" xfId="6094" xr:uid="{00000000-0005-0000-0000-0000A11C0000}"/>
    <cellStyle name="Normal 8 2 3 2 2 4 3 2" xfId="22992" xr:uid="{0C7A2382-5ABA-4C6F-8D01-2FAE9BDF550B}"/>
    <cellStyle name="Normal 8 2 3 2 2 4 3 3" xfId="14544" xr:uid="{4B72D839-E22D-48D0-A03C-221ED71D40C3}"/>
    <cellStyle name="Normal 8 2 3 2 2 4 4" xfId="18774" xr:uid="{229D4222-FA92-4B5D-B79D-65DE2A1F0BA8}"/>
    <cellStyle name="Normal 8 2 3 2 2 4 5" xfId="10326" xr:uid="{F4718725-F486-409B-AFF4-2E3CB8D9525F}"/>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25550" xr:uid="{B2DC2E3A-49A5-4D03-AE0B-C92BBE5038A8}"/>
    <cellStyle name="Normal 8 2 3 2 2 5 2 2 3" xfId="17102" xr:uid="{CB6671A9-15FB-4A39-9185-430694D3998A}"/>
    <cellStyle name="Normal 8 2 3 2 2 5 2 3" xfId="21332" xr:uid="{919DA3FC-1F9F-4BB0-9F70-791F557EF490}"/>
    <cellStyle name="Normal 8 2 3 2 2 5 2 4" xfId="12884" xr:uid="{D8D9D3C5-17A3-46D4-8A86-E519CCB3E5CF}"/>
    <cellStyle name="Normal 8 2 3 2 2 5 3" xfId="6507" xr:uid="{00000000-0005-0000-0000-0000A51C0000}"/>
    <cellStyle name="Normal 8 2 3 2 2 5 3 2" xfId="23405" xr:uid="{F56D2B21-FB5D-4B77-901A-4EFA6AD8611E}"/>
    <cellStyle name="Normal 8 2 3 2 2 5 3 3" xfId="14957" xr:uid="{7514FECF-368B-43C2-AB9A-2EA1589B9377}"/>
    <cellStyle name="Normal 8 2 3 2 2 5 4" xfId="19187" xr:uid="{31A56181-4739-498E-8BD6-3EAAF90E8F8D}"/>
    <cellStyle name="Normal 8 2 3 2 2 5 5" xfId="10739" xr:uid="{978EB356-36EA-42F8-AD1B-EDB58828A8C5}"/>
    <cellStyle name="Normal 8 2 3 2 2 6" xfId="2637" xr:uid="{00000000-0005-0000-0000-0000A61C0000}"/>
    <cellStyle name="Normal 8 2 3 2 2 6 2" xfId="6920" xr:uid="{00000000-0005-0000-0000-0000A71C0000}"/>
    <cellStyle name="Normal 8 2 3 2 2 6 2 2" xfId="23818" xr:uid="{EB131180-2854-4437-8B78-C80BA6A4A665}"/>
    <cellStyle name="Normal 8 2 3 2 2 6 2 3" xfId="15370" xr:uid="{F4A44053-5D2D-4AB4-A3AD-CF16D769357C}"/>
    <cellStyle name="Normal 8 2 3 2 2 6 3" xfId="19600" xr:uid="{81D1BC0C-D0C0-4C0E-9570-87EF01B66D0D}"/>
    <cellStyle name="Normal 8 2 3 2 2 6 4" xfId="11152" xr:uid="{57E72CC8-4F4F-4A90-BD18-CC17801F0417}"/>
    <cellStyle name="Normal 8 2 3 2 2 7" xfId="4855" xr:uid="{00000000-0005-0000-0000-0000A81C0000}"/>
    <cellStyle name="Normal 8 2 3 2 2 7 2" xfId="21753" xr:uid="{98AC6E2E-514F-41A4-A926-1DBFB811B77C}"/>
    <cellStyle name="Normal 8 2 3 2 2 7 3" xfId="13305" xr:uid="{30A85344-F543-4660-B748-E3280AFC93BE}"/>
    <cellStyle name="Normal 8 2 3 2 2 8" xfId="17535" xr:uid="{1AECAE96-DCF3-47D9-8F1A-6EC266D3A6F7}"/>
    <cellStyle name="Normal 8 2 3 2 2 9" xfId="9087" xr:uid="{A54F5F0C-46B8-4CDC-9BB1-D1689697D2A6}"/>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24310" xr:uid="{F4DE1815-EA49-4A4C-9F4D-1CAA52782D81}"/>
    <cellStyle name="Normal 8 2 3 2 3 2 2 3" xfId="15862" xr:uid="{BAFED709-20C1-446B-81D1-30382A217304}"/>
    <cellStyle name="Normal 8 2 3 2 3 2 3" xfId="20092" xr:uid="{6562D55E-EA22-4400-90D6-8F63A35624DC}"/>
    <cellStyle name="Normal 8 2 3 2 3 2 4" xfId="11644" xr:uid="{237DD87B-B432-44BA-801C-3CF77EADF754}"/>
    <cellStyle name="Normal 8 2 3 2 3 3" xfId="5267" xr:uid="{00000000-0005-0000-0000-0000AC1C0000}"/>
    <cellStyle name="Normal 8 2 3 2 3 3 2" xfId="22165" xr:uid="{EE9B9C9B-A5A1-410C-8134-2EC2E93DBD59}"/>
    <cellStyle name="Normal 8 2 3 2 3 3 3" xfId="13717" xr:uid="{1AA38691-3B6F-4593-BCC0-E36D75FB736A}"/>
    <cellStyle name="Normal 8 2 3 2 3 4" xfId="17947" xr:uid="{234135DC-DE1B-41A4-BD5D-16674EBA13FC}"/>
    <cellStyle name="Normal 8 2 3 2 3 5" xfId="9499" xr:uid="{F7113885-E5BC-46D8-87ED-85BC4BB35AED}"/>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24723" xr:uid="{0D05A7F5-485E-4D63-AEDE-676CC3614E26}"/>
    <cellStyle name="Normal 8 2 3 2 4 2 2 3" xfId="16275" xr:uid="{88219411-AE25-4F60-BF0D-52628B743F80}"/>
    <cellStyle name="Normal 8 2 3 2 4 2 3" xfId="20505" xr:uid="{DCF2EBC3-A118-419C-A829-74ACEB778BC0}"/>
    <cellStyle name="Normal 8 2 3 2 4 2 4" xfId="12057" xr:uid="{FB2D3DDE-2DC7-4AB1-B36C-B206ADFD1656}"/>
    <cellStyle name="Normal 8 2 3 2 4 3" xfId="5680" xr:uid="{00000000-0005-0000-0000-0000B01C0000}"/>
    <cellStyle name="Normal 8 2 3 2 4 3 2" xfId="22578" xr:uid="{D2E43B1F-D612-4677-91BE-048EF9B17835}"/>
    <cellStyle name="Normal 8 2 3 2 4 3 3" xfId="14130" xr:uid="{D9DD2A70-83A9-410E-9116-8B79447F6A3D}"/>
    <cellStyle name="Normal 8 2 3 2 4 4" xfId="18360" xr:uid="{3CBA1254-E5C0-4D3C-A863-2D80D7287DEF}"/>
    <cellStyle name="Normal 8 2 3 2 4 5" xfId="9912" xr:uid="{B846AF80-3EA8-4B12-9663-AF9F226AEE33}"/>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25136" xr:uid="{65773BC9-5022-4002-AB8F-6F3DE7242D4D}"/>
    <cellStyle name="Normal 8 2 3 2 5 2 2 3" xfId="16688" xr:uid="{12F9AC04-4691-46B2-9616-4707504E28F2}"/>
    <cellStyle name="Normal 8 2 3 2 5 2 3" xfId="20918" xr:uid="{30721C4C-9DD1-4607-9B94-A23446BF4E1A}"/>
    <cellStyle name="Normal 8 2 3 2 5 2 4" xfId="12470" xr:uid="{CF99AC0E-36BB-4D2B-A679-1883132CFC44}"/>
    <cellStyle name="Normal 8 2 3 2 5 3" xfId="6093" xr:uid="{00000000-0005-0000-0000-0000B41C0000}"/>
    <cellStyle name="Normal 8 2 3 2 5 3 2" xfId="22991" xr:uid="{27AE3467-3AC1-4548-9CF7-04719EFCF1A7}"/>
    <cellStyle name="Normal 8 2 3 2 5 3 3" xfId="14543" xr:uid="{0EDDF6EC-9261-4F5F-8B8A-BF92FA06E0CD}"/>
    <cellStyle name="Normal 8 2 3 2 5 4" xfId="18773" xr:uid="{745AF07B-1722-4D74-BCC9-69A0F88BE1AD}"/>
    <cellStyle name="Normal 8 2 3 2 5 5" xfId="10325" xr:uid="{73B01B4A-84C7-4BA7-9266-E891A628ABEE}"/>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25549" xr:uid="{30F98DA3-1343-490F-BFA5-CEEBEA2A9D45}"/>
    <cellStyle name="Normal 8 2 3 2 6 2 2 3" xfId="17101" xr:uid="{73C12D25-0EDF-48AF-A6F8-ABA04F5FDA93}"/>
    <cellStyle name="Normal 8 2 3 2 6 2 3" xfId="21331" xr:uid="{DF62AD8E-078D-49B5-A6FE-BCA5291E3CE0}"/>
    <cellStyle name="Normal 8 2 3 2 6 2 4" xfId="12883" xr:uid="{718D89AB-BECC-4562-8347-C01337BC7B44}"/>
    <cellStyle name="Normal 8 2 3 2 6 3" xfId="6506" xr:uid="{00000000-0005-0000-0000-0000B81C0000}"/>
    <cellStyle name="Normal 8 2 3 2 6 3 2" xfId="23404" xr:uid="{323D52E7-E12F-40AA-96EF-6C9BE4EF5EE8}"/>
    <cellStyle name="Normal 8 2 3 2 6 3 3" xfId="14956" xr:uid="{AD73B45A-DE22-47A4-A2F9-66848C616234}"/>
    <cellStyle name="Normal 8 2 3 2 6 4" xfId="19186" xr:uid="{58120529-12CD-4B7B-97F4-652560ABBFED}"/>
    <cellStyle name="Normal 8 2 3 2 6 5" xfId="10738" xr:uid="{05A134E3-EF1A-4540-A81D-1AB9FE565647}"/>
    <cellStyle name="Normal 8 2 3 2 7" xfId="2636" xr:uid="{00000000-0005-0000-0000-0000B91C0000}"/>
    <cellStyle name="Normal 8 2 3 2 7 2" xfId="6919" xr:uid="{00000000-0005-0000-0000-0000BA1C0000}"/>
    <cellStyle name="Normal 8 2 3 2 7 2 2" xfId="23817" xr:uid="{7DC28A90-5CBA-4C31-B742-97DFEB723DCA}"/>
    <cellStyle name="Normal 8 2 3 2 7 2 3" xfId="15369" xr:uid="{022F3062-ACAC-450B-BD9D-0E709D1C8330}"/>
    <cellStyle name="Normal 8 2 3 2 7 3" xfId="19599" xr:uid="{5A1ACC8D-C343-4AFE-AC6B-3950B0DB1745}"/>
    <cellStyle name="Normal 8 2 3 2 7 4" xfId="11151" xr:uid="{E949D6E2-D945-429C-8796-B71D6B92B9CC}"/>
    <cellStyle name="Normal 8 2 3 2 8" xfId="4854" xr:uid="{00000000-0005-0000-0000-0000BB1C0000}"/>
    <cellStyle name="Normal 8 2 3 2 8 2" xfId="21752" xr:uid="{4E31FFDB-F9E4-4DC6-8124-729F85054FBC}"/>
    <cellStyle name="Normal 8 2 3 2 8 3" xfId="13304" xr:uid="{062CAD04-B4A1-469F-8F2D-26F393EDE739}"/>
    <cellStyle name="Normal 8 2 3 2 9" xfId="17534" xr:uid="{835674BD-3654-49BF-B749-2287BDE4E797}"/>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24312" xr:uid="{064E6A28-022A-4040-BD97-D3E737838AEC}"/>
    <cellStyle name="Normal 8 2 3 3 2 2 2 3" xfId="15864" xr:uid="{D5A94D00-02DD-4270-A450-B9662A3E84F9}"/>
    <cellStyle name="Normal 8 2 3 3 2 2 3" xfId="20094" xr:uid="{71953651-A782-4FCD-81C0-3453F89CD142}"/>
    <cellStyle name="Normal 8 2 3 3 2 2 4" xfId="11646" xr:uid="{6122DF34-9313-4223-B3EA-7AA67DD56785}"/>
    <cellStyle name="Normal 8 2 3 3 2 3" xfId="5269" xr:uid="{00000000-0005-0000-0000-0000C01C0000}"/>
    <cellStyle name="Normal 8 2 3 3 2 3 2" xfId="22167" xr:uid="{77C50A1E-4A0D-4229-8B27-76C1FF82134E}"/>
    <cellStyle name="Normal 8 2 3 3 2 3 3" xfId="13719" xr:uid="{539E916A-342E-4C03-ABAE-D4D1102469F3}"/>
    <cellStyle name="Normal 8 2 3 3 2 4" xfId="17949" xr:uid="{0CAB1F7C-0FA0-4B43-ADAB-8F5E24F903AA}"/>
    <cellStyle name="Normal 8 2 3 3 2 5" xfId="9501" xr:uid="{8D7CCF6E-EFA7-4EB4-8AC8-6EB887F84D49}"/>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24725" xr:uid="{EBFBF5BB-F9A5-4819-9BBC-7A509E3DE76D}"/>
    <cellStyle name="Normal 8 2 3 3 3 2 2 3" xfId="16277" xr:uid="{944AD92F-12A3-4150-8187-3D4A96A58434}"/>
    <cellStyle name="Normal 8 2 3 3 3 2 3" xfId="20507" xr:uid="{9038B670-F36F-428B-94D7-E07130D084F6}"/>
    <cellStyle name="Normal 8 2 3 3 3 2 4" xfId="12059" xr:uid="{74EEF89F-10AC-4E98-ADB1-D67D6D6BB8EE}"/>
    <cellStyle name="Normal 8 2 3 3 3 3" xfId="5682" xr:uid="{00000000-0005-0000-0000-0000C41C0000}"/>
    <cellStyle name="Normal 8 2 3 3 3 3 2" xfId="22580" xr:uid="{D8FD6C57-2818-4567-B5B2-CB8A0533BF93}"/>
    <cellStyle name="Normal 8 2 3 3 3 3 3" xfId="14132" xr:uid="{59055A5E-610C-4462-B3C9-5D5FDEE0CF70}"/>
    <cellStyle name="Normal 8 2 3 3 3 4" xfId="18362" xr:uid="{351545B5-E79A-462F-AFFD-2A47874561FA}"/>
    <cellStyle name="Normal 8 2 3 3 3 5" xfId="9914" xr:uid="{5E3486AE-10A0-4E68-AF59-7F12936E2D67}"/>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25138" xr:uid="{08A0E837-FA76-4B5D-8D85-FB0E328B5A1E}"/>
    <cellStyle name="Normal 8 2 3 3 4 2 2 3" xfId="16690" xr:uid="{CD7FEB21-81D8-4B83-8AC1-8532DFE76383}"/>
    <cellStyle name="Normal 8 2 3 3 4 2 3" xfId="20920" xr:uid="{8E3D8224-461D-4D46-AFB3-CFD6CF38B16D}"/>
    <cellStyle name="Normal 8 2 3 3 4 2 4" xfId="12472" xr:uid="{78A0B35C-84FB-4F49-A914-2D58B2D01674}"/>
    <cellStyle name="Normal 8 2 3 3 4 3" xfId="6095" xr:uid="{00000000-0005-0000-0000-0000C81C0000}"/>
    <cellStyle name="Normal 8 2 3 3 4 3 2" xfId="22993" xr:uid="{48E29359-AF23-4713-93EE-9FB4A3F5C6C2}"/>
    <cellStyle name="Normal 8 2 3 3 4 3 3" xfId="14545" xr:uid="{3D369CC7-1CBD-421C-93BB-CC3753854F7E}"/>
    <cellStyle name="Normal 8 2 3 3 4 4" xfId="18775" xr:uid="{C66F1F43-4C8A-4C05-9837-AE0C4D3056D7}"/>
    <cellStyle name="Normal 8 2 3 3 4 5" xfId="10327" xr:uid="{26CBAF6D-C51F-408A-84BD-4F00A7E7C236}"/>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25551" xr:uid="{143865FD-B960-4BC5-931D-7B72B0ABC778}"/>
    <cellStyle name="Normal 8 2 3 3 5 2 2 3" xfId="17103" xr:uid="{27E442E8-B75F-4C3B-9028-2AD647F6DA28}"/>
    <cellStyle name="Normal 8 2 3 3 5 2 3" xfId="21333" xr:uid="{5C9E7C00-CB5A-4F01-9076-2E7F22831A52}"/>
    <cellStyle name="Normal 8 2 3 3 5 2 4" xfId="12885" xr:uid="{CA4D20B8-CA60-40CB-8132-CDFAC4116859}"/>
    <cellStyle name="Normal 8 2 3 3 5 3" xfId="6508" xr:uid="{00000000-0005-0000-0000-0000CC1C0000}"/>
    <cellStyle name="Normal 8 2 3 3 5 3 2" xfId="23406" xr:uid="{BA4C0229-DF41-4767-BCE1-AE0955238030}"/>
    <cellStyle name="Normal 8 2 3 3 5 3 3" xfId="14958" xr:uid="{CDB91CAB-E85D-4C3F-8CD9-08353E7BFC8E}"/>
    <cellStyle name="Normal 8 2 3 3 5 4" xfId="19188" xr:uid="{901631E3-10D8-4B15-B957-43A9CF4A8D9A}"/>
    <cellStyle name="Normal 8 2 3 3 5 5" xfId="10740" xr:uid="{1D82CF25-55FB-417F-AC04-1597EF2F0792}"/>
    <cellStyle name="Normal 8 2 3 3 6" xfId="2638" xr:uid="{00000000-0005-0000-0000-0000CD1C0000}"/>
    <cellStyle name="Normal 8 2 3 3 6 2" xfId="6921" xr:uid="{00000000-0005-0000-0000-0000CE1C0000}"/>
    <cellStyle name="Normal 8 2 3 3 6 2 2" xfId="23819" xr:uid="{7830A92B-E972-4F17-8FC8-56B45103F905}"/>
    <cellStyle name="Normal 8 2 3 3 6 2 3" xfId="15371" xr:uid="{72A158D9-3714-40C9-BC5B-C94F573AE55B}"/>
    <cellStyle name="Normal 8 2 3 3 6 3" xfId="19601" xr:uid="{5B2CA285-B1DF-4026-A57C-93A495BEDAE7}"/>
    <cellStyle name="Normal 8 2 3 3 6 4" xfId="11153" xr:uid="{8312CA84-B3B0-4A82-852B-79EFB0096EE3}"/>
    <cellStyle name="Normal 8 2 3 3 7" xfId="4856" xr:uid="{00000000-0005-0000-0000-0000CF1C0000}"/>
    <cellStyle name="Normal 8 2 3 3 7 2" xfId="21754" xr:uid="{67D173A6-0EAF-4C2B-B481-3BFA7448C0E5}"/>
    <cellStyle name="Normal 8 2 3 3 7 3" xfId="13306" xr:uid="{48578D61-82F5-4115-8740-1DF17A715D10}"/>
    <cellStyle name="Normal 8 2 3 3 8" xfId="17536" xr:uid="{C61D0471-0087-43E9-9852-07AB5F40228D}"/>
    <cellStyle name="Normal 8 2 3 3 9" xfId="9088" xr:uid="{28073DF3-2588-42E8-BA3F-FAF9A9DE2913}"/>
    <cellStyle name="Normal 8 2 3 4" xfId="955" xr:uid="{00000000-0005-0000-0000-0000D01C0000}"/>
    <cellStyle name="Normal 8 2 3 4 2" xfId="3189" xr:uid="{00000000-0005-0000-0000-0000D11C0000}"/>
    <cellStyle name="Normal 8 2 3 4 2 2" xfId="7411" xr:uid="{00000000-0005-0000-0000-0000D21C0000}"/>
    <cellStyle name="Normal 8 2 3 4 2 2 2" xfId="24309" xr:uid="{1B035B94-312D-4247-8831-34C9D1DE678B}"/>
    <cellStyle name="Normal 8 2 3 4 2 2 3" xfId="15861" xr:uid="{DD1B2D17-6D0F-4AE7-9A19-CC9CE7286137}"/>
    <cellStyle name="Normal 8 2 3 4 2 3" xfId="20091" xr:uid="{E1E2C1F5-88EA-43EA-8AA7-BD814652624B}"/>
    <cellStyle name="Normal 8 2 3 4 2 4" xfId="11643" xr:uid="{9E37187C-6137-45B7-932C-DE45C8F1276D}"/>
    <cellStyle name="Normal 8 2 3 4 3" xfId="5266" xr:uid="{00000000-0005-0000-0000-0000D31C0000}"/>
    <cellStyle name="Normal 8 2 3 4 3 2" xfId="22164" xr:uid="{05AEB5E4-6AA2-41A7-9585-E97C21F37BC8}"/>
    <cellStyle name="Normal 8 2 3 4 3 3" xfId="13716" xr:uid="{072C51B6-026E-418A-A3FE-B862DD8FFE75}"/>
    <cellStyle name="Normal 8 2 3 4 4" xfId="17946" xr:uid="{B1458C8F-140C-47EE-928C-F10C2E9A1D87}"/>
    <cellStyle name="Normal 8 2 3 4 5" xfId="9498" xr:uid="{39AAF7E1-0EA9-4D69-9CAC-E176822AB919}"/>
    <cellStyle name="Normal 8 2 3 5" xfId="1372" xr:uid="{00000000-0005-0000-0000-0000D41C0000}"/>
    <cellStyle name="Normal 8 2 3 5 2" xfId="3602" xr:uid="{00000000-0005-0000-0000-0000D51C0000}"/>
    <cellStyle name="Normal 8 2 3 5 2 2" xfId="7824" xr:uid="{00000000-0005-0000-0000-0000D61C0000}"/>
    <cellStyle name="Normal 8 2 3 5 2 2 2" xfId="24722" xr:uid="{DB7B61E5-4D44-4B79-A546-100C4977F054}"/>
    <cellStyle name="Normal 8 2 3 5 2 2 3" xfId="16274" xr:uid="{5A6C7FD4-364E-4621-B4E8-ECB9A2C1D647}"/>
    <cellStyle name="Normal 8 2 3 5 2 3" xfId="20504" xr:uid="{85882CD4-3235-4CAA-9351-1C442AEC8D82}"/>
    <cellStyle name="Normal 8 2 3 5 2 4" xfId="12056" xr:uid="{E56D0B8F-E34D-4527-8A13-3B6BB5D4F06E}"/>
    <cellStyle name="Normal 8 2 3 5 3" xfId="5679" xr:uid="{00000000-0005-0000-0000-0000D71C0000}"/>
    <cellStyle name="Normal 8 2 3 5 3 2" xfId="22577" xr:uid="{BC1E5F8E-7D7F-4961-8CF6-3C37ABEE2B54}"/>
    <cellStyle name="Normal 8 2 3 5 3 3" xfId="14129" xr:uid="{1849065A-3C6C-45C9-8970-55F0FE4959D9}"/>
    <cellStyle name="Normal 8 2 3 5 4" xfId="18359" xr:uid="{726FD860-36D4-46DE-8977-52E66E82E641}"/>
    <cellStyle name="Normal 8 2 3 5 5" xfId="9911" xr:uid="{6D4474AA-2C12-44B0-920E-95A12CA87BFC}"/>
    <cellStyle name="Normal 8 2 3 6" xfId="1785" xr:uid="{00000000-0005-0000-0000-0000D81C0000}"/>
    <cellStyle name="Normal 8 2 3 6 2" xfId="4015" xr:uid="{00000000-0005-0000-0000-0000D91C0000}"/>
    <cellStyle name="Normal 8 2 3 6 2 2" xfId="8237" xr:uid="{00000000-0005-0000-0000-0000DA1C0000}"/>
    <cellStyle name="Normal 8 2 3 6 2 2 2" xfId="25135" xr:uid="{19324874-01B5-4B77-893B-D13809FF8F73}"/>
    <cellStyle name="Normal 8 2 3 6 2 2 3" xfId="16687" xr:uid="{2C3E05AB-3F32-401A-8E51-847215B91FDF}"/>
    <cellStyle name="Normal 8 2 3 6 2 3" xfId="20917" xr:uid="{2BD329D8-3A1A-469C-8542-E2494D313822}"/>
    <cellStyle name="Normal 8 2 3 6 2 4" xfId="12469" xr:uid="{F38CEC29-5158-4282-AB39-67A8B708259A}"/>
    <cellStyle name="Normal 8 2 3 6 3" xfId="6092" xr:uid="{00000000-0005-0000-0000-0000DB1C0000}"/>
    <cellStyle name="Normal 8 2 3 6 3 2" xfId="22990" xr:uid="{D5693C81-AF15-44A6-80D3-4EA7D001F201}"/>
    <cellStyle name="Normal 8 2 3 6 3 3" xfId="14542" xr:uid="{E7BF3AE1-C207-4393-9936-AF242155C949}"/>
    <cellStyle name="Normal 8 2 3 6 4" xfId="18772" xr:uid="{24C65399-C7BD-4B33-86B9-753EFE0B9B42}"/>
    <cellStyle name="Normal 8 2 3 6 5" xfId="10324" xr:uid="{A9617E05-D320-4384-8DD5-D1873C859F84}"/>
    <cellStyle name="Normal 8 2 3 7" xfId="2199" xr:uid="{00000000-0005-0000-0000-0000DC1C0000}"/>
    <cellStyle name="Normal 8 2 3 7 2" xfId="4428" xr:uid="{00000000-0005-0000-0000-0000DD1C0000}"/>
    <cellStyle name="Normal 8 2 3 7 2 2" xfId="8650" xr:uid="{00000000-0005-0000-0000-0000DE1C0000}"/>
    <cellStyle name="Normal 8 2 3 7 2 2 2" xfId="25548" xr:uid="{AA98E551-2EEC-4E14-91E5-114EAD7199A6}"/>
    <cellStyle name="Normal 8 2 3 7 2 2 3" xfId="17100" xr:uid="{8184BE24-A040-4A39-BA6B-0EE4FCF5D5DF}"/>
    <cellStyle name="Normal 8 2 3 7 2 3" xfId="21330" xr:uid="{1B56BCB5-E10E-402C-8CEA-830E2E419A4A}"/>
    <cellStyle name="Normal 8 2 3 7 2 4" xfId="12882" xr:uid="{2D27DB23-E358-47AE-AF9A-FD0322497AC2}"/>
    <cellStyle name="Normal 8 2 3 7 3" xfId="6505" xr:uid="{00000000-0005-0000-0000-0000DF1C0000}"/>
    <cellStyle name="Normal 8 2 3 7 3 2" xfId="23403" xr:uid="{B505D634-84AE-41EF-85AF-52AE5C21D47B}"/>
    <cellStyle name="Normal 8 2 3 7 3 3" xfId="14955" xr:uid="{FAD15235-7EC9-4121-91DF-4AD289A5ADC7}"/>
    <cellStyle name="Normal 8 2 3 7 4" xfId="19185" xr:uid="{CDB1BE47-5D5E-44C5-A93C-49B07B8FFBCF}"/>
    <cellStyle name="Normal 8 2 3 7 5" xfId="10737" xr:uid="{63D3A38B-53CD-4237-B612-A45138F87A99}"/>
    <cellStyle name="Normal 8 2 3 8" xfId="2635" xr:uid="{00000000-0005-0000-0000-0000E01C0000}"/>
    <cellStyle name="Normal 8 2 3 8 2" xfId="6918" xr:uid="{00000000-0005-0000-0000-0000E11C0000}"/>
    <cellStyle name="Normal 8 2 3 8 2 2" xfId="23816" xr:uid="{7C2E22D0-8724-4427-AC6A-A92F397149DC}"/>
    <cellStyle name="Normal 8 2 3 8 2 3" xfId="15368" xr:uid="{9CC28D75-E6C5-43CB-84DD-57A620A3F171}"/>
    <cellStyle name="Normal 8 2 3 8 3" xfId="19598" xr:uid="{EFBDE7B2-A733-4A20-A171-AF4D172E7D85}"/>
    <cellStyle name="Normal 8 2 3 8 4" xfId="11150" xr:uid="{F2886695-E98C-4C22-87D1-89A928AFE3F0}"/>
    <cellStyle name="Normal 8 2 3 9" xfId="4853" xr:uid="{00000000-0005-0000-0000-0000E21C0000}"/>
    <cellStyle name="Normal 8 2 3 9 2" xfId="21751" xr:uid="{5A685DED-E06E-4C47-A575-C4E19F97481E}"/>
    <cellStyle name="Normal 8 2 3 9 3" xfId="13303" xr:uid="{BF368B64-797E-4FAD-BC00-FA6FBAE04D37}"/>
    <cellStyle name="Normal 8 2 4" xfId="492" xr:uid="{00000000-0005-0000-0000-0000E31C0000}"/>
    <cellStyle name="Normal 8 2 4 10" xfId="9089" xr:uid="{7B6F8A78-EDD4-492C-AC28-96A66F981DF6}"/>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24314" xr:uid="{D12901C4-5F81-4914-9391-F722DF8E334D}"/>
    <cellStyle name="Normal 8 2 4 2 2 2 2 3" xfId="15866" xr:uid="{AC7326E9-FBE8-4508-9F7C-C4765E2E7E43}"/>
    <cellStyle name="Normal 8 2 4 2 2 2 3" xfId="20096" xr:uid="{5F2F748C-3718-449C-86A0-7AD11BAC2319}"/>
    <cellStyle name="Normal 8 2 4 2 2 2 4" xfId="11648" xr:uid="{23379910-EA9C-464F-8DBA-7F91B51F8ABB}"/>
    <cellStyle name="Normal 8 2 4 2 2 3" xfId="5271" xr:uid="{00000000-0005-0000-0000-0000E81C0000}"/>
    <cellStyle name="Normal 8 2 4 2 2 3 2" xfId="22169" xr:uid="{1C84063A-9A43-4CCB-B64C-442D7DD47554}"/>
    <cellStyle name="Normal 8 2 4 2 2 3 3" xfId="13721" xr:uid="{2D8248CB-FF63-479E-8B9F-82AC3A506801}"/>
    <cellStyle name="Normal 8 2 4 2 2 4" xfId="17951" xr:uid="{FA06B343-2C19-4799-8188-FCEB4CF7E134}"/>
    <cellStyle name="Normal 8 2 4 2 2 5" xfId="9503" xr:uid="{D6A325A8-D6A4-435E-B3F7-62D47732F243}"/>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24727" xr:uid="{D50D9DB3-483C-4EF0-B950-8B8FE53AD94C}"/>
    <cellStyle name="Normal 8 2 4 2 3 2 2 3" xfId="16279" xr:uid="{185A4F19-D67A-4EB6-9444-D735ECB898A6}"/>
    <cellStyle name="Normal 8 2 4 2 3 2 3" xfId="20509" xr:uid="{761711E6-2B03-41A9-A380-4AE783D5B394}"/>
    <cellStyle name="Normal 8 2 4 2 3 2 4" xfId="12061" xr:uid="{25483FAA-21BF-4CD6-A3CF-C5820FB42380}"/>
    <cellStyle name="Normal 8 2 4 2 3 3" xfId="5684" xr:uid="{00000000-0005-0000-0000-0000EC1C0000}"/>
    <cellStyle name="Normal 8 2 4 2 3 3 2" xfId="22582" xr:uid="{74D36013-BEEA-4F32-9631-1ADB0F6D3010}"/>
    <cellStyle name="Normal 8 2 4 2 3 3 3" xfId="14134" xr:uid="{016F2E7C-BE48-482C-847D-FB4B74AA0024}"/>
    <cellStyle name="Normal 8 2 4 2 3 4" xfId="18364" xr:uid="{CDCE2634-2DBD-4124-88AD-88AEE16639EA}"/>
    <cellStyle name="Normal 8 2 4 2 3 5" xfId="9916" xr:uid="{0BC3B747-FD3E-48EC-A5DE-D85D5EE22EEA}"/>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25140" xr:uid="{27E45D9C-3D29-46FC-9895-A4CF663B0A99}"/>
    <cellStyle name="Normal 8 2 4 2 4 2 2 3" xfId="16692" xr:uid="{9312E596-EE88-4CE1-8925-18C53A441AF6}"/>
    <cellStyle name="Normal 8 2 4 2 4 2 3" xfId="20922" xr:uid="{10D5082D-E810-4AB3-8C57-113163C57E04}"/>
    <cellStyle name="Normal 8 2 4 2 4 2 4" xfId="12474" xr:uid="{1BC0A8A4-09BD-4DB4-A24E-41FD9DD694EF}"/>
    <cellStyle name="Normal 8 2 4 2 4 3" xfId="6097" xr:uid="{00000000-0005-0000-0000-0000F01C0000}"/>
    <cellStyle name="Normal 8 2 4 2 4 3 2" xfId="22995" xr:uid="{A40385F4-5DCA-42A9-9A03-8C6489408FF1}"/>
    <cellStyle name="Normal 8 2 4 2 4 3 3" xfId="14547" xr:uid="{2A897847-DFC3-46F6-BD03-705A81864DF7}"/>
    <cellStyle name="Normal 8 2 4 2 4 4" xfId="18777" xr:uid="{F5920E77-D86D-45B3-8BD7-A5707FD52880}"/>
    <cellStyle name="Normal 8 2 4 2 4 5" xfId="10329" xr:uid="{5E98F531-A242-4E6D-975E-C90D4A71F529}"/>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25553" xr:uid="{A8ACA7C2-D85B-41BB-A683-C5FFA149EBE0}"/>
    <cellStyle name="Normal 8 2 4 2 5 2 2 3" xfId="17105" xr:uid="{34EBED5B-74E5-44B7-AB6C-FF01E1CCFFC5}"/>
    <cellStyle name="Normal 8 2 4 2 5 2 3" xfId="21335" xr:uid="{CB36BEDA-E133-4F86-A250-6EF2421093F6}"/>
    <cellStyle name="Normal 8 2 4 2 5 2 4" xfId="12887" xr:uid="{3A107877-E281-41D6-A416-51DEE90A3AE2}"/>
    <cellStyle name="Normal 8 2 4 2 5 3" xfId="6510" xr:uid="{00000000-0005-0000-0000-0000F41C0000}"/>
    <cellStyle name="Normal 8 2 4 2 5 3 2" xfId="23408" xr:uid="{894DE813-AFE6-4AEF-8BBC-4A8F97B5F2C2}"/>
    <cellStyle name="Normal 8 2 4 2 5 3 3" xfId="14960" xr:uid="{DB56ED6D-879E-4A71-AB58-5DBD7D5A4C4B}"/>
    <cellStyle name="Normal 8 2 4 2 5 4" xfId="19190" xr:uid="{643D141E-9F56-4F7D-8532-DEFBCAB351FF}"/>
    <cellStyle name="Normal 8 2 4 2 5 5" xfId="10742" xr:uid="{4916C3DD-947E-42AF-8FB5-DEF9257F6FF6}"/>
    <cellStyle name="Normal 8 2 4 2 6" xfId="2640" xr:uid="{00000000-0005-0000-0000-0000F51C0000}"/>
    <cellStyle name="Normal 8 2 4 2 6 2" xfId="6923" xr:uid="{00000000-0005-0000-0000-0000F61C0000}"/>
    <cellStyle name="Normal 8 2 4 2 6 2 2" xfId="23821" xr:uid="{868D78E3-8675-44DE-9F3F-6B850E1353FF}"/>
    <cellStyle name="Normal 8 2 4 2 6 2 3" xfId="15373" xr:uid="{B41491DD-BB44-43E8-9254-02312BA93887}"/>
    <cellStyle name="Normal 8 2 4 2 6 3" xfId="19603" xr:uid="{0238202D-2869-4123-82AC-1F2C6187F87C}"/>
    <cellStyle name="Normal 8 2 4 2 6 4" xfId="11155" xr:uid="{57D766C7-79C8-4305-BE4F-571E5161E33F}"/>
    <cellStyle name="Normal 8 2 4 2 7" xfId="4858" xr:uid="{00000000-0005-0000-0000-0000F71C0000}"/>
    <cellStyle name="Normal 8 2 4 2 7 2" xfId="21756" xr:uid="{B59D10D4-99B6-4865-970B-3D20C181A673}"/>
    <cellStyle name="Normal 8 2 4 2 7 3" xfId="13308" xr:uid="{B3BF145C-DB55-44F4-B1F6-596B4E765CC6}"/>
    <cellStyle name="Normal 8 2 4 2 8" xfId="17538" xr:uid="{74F56E81-162D-47BB-95AC-4BC0755915B9}"/>
    <cellStyle name="Normal 8 2 4 2 9" xfId="9090" xr:uid="{287589FB-8A14-4B3E-AD3B-EA48FB2FBBA2}"/>
    <cellStyle name="Normal 8 2 4 3" xfId="959" xr:uid="{00000000-0005-0000-0000-0000F81C0000}"/>
    <cellStyle name="Normal 8 2 4 3 2" xfId="3193" xr:uid="{00000000-0005-0000-0000-0000F91C0000}"/>
    <cellStyle name="Normal 8 2 4 3 2 2" xfId="7415" xr:uid="{00000000-0005-0000-0000-0000FA1C0000}"/>
    <cellStyle name="Normal 8 2 4 3 2 2 2" xfId="24313" xr:uid="{0943569C-B9AC-4C45-A41F-E3CBFD4B14CC}"/>
    <cellStyle name="Normal 8 2 4 3 2 2 3" xfId="15865" xr:uid="{68B4C620-983D-40BC-83E1-5D9B85AB1FC9}"/>
    <cellStyle name="Normal 8 2 4 3 2 3" xfId="20095" xr:uid="{5A9588D3-D38E-4DF1-8A91-BEB17CD51F09}"/>
    <cellStyle name="Normal 8 2 4 3 2 4" xfId="11647" xr:uid="{FC385783-DAA3-4C68-89F6-C5D64F6462F4}"/>
    <cellStyle name="Normal 8 2 4 3 3" xfId="5270" xr:uid="{00000000-0005-0000-0000-0000FB1C0000}"/>
    <cellStyle name="Normal 8 2 4 3 3 2" xfId="22168" xr:uid="{244EE5FF-0084-4347-8C31-C1649C9E9C54}"/>
    <cellStyle name="Normal 8 2 4 3 3 3" xfId="13720" xr:uid="{3EE7E2EB-D7F5-4E5B-8730-F44DB1844078}"/>
    <cellStyle name="Normal 8 2 4 3 4" xfId="17950" xr:uid="{039A79C0-10E6-4202-9ED8-3E85AA2753EA}"/>
    <cellStyle name="Normal 8 2 4 3 5" xfId="9502" xr:uid="{C84A39B5-5B68-4F53-9BF5-751C6BCB9267}"/>
    <cellStyle name="Normal 8 2 4 4" xfId="1376" xr:uid="{00000000-0005-0000-0000-0000FC1C0000}"/>
    <cellStyle name="Normal 8 2 4 4 2" xfId="3606" xr:uid="{00000000-0005-0000-0000-0000FD1C0000}"/>
    <cellStyle name="Normal 8 2 4 4 2 2" xfId="7828" xr:uid="{00000000-0005-0000-0000-0000FE1C0000}"/>
    <cellStyle name="Normal 8 2 4 4 2 2 2" xfId="24726" xr:uid="{ACBE1DA1-035C-45D2-B19B-CE60CD97A366}"/>
    <cellStyle name="Normal 8 2 4 4 2 2 3" xfId="16278" xr:uid="{40C986AC-ADAE-47E9-AE2D-CF7E077E1A79}"/>
    <cellStyle name="Normal 8 2 4 4 2 3" xfId="20508" xr:uid="{1AD0B065-C31D-4232-8A60-8B94521EA070}"/>
    <cellStyle name="Normal 8 2 4 4 2 4" xfId="12060" xr:uid="{E82CC5E0-E048-4860-964D-7492E5C4B175}"/>
    <cellStyle name="Normal 8 2 4 4 3" xfId="5683" xr:uid="{00000000-0005-0000-0000-0000FF1C0000}"/>
    <cellStyle name="Normal 8 2 4 4 3 2" xfId="22581" xr:uid="{10E1B438-B71E-4B41-BD35-8FB190603418}"/>
    <cellStyle name="Normal 8 2 4 4 3 3" xfId="14133" xr:uid="{1DB7E5ED-77F5-4A5D-AAFB-C99BDF48FA14}"/>
    <cellStyle name="Normal 8 2 4 4 4" xfId="18363" xr:uid="{8617EDFB-350E-4BC7-BBD1-D0F94D7DD3C8}"/>
    <cellStyle name="Normal 8 2 4 4 5" xfId="9915" xr:uid="{D133E230-34D8-48A9-8498-3A46711FE76D}"/>
    <cellStyle name="Normal 8 2 4 5" xfId="1789" xr:uid="{00000000-0005-0000-0000-0000001D0000}"/>
    <cellStyle name="Normal 8 2 4 5 2" xfId="4019" xr:uid="{00000000-0005-0000-0000-0000011D0000}"/>
    <cellStyle name="Normal 8 2 4 5 2 2" xfId="8241" xr:uid="{00000000-0005-0000-0000-0000021D0000}"/>
    <cellStyle name="Normal 8 2 4 5 2 2 2" xfId="25139" xr:uid="{3BA3E516-7CC5-49EE-8B9D-DCAF47A71B49}"/>
    <cellStyle name="Normal 8 2 4 5 2 2 3" xfId="16691" xr:uid="{E367DBA6-51BD-4BE2-B906-F32871D16C93}"/>
    <cellStyle name="Normal 8 2 4 5 2 3" xfId="20921" xr:uid="{FDD78F5B-09AB-4147-955F-3F6F5CB8F935}"/>
    <cellStyle name="Normal 8 2 4 5 2 4" xfId="12473" xr:uid="{DA942188-B782-4DDA-A881-D554853FF350}"/>
    <cellStyle name="Normal 8 2 4 5 3" xfId="6096" xr:uid="{00000000-0005-0000-0000-0000031D0000}"/>
    <cellStyle name="Normal 8 2 4 5 3 2" xfId="22994" xr:uid="{1C1A9645-106F-4945-8A65-06548351A78D}"/>
    <cellStyle name="Normal 8 2 4 5 3 3" xfId="14546" xr:uid="{D2841628-908A-4DF0-849C-89B37277E697}"/>
    <cellStyle name="Normal 8 2 4 5 4" xfId="18776" xr:uid="{62ECCE05-F9A4-41EF-BB42-7D9A324ACC85}"/>
    <cellStyle name="Normal 8 2 4 5 5" xfId="10328" xr:uid="{C4E6C1E5-0626-4602-B553-46D47BD99E02}"/>
    <cellStyle name="Normal 8 2 4 6" xfId="2203" xr:uid="{00000000-0005-0000-0000-0000041D0000}"/>
    <cellStyle name="Normal 8 2 4 6 2" xfId="4432" xr:uid="{00000000-0005-0000-0000-0000051D0000}"/>
    <cellStyle name="Normal 8 2 4 6 2 2" xfId="8654" xr:uid="{00000000-0005-0000-0000-0000061D0000}"/>
    <cellStyle name="Normal 8 2 4 6 2 2 2" xfId="25552" xr:uid="{AA682E0F-29DA-4EB1-888E-2CC56422C5BE}"/>
    <cellStyle name="Normal 8 2 4 6 2 2 3" xfId="17104" xr:uid="{0E3B1BAC-AB07-4FD4-BAC7-985C63955B62}"/>
    <cellStyle name="Normal 8 2 4 6 2 3" xfId="21334" xr:uid="{86C8548D-605E-4956-B17E-873136A6C5C3}"/>
    <cellStyle name="Normal 8 2 4 6 2 4" xfId="12886" xr:uid="{58DD400C-1BD5-4249-86EE-1967115791A1}"/>
    <cellStyle name="Normal 8 2 4 6 3" xfId="6509" xr:uid="{00000000-0005-0000-0000-0000071D0000}"/>
    <cellStyle name="Normal 8 2 4 6 3 2" xfId="23407" xr:uid="{A87624BA-D855-4FDF-8CA0-FD8EB97E1723}"/>
    <cellStyle name="Normal 8 2 4 6 3 3" xfId="14959" xr:uid="{241602A4-6A56-4788-B2C9-4A84DB6A1867}"/>
    <cellStyle name="Normal 8 2 4 6 4" xfId="19189" xr:uid="{A4047DC1-F7D8-4E6B-A69D-8FF994C3FB61}"/>
    <cellStyle name="Normal 8 2 4 6 5" xfId="10741" xr:uid="{FBBE0CAF-7BA0-44D9-B925-9CAD9B2D7E91}"/>
    <cellStyle name="Normal 8 2 4 7" xfId="2639" xr:uid="{00000000-0005-0000-0000-0000081D0000}"/>
    <cellStyle name="Normal 8 2 4 7 2" xfId="6922" xr:uid="{00000000-0005-0000-0000-0000091D0000}"/>
    <cellStyle name="Normal 8 2 4 7 2 2" xfId="23820" xr:uid="{47BB1744-90E2-4CD6-90F4-D531636A341A}"/>
    <cellStyle name="Normal 8 2 4 7 2 3" xfId="15372" xr:uid="{D9A87B95-0AF6-45BC-B8A5-19CF0B06EF41}"/>
    <cellStyle name="Normal 8 2 4 7 3" xfId="19602" xr:uid="{C693625F-666C-4EC0-9CF2-ECE99EFF042F}"/>
    <cellStyle name="Normal 8 2 4 7 4" xfId="11154" xr:uid="{4FF7935B-54F3-44B8-A598-210373864683}"/>
    <cellStyle name="Normal 8 2 4 8" xfId="4857" xr:uid="{00000000-0005-0000-0000-00000A1D0000}"/>
    <cellStyle name="Normal 8 2 4 8 2" xfId="21755" xr:uid="{4FCA2EB6-5642-42D3-834F-FF6C9F91FE5C}"/>
    <cellStyle name="Normal 8 2 4 8 3" xfId="13307" xr:uid="{928D7E56-FBDC-4785-9D8D-F49A342C3DB1}"/>
    <cellStyle name="Normal 8 2 4 9" xfId="17537" xr:uid="{155231FA-85D6-4B04-9AB9-44EFD544706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2 2 2" xfId="24315" xr:uid="{B04D240C-089C-4617-AD1D-403D89771306}"/>
    <cellStyle name="Normal 8 2 5 2 2 2 3" xfId="15867" xr:uid="{CBC4D4DF-3625-49FA-935D-AE0B1FD904A6}"/>
    <cellStyle name="Normal 8 2 5 2 2 3" xfId="20097" xr:uid="{3D88DEA3-5701-4AF2-A416-D10689C1A3AF}"/>
    <cellStyle name="Normal 8 2 5 2 2 4" xfId="11649" xr:uid="{5526508B-6D3D-45B9-BEF1-0943593EA002}"/>
    <cellStyle name="Normal 8 2 5 2 3" xfId="5272" xr:uid="{00000000-0005-0000-0000-00000F1D0000}"/>
    <cellStyle name="Normal 8 2 5 2 3 2" xfId="22170" xr:uid="{E17D19EB-1D24-48DF-A0B3-E85D6C1E184B}"/>
    <cellStyle name="Normal 8 2 5 2 3 3" xfId="13722" xr:uid="{C9D0C8E8-E65B-4FA3-8317-E0C7EBDC4A82}"/>
    <cellStyle name="Normal 8 2 5 2 4" xfId="17952" xr:uid="{198C7264-7500-4315-9F5A-8A6F8D73B123}"/>
    <cellStyle name="Normal 8 2 5 2 5" xfId="9504" xr:uid="{21F333F0-F171-4D8B-BFC0-D6B0702380AB}"/>
    <cellStyle name="Normal 8 2 5 3" xfId="1378" xr:uid="{00000000-0005-0000-0000-0000101D0000}"/>
    <cellStyle name="Normal 8 2 5 3 2" xfId="3608" xr:uid="{00000000-0005-0000-0000-0000111D0000}"/>
    <cellStyle name="Normal 8 2 5 3 2 2" xfId="7830" xr:uid="{00000000-0005-0000-0000-0000121D0000}"/>
    <cellStyle name="Normal 8 2 5 3 2 2 2" xfId="24728" xr:uid="{C4B76A37-0384-475A-82DC-0638F7030036}"/>
    <cellStyle name="Normal 8 2 5 3 2 2 3" xfId="16280" xr:uid="{58B00A55-57FD-4B74-A5AA-36D1F5C302BD}"/>
    <cellStyle name="Normal 8 2 5 3 2 3" xfId="20510" xr:uid="{490F5CC3-2A6F-4919-A309-8E64D866C16A}"/>
    <cellStyle name="Normal 8 2 5 3 2 4" xfId="12062" xr:uid="{941D1349-7012-4031-95CF-9B28FB88AE55}"/>
    <cellStyle name="Normal 8 2 5 3 3" xfId="5685" xr:uid="{00000000-0005-0000-0000-0000131D0000}"/>
    <cellStyle name="Normal 8 2 5 3 3 2" xfId="22583" xr:uid="{7851A3D5-DF20-4E04-9C74-E1A4C9C536B8}"/>
    <cellStyle name="Normal 8 2 5 3 3 3" xfId="14135" xr:uid="{22FACCD1-3C4C-46F7-BA7B-41FBA051FBD5}"/>
    <cellStyle name="Normal 8 2 5 3 4" xfId="18365" xr:uid="{E99D311D-5570-4DBE-B1F4-598FAB686BD6}"/>
    <cellStyle name="Normal 8 2 5 3 5" xfId="9917" xr:uid="{A11F449A-71D1-440F-8A6D-1C67A79EE31A}"/>
    <cellStyle name="Normal 8 2 5 4" xfId="1791" xr:uid="{00000000-0005-0000-0000-0000141D0000}"/>
    <cellStyle name="Normal 8 2 5 4 2" xfId="4021" xr:uid="{00000000-0005-0000-0000-0000151D0000}"/>
    <cellStyle name="Normal 8 2 5 4 2 2" xfId="8243" xr:uid="{00000000-0005-0000-0000-0000161D0000}"/>
    <cellStyle name="Normal 8 2 5 4 2 2 2" xfId="25141" xr:uid="{3EF8E1EE-4EE4-46CC-A04E-2DC75DBD6F33}"/>
    <cellStyle name="Normal 8 2 5 4 2 2 3" xfId="16693" xr:uid="{E7598E51-DCBE-48D2-B559-674515EEEDBA}"/>
    <cellStyle name="Normal 8 2 5 4 2 3" xfId="20923" xr:uid="{2C284318-0387-4CE1-A521-C0845B80AD6D}"/>
    <cellStyle name="Normal 8 2 5 4 2 4" xfId="12475" xr:uid="{022A7846-F83E-4E7C-87AF-F281046E60B4}"/>
    <cellStyle name="Normal 8 2 5 4 3" xfId="6098" xr:uid="{00000000-0005-0000-0000-0000171D0000}"/>
    <cellStyle name="Normal 8 2 5 4 3 2" xfId="22996" xr:uid="{2C9F1029-A396-44FE-9E7C-B069FFFBA403}"/>
    <cellStyle name="Normal 8 2 5 4 3 3" xfId="14548" xr:uid="{27EBFC42-E34D-4C58-B2FE-7EA362B928FA}"/>
    <cellStyle name="Normal 8 2 5 4 4" xfId="18778" xr:uid="{E62BF7D5-BE17-4D20-AC01-F163D4078DE2}"/>
    <cellStyle name="Normal 8 2 5 4 5" xfId="10330" xr:uid="{BACD3828-372F-44BC-B167-0B6135AAFB9F}"/>
    <cellStyle name="Normal 8 2 5 5" xfId="2205" xr:uid="{00000000-0005-0000-0000-0000181D0000}"/>
    <cellStyle name="Normal 8 2 5 5 2" xfId="4434" xr:uid="{00000000-0005-0000-0000-0000191D0000}"/>
    <cellStyle name="Normal 8 2 5 5 2 2" xfId="8656" xr:uid="{00000000-0005-0000-0000-00001A1D0000}"/>
    <cellStyle name="Normal 8 2 5 5 2 2 2" xfId="25554" xr:uid="{D62A7FCC-DA20-4074-919B-02CE3703CB42}"/>
    <cellStyle name="Normal 8 2 5 5 2 2 3" xfId="17106" xr:uid="{2A4D5F99-7B59-4186-A7CB-6204E14EE280}"/>
    <cellStyle name="Normal 8 2 5 5 2 3" xfId="21336" xr:uid="{373C8F46-845F-4A8B-AEFD-E7ECA281BB48}"/>
    <cellStyle name="Normal 8 2 5 5 2 4" xfId="12888" xr:uid="{85D552D5-DE0D-468B-85CC-F749EE025AFD}"/>
    <cellStyle name="Normal 8 2 5 5 3" xfId="6511" xr:uid="{00000000-0005-0000-0000-00001B1D0000}"/>
    <cellStyle name="Normal 8 2 5 5 3 2" xfId="23409" xr:uid="{6185D60D-69D0-461D-875C-3AEDB708F7AE}"/>
    <cellStyle name="Normal 8 2 5 5 3 3" xfId="14961" xr:uid="{15ECC200-CFB3-4236-879C-550E002982F9}"/>
    <cellStyle name="Normal 8 2 5 5 4" xfId="19191" xr:uid="{68F06437-9A65-430A-AB03-E81F82496BA6}"/>
    <cellStyle name="Normal 8 2 5 5 5" xfId="10743" xr:uid="{D1285B83-4725-4D6F-B7BA-B0D6C97A10D5}"/>
    <cellStyle name="Normal 8 2 5 6" xfId="2641" xr:uid="{00000000-0005-0000-0000-00001C1D0000}"/>
    <cellStyle name="Normal 8 2 5 6 2" xfId="6924" xr:uid="{00000000-0005-0000-0000-00001D1D0000}"/>
    <cellStyle name="Normal 8 2 5 6 2 2" xfId="23822" xr:uid="{266E6DCD-C449-4F26-92C0-520E28B83D23}"/>
    <cellStyle name="Normal 8 2 5 6 2 3" xfId="15374" xr:uid="{B4A32153-FDCE-4B0B-8734-B9CEA05514EF}"/>
    <cellStyle name="Normal 8 2 5 6 3" xfId="19604" xr:uid="{8C08B0C2-3F4E-4C51-961B-9E49DD178E22}"/>
    <cellStyle name="Normal 8 2 5 6 4" xfId="11156" xr:uid="{55666C26-CBBF-4DF6-8347-27201E1DEDE2}"/>
    <cellStyle name="Normal 8 2 5 7" xfId="4859" xr:uid="{00000000-0005-0000-0000-00001E1D0000}"/>
    <cellStyle name="Normal 8 2 5 7 2" xfId="21757" xr:uid="{B6DC5827-D34D-4369-96D4-3E2406EF4C22}"/>
    <cellStyle name="Normal 8 2 5 7 3" xfId="13309" xr:uid="{2EC01B3A-DF0F-4426-B24E-0627C450136C}"/>
    <cellStyle name="Normal 8 2 5 8" xfId="17539" xr:uid="{B9CEB194-E072-4CBD-B314-9017D35D41A4}"/>
    <cellStyle name="Normal 8 2 5 9" xfId="9091" xr:uid="{36E2E4C4-2BD8-42E6-BEBC-57AA49A9A0AD}"/>
    <cellStyle name="Normal 8 2 6" xfId="946" xr:uid="{00000000-0005-0000-0000-00001F1D0000}"/>
    <cellStyle name="Normal 8 2 6 2" xfId="3180" xr:uid="{00000000-0005-0000-0000-0000201D0000}"/>
    <cellStyle name="Normal 8 2 6 2 2" xfId="7402" xr:uid="{00000000-0005-0000-0000-0000211D0000}"/>
    <cellStyle name="Normal 8 2 6 2 2 2" xfId="24300" xr:uid="{04F0BB00-701D-45E6-BA78-BD78BF1BD35E}"/>
    <cellStyle name="Normal 8 2 6 2 2 3" xfId="15852" xr:uid="{B2881626-5041-4E53-95AD-A3B7E2741B04}"/>
    <cellStyle name="Normal 8 2 6 2 3" xfId="20082" xr:uid="{E041D310-9DB7-45D0-9636-0202DCC9CB9B}"/>
    <cellStyle name="Normal 8 2 6 2 4" xfId="11634" xr:uid="{427C229E-9ED3-47C8-BBE8-883CEAF07235}"/>
    <cellStyle name="Normal 8 2 6 3" xfId="5257" xr:uid="{00000000-0005-0000-0000-0000221D0000}"/>
    <cellStyle name="Normal 8 2 6 3 2" xfId="22155" xr:uid="{84927B12-B998-4798-BE52-CBEF949E925B}"/>
    <cellStyle name="Normal 8 2 6 3 3" xfId="13707" xr:uid="{B1FDEB73-10DE-42C2-8B94-2F01B89560C7}"/>
    <cellStyle name="Normal 8 2 6 4" xfId="17937" xr:uid="{1D267B57-4646-4F9C-9D5E-EBC89A8205FA}"/>
    <cellStyle name="Normal 8 2 6 5" xfId="9489" xr:uid="{742F379C-431C-4231-AA48-7F2C667E7D6D}"/>
    <cellStyle name="Normal 8 2 7" xfId="1363" xr:uid="{00000000-0005-0000-0000-0000231D0000}"/>
    <cellStyle name="Normal 8 2 7 2" xfId="3593" xr:uid="{00000000-0005-0000-0000-0000241D0000}"/>
    <cellStyle name="Normal 8 2 7 2 2" xfId="7815" xr:uid="{00000000-0005-0000-0000-0000251D0000}"/>
    <cellStyle name="Normal 8 2 7 2 2 2" xfId="24713" xr:uid="{42E2A5D3-8AF4-4998-BA2A-08510FA101AC}"/>
    <cellStyle name="Normal 8 2 7 2 2 3" xfId="16265" xr:uid="{F74C2832-7AD8-4BFA-A276-8DABC04CEFBC}"/>
    <cellStyle name="Normal 8 2 7 2 3" xfId="20495" xr:uid="{7B6609BC-E838-49B3-A0AA-B28E5AA28E2A}"/>
    <cellStyle name="Normal 8 2 7 2 4" xfId="12047" xr:uid="{2997F206-8C19-49ED-BC5E-B06A4040D4D9}"/>
    <cellStyle name="Normal 8 2 7 3" xfId="5670" xr:uid="{00000000-0005-0000-0000-0000261D0000}"/>
    <cellStyle name="Normal 8 2 7 3 2" xfId="22568" xr:uid="{30EB4675-7037-4FFA-80C1-B4BDF3E1BA20}"/>
    <cellStyle name="Normal 8 2 7 3 3" xfId="14120" xr:uid="{B107C7CC-3CB9-4337-BD57-A4A9DC37319D}"/>
    <cellStyle name="Normal 8 2 7 4" xfId="18350" xr:uid="{6928B604-4DF8-493E-89CE-035BF33DAB2E}"/>
    <cellStyle name="Normal 8 2 7 5" xfId="9902" xr:uid="{E3B2DE7D-5265-4780-8E74-E7686E4A649C}"/>
    <cellStyle name="Normal 8 2 8" xfId="1776" xr:uid="{00000000-0005-0000-0000-0000271D0000}"/>
    <cellStyle name="Normal 8 2 8 2" xfId="4006" xr:uid="{00000000-0005-0000-0000-0000281D0000}"/>
    <cellStyle name="Normal 8 2 8 2 2" xfId="8228" xr:uid="{00000000-0005-0000-0000-0000291D0000}"/>
    <cellStyle name="Normal 8 2 8 2 2 2" xfId="25126" xr:uid="{CBA69BBC-3D56-4215-874A-3BA2D64CBE37}"/>
    <cellStyle name="Normal 8 2 8 2 2 3" xfId="16678" xr:uid="{36F864B3-6824-45EE-9356-BAF0B4533974}"/>
    <cellStyle name="Normal 8 2 8 2 3" xfId="20908" xr:uid="{B51434AA-82CE-4941-A247-14132AA2670D}"/>
    <cellStyle name="Normal 8 2 8 2 4" xfId="12460" xr:uid="{6307257D-EB2B-46F0-B5B5-5119BC3966BC}"/>
    <cellStyle name="Normal 8 2 8 3" xfId="6083" xr:uid="{00000000-0005-0000-0000-00002A1D0000}"/>
    <cellStyle name="Normal 8 2 8 3 2" xfId="22981" xr:uid="{04D3E5FE-4C7D-41D6-B119-4D7C749B5F82}"/>
    <cellStyle name="Normal 8 2 8 3 3" xfId="14533" xr:uid="{20A9CC08-DBE4-4608-AB55-10253FDDAFEC}"/>
    <cellStyle name="Normal 8 2 8 4" xfId="18763" xr:uid="{B222C634-C642-4BCD-AB1F-20C842B9FD8E}"/>
    <cellStyle name="Normal 8 2 8 5" xfId="10315" xr:uid="{BFBDE3E0-389A-4952-A865-FC3C0038964A}"/>
    <cellStyle name="Normal 8 2 9" xfId="2190" xr:uid="{00000000-0005-0000-0000-00002B1D0000}"/>
    <cellStyle name="Normal 8 2 9 2" xfId="4419" xr:uid="{00000000-0005-0000-0000-00002C1D0000}"/>
    <cellStyle name="Normal 8 2 9 2 2" xfId="8641" xr:uid="{00000000-0005-0000-0000-00002D1D0000}"/>
    <cellStyle name="Normal 8 2 9 2 2 2" xfId="25539" xr:uid="{22995216-5735-4077-B2F2-E848806DBA13}"/>
    <cellStyle name="Normal 8 2 9 2 2 3" xfId="17091" xr:uid="{65062716-5E57-4F62-9957-721E84AC7E6C}"/>
    <cellStyle name="Normal 8 2 9 2 3" xfId="21321" xr:uid="{BB042A02-3F8E-44BC-AB93-9140982295E4}"/>
    <cellStyle name="Normal 8 2 9 2 4" xfId="12873" xr:uid="{B94CF100-7A70-4E19-91AA-3B87B2BE8B1A}"/>
    <cellStyle name="Normal 8 2 9 3" xfId="6496" xr:uid="{00000000-0005-0000-0000-00002E1D0000}"/>
    <cellStyle name="Normal 8 2 9 3 2" xfId="23394" xr:uid="{AEC72EFD-E577-4392-9936-37F261A43DD6}"/>
    <cellStyle name="Normal 8 2 9 3 3" xfId="14946" xr:uid="{76287827-2AA9-4F5F-838B-83AB01F60376}"/>
    <cellStyle name="Normal 8 2 9 4" xfId="19176" xr:uid="{C2567537-9202-4D4C-8997-8A037149C811}"/>
    <cellStyle name="Normal 8 2 9 5" xfId="10728" xr:uid="{DF681432-B6E7-483A-8DB7-33DE25178043}"/>
    <cellStyle name="Normal 8 3" xfId="495" xr:uid="{00000000-0005-0000-0000-00002F1D0000}"/>
    <cellStyle name="Normal 8 3 10" xfId="4860" xr:uid="{00000000-0005-0000-0000-0000301D0000}"/>
    <cellStyle name="Normal 8 3 10 2" xfId="21758" xr:uid="{62E5DFDB-2961-4526-877A-77BE5A86B2F2}"/>
    <cellStyle name="Normal 8 3 10 3" xfId="13310" xr:uid="{07EF25E1-B4DB-47BE-831C-5D76408C9DE2}"/>
    <cellStyle name="Normal 8 3 11" xfId="17540" xr:uid="{A88570AC-997A-43E5-AF93-8A1C5452E1B7}"/>
    <cellStyle name="Normal 8 3 12" xfId="9092" xr:uid="{BBE1047D-72EF-4462-BB40-4D0FE9958256}"/>
    <cellStyle name="Normal 8 3 2" xfId="496" xr:uid="{00000000-0005-0000-0000-0000311D0000}"/>
    <cellStyle name="Normal 8 3 2 10" xfId="17541" xr:uid="{303C39DD-54CE-44CE-8A30-D5440BC290ED}"/>
    <cellStyle name="Normal 8 3 2 11" xfId="9093" xr:uid="{D89F3AB8-691F-4804-8899-3A0171933C23}"/>
    <cellStyle name="Normal 8 3 2 2" xfId="497" xr:uid="{00000000-0005-0000-0000-0000321D0000}"/>
    <cellStyle name="Normal 8 3 2 2 10" xfId="9094" xr:uid="{B2787DB7-47B8-4257-80FC-5568108B24F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24319" xr:uid="{515C75D5-B731-489E-8691-7D501D9B957E}"/>
    <cellStyle name="Normal 8 3 2 2 2 2 2 2 3" xfId="15871" xr:uid="{CFEDD4A5-6181-457B-81AE-0A299A0AEE1B}"/>
    <cellStyle name="Normal 8 3 2 2 2 2 2 3" xfId="20101" xr:uid="{81B0AE33-C20C-4184-93E7-7CC5683C8A62}"/>
    <cellStyle name="Normal 8 3 2 2 2 2 2 4" xfId="11653" xr:uid="{15580D48-9F52-45FD-B3FD-8A5DAE818386}"/>
    <cellStyle name="Normal 8 3 2 2 2 2 3" xfId="5276" xr:uid="{00000000-0005-0000-0000-0000371D0000}"/>
    <cellStyle name="Normal 8 3 2 2 2 2 3 2" xfId="22174" xr:uid="{C85A795A-CEEA-49B0-8829-F98B9D7FFD7A}"/>
    <cellStyle name="Normal 8 3 2 2 2 2 3 3" xfId="13726" xr:uid="{16957055-D8FE-4CEA-B8A8-ACE83C40F0D6}"/>
    <cellStyle name="Normal 8 3 2 2 2 2 4" xfId="17956" xr:uid="{701156E7-6CD4-40B9-9CE0-E996F9DDF2A8}"/>
    <cellStyle name="Normal 8 3 2 2 2 2 5" xfId="9508" xr:uid="{F66C4D9C-717B-4989-9C4D-D4632F453DD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24732" xr:uid="{D8C2E463-765F-41A2-896D-4A2397349DC5}"/>
    <cellStyle name="Normal 8 3 2 2 2 3 2 2 3" xfId="16284" xr:uid="{F2F8046C-4E71-4B3A-BF88-F241138A8C14}"/>
    <cellStyle name="Normal 8 3 2 2 2 3 2 3" xfId="20514" xr:uid="{D2C10353-B5E7-474C-9C13-468465C069ED}"/>
    <cellStyle name="Normal 8 3 2 2 2 3 2 4" xfId="12066" xr:uid="{D459F4D3-5F92-404D-BDA8-117EE2F41713}"/>
    <cellStyle name="Normal 8 3 2 2 2 3 3" xfId="5689" xr:uid="{00000000-0005-0000-0000-00003B1D0000}"/>
    <cellStyle name="Normal 8 3 2 2 2 3 3 2" xfId="22587" xr:uid="{2B8C6262-5F03-4F67-ABD8-114DC0991626}"/>
    <cellStyle name="Normal 8 3 2 2 2 3 3 3" xfId="14139" xr:uid="{18430A5D-B7E7-4385-815C-152D540D4E0A}"/>
    <cellStyle name="Normal 8 3 2 2 2 3 4" xfId="18369" xr:uid="{88E41EF4-379F-446E-BB17-0692555B82F2}"/>
    <cellStyle name="Normal 8 3 2 2 2 3 5" xfId="9921" xr:uid="{BA53A584-ACD5-4CE8-8615-89DF2A838E4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25145" xr:uid="{21601957-AACA-4BE1-A6A3-9855504B5D4C}"/>
    <cellStyle name="Normal 8 3 2 2 2 4 2 2 3" xfId="16697" xr:uid="{75348F52-1C26-48D8-9BD7-9256BA4569C7}"/>
    <cellStyle name="Normal 8 3 2 2 2 4 2 3" xfId="20927" xr:uid="{D517A37D-2C1B-460B-A5C9-5B7A84DDC8CF}"/>
    <cellStyle name="Normal 8 3 2 2 2 4 2 4" xfId="12479" xr:uid="{89998EF9-12F0-4773-B27E-12D23F1ECACE}"/>
    <cellStyle name="Normal 8 3 2 2 2 4 3" xfId="6102" xr:uid="{00000000-0005-0000-0000-00003F1D0000}"/>
    <cellStyle name="Normal 8 3 2 2 2 4 3 2" xfId="23000" xr:uid="{3F834E1D-F078-41B6-B126-D3AF8E22E73F}"/>
    <cellStyle name="Normal 8 3 2 2 2 4 3 3" xfId="14552" xr:uid="{72AFF4CF-F42B-4AB6-9BDB-921DAC3EFA4A}"/>
    <cellStyle name="Normal 8 3 2 2 2 4 4" xfId="18782" xr:uid="{CE9C89AB-B9D7-4CB6-90DB-7A5AC46C076F}"/>
    <cellStyle name="Normal 8 3 2 2 2 4 5" xfId="10334" xr:uid="{4A0BF5BB-956B-480B-90F7-00B4B78872F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25558" xr:uid="{00B0A888-03E9-457D-8D4F-56566916D7DB}"/>
    <cellStyle name="Normal 8 3 2 2 2 5 2 2 3" xfId="17110" xr:uid="{04CA457B-2BF3-468B-9548-5F16EDD87FD9}"/>
    <cellStyle name="Normal 8 3 2 2 2 5 2 3" xfId="21340" xr:uid="{BC7B5882-6374-4EAE-8CAC-E1E53334E9F5}"/>
    <cellStyle name="Normal 8 3 2 2 2 5 2 4" xfId="12892" xr:uid="{0659C4B1-3C12-4094-995E-D538B24A5D16}"/>
    <cellStyle name="Normal 8 3 2 2 2 5 3" xfId="6515" xr:uid="{00000000-0005-0000-0000-0000431D0000}"/>
    <cellStyle name="Normal 8 3 2 2 2 5 3 2" xfId="23413" xr:uid="{4DCB50A4-5DED-46B2-BE1D-F2430372A458}"/>
    <cellStyle name="Normal 8 3 2 2 2 5 3 3" xfId="14965" xr:uid="{A653B945-5F4E-4A0D-91E5-302A2C563BF4}"/>
    <cellStyle name="Normal 8 3 2 2 2 5 4" xfId="19195" xr:uid="{898E6D4D-555A-430B-913C-88A9DA74394E}"/>
    <cellStyle name="Normal 8 3 2 2 2 5 5" xfId="10747" xr:uid="{0DD6AF08-0F9C-445E-95F6-3D4914B58453}"/>
    <cellStyle name="Normal 8 3 2 2 2 6" xfId="2645" xr:uid="{00000000-0005-0000-0000-0000441D0000}"/>
    <cellStyle name="Normal 8 3 2 2 2 6 2" xfId="6928" xr:uid="{00000000-0005-0000-0000-0000451D0000}"/>
    <cellStyle name="Normal 8 3 2 2 2 6 2 2" xfId="23826" xr:uid="{099C1443-7667-4C99-B194-739C927A32AF}"/>
    <cellStyle name="Normal 8 3 2 2 2 6 2 3" xfId="15378" xr:uid="{28848DBE-2EF6-4471-B361-1738C815A347}"/>
    <cellStyle name="Normal 8 3 2 2 2 6 3" xfId="19608" xr:uid="{50314668-70F9-45EB-89D5-8BC1AE2DB02E}"/>
    <cellStyle name="Normal 8 3 2 2 2 6 4" xfId="11160" xr:uid="{3B97E9C6-9E81-4A51-B7F4-4FE9B1A5CC8D}"/>
    <cellStyle name="Normal 8 3 2 2 2 7" xfId="4863" xr:uid="{00000000-0005-0000-0000-0000461D0000}"/>
    <cellStyle name="Normal 8 3 2 2 2 7 2" xfId="21761" xr:uid="{7FB55DED-9BAA-4139-B4B4-0264228C4A55}"/>
    <cellStyle name="Normal 8 3 2 2 2 7 3" xfId="13313" xr:uid="{F1EC7CD6-75C7-4257-A5C8-17471ADABB79}"/>
    <cellStyle name="Normal 8 3 2 2 2 8" xfId="17543" xr:uid="{B42F5473-4E81-4468-A810-75ADCA3AFA5D}"/>
    <cellStyle name="Normal 8 3 2 2 2 9" xfId="9095" xr:uid="{4A9B8CE2-2D81-421D-8C2D-2BBC3C5221E8}"/>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24318" xr:uid="{B516630C-664A-454F-ACFD-A7BE1F2534D4}"/>
    <cellStyle name="Normal 8 3 2 2 3 2 2 3" xfId="15870" xr:uid="{1B1D2269-448F-456C-B595-A6B42026E3F9}"/>
    <cellStyle name="Normal 8 3 2 2 3 2 3" xfId="20100" xr:uid="{36D70EDF-4236-4728-BE3A-3808A1BDD610}"/>
    <cellStyle name="Normal 8 3 2 2 3 2 4" xfId="11652" xr:uid="{9AAF3005-2463-49CC-97C5-01A6F1C8EE7B}"/>
    <cellStyle name="Normal 8 3 2 2 3 3" xfId="5275" xr:uid="{00000000-0005-0000-0000-00004A1D0000}"/>
    <cellStyle name="Normal 8 3 2 2 3 3 2" xfId="22173" xr:uid="{60614B93-FB50-468A-B3E8-2F0805E5567E}"/>
    <cellStyle name="Normal 8 3 2 2 3 3 3" xfId="13725" xr:uid="{74CE5B07-4CB1-42D3-8FFA-F42CCC4B02DA}"/>
    <cellStyle name="Normal 8 3 2 2 3 4" xfId="17955" xr:uid="{E7837F03-E499-4CC6-BADF-D58308D39642}"/>
    <cellStyle name="Normal 8 3 2 2 3 5" xfId="9507" xr:uid="{14D25678-908D-49D8-9D48-B7C3D0D906B4}"/>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24731" xr:uid="{375A7650-F21D-47FD-AD68-DAFFDF5BCB78}"/>
    <cellStyle name="Normal 8 3 2 2 4 2 2 3" xfId="16283" xr:uid="{2FCEF358-26A4-4E6A-9A4E-7D0F33DB9B37}"/>
    <cellStyle name="Normal 8 3 2 2 4 2 3" xfId="20513" xr:uid="{1ACF19EF-1107-42F5-8FD8-718A36E8DEB7}"/>
    <cellStyle name="Normal 8 3 2 2 4 2 4" xfId="12065" xr:uid="{02428601-91A5-4C31-86A4-B86A91230018}"/>
    <cellStyle name="Normal 8 3 2 2 4 3" xfId="5688" xr:uid="{00000000-0005-0000-0000-00004E1D0000}"/>
    <cellStyle name="Normal 8 3 2 2 4 3 2" xfId="22586" xr:uid="{6F37A6A6-BD1D-4ABC-8CDD-615018A66F6B}"/>
    <cellStyle name="Normal 8 3 2 2 4 3 3" xfId="14138" xr:uid="{551DC713-9CBE-41B2-B5D1-69BC2245AA24}"/>
    <cellStyle name="Normal 8 3 2 2 4 4" xfId="18368" xr:uid="{8B2ED9E2-6B36-4EC9-A7C5-01AF8CFA5787}"/>
    <cellStyle name="Normal 8 3 2 2 4 5" xfId="9920" xr:uid="{05C7E44F-37BE-4519-BCBE-AABFC24C6312}"/>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25144" xr:uid="{73B52A92-94C8-4DC5-8A55-F6A247C61E24}"/>
    <cellStyle name="Normal 8 3 2 2 5 2 2 3" xfId="16696" xr:uid="{8FF1C5B5-29E5-4ABD-8333-7E791BDD97A6}"/>
    <cellStyle name="Normal 8 3 2 2 5 2 3" xfId="20926" xr:uid="{61F39C63-B27D-422B-BB72-053631051D67}"/>
    <cellStyle name="Normal 8 3 2 2 5 2 4" xfId="12478" xr:uid="{DC641111-FB38-43E6-BBC6-87AB59D89ADE}"/>
    <cellStyle name="Normal 8 3 2 2 5 3" xfId="6101" xr:uid="{00000000-0005-0000-0000-0000521D0000}"/>
    <cellStyle name="Normal 8 3 2 2 5 3 2" xfId="22999" xr:uid="{D89AE3B2-DC73-420A-8339-E3BAE7D74D5C}"/>
    <cellStyle name="Normal 8 3 2 2 5 3 3" xfId="14551" xr:uid="{A9EFB6DB-BF7D-4270-8906-490DE4819F93}"/>
    <cellStyle name="Normal 8 3 2 2 5 4" xfId="18781" xr:uid="{54BB2AA5-E75E-4B44-9C4C-27B4685426FB}"/>
    <cellStyle name="Normal 8 3 2 2 5 5" xfId="10333" xr:uid="{0D7BBA55-4DA7-4FAE-8832-026B6D465554}"/>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25557" xr:uid="{E29D4519-292C-44FC-B608-A13DC6EE2088}"/>
    <cellStyle name="Normal 8 3 2 2 6 2 2 3" xfId="17109" xr:uid="{B88A4608-628D-4AC9-8E1B-374261698461}"/>
    <cellStyle name="Normal 8 3 2 2 6 2 3" xfId="21339" xr:uid="{DFF38DAF-E66C-4B4D-85C7-D00D4006DF37}"/>
    <cellStyle name="Normal 8 3 2 2 6 2 4" xfId="12891" xr:uid="{192F9233-1957-4567-9B81-E7B63BA1A35A}"/>
    <cellStyle name="Normal 8 3 2 2 6 3" xfId="6514" xr:uid="{00000000-0005-0000-0000-0000561D0000}"/>
    <cellStyle name="Normal 8 3 2 2 6 3 2" xfId="23412" xr:uid="{01A14214-452F-49F6-BC21-CB6CEDBAF440}"/>
    <cellStyle name="Normal 8 3 2 2 6 3 3" xfId="14964" xr:uid="{8EF19389-AB26-4933-9214-46991DF84EBB}"/>
    <cellStyle name="Normal 8 3 2 2 6 4" xfId="19194" xr:uid="{297E2F0B-B9F6-49D6-8264-CFAF308DC2F5}"/>
    <cellStyle name="Normal 8 3 2 2 6 5" xfId="10746" xr:uid="{8887EB15-BC42-4287-B085-E3FC0E16268D}"/>
    <cellStyle name="Normal 8 3 2 2 7" xfId="2644" xr:uid="{00000000-0005-0000-0000-0000571D0000}"/>
    <cellStyle name="Normal 8 3 2 2 7 2" xfId="6927" xr:uid="{00000000-0005-0000-0000-0000581D0000}"/>
    <cellStyle name="Normal 8 3 2 2 7 2 2" xfId="23825" xr:uid="{62B928E3-A124-400B-A682-52DAA67C6E9F}"/>
    <cellStyle name="Normal 8 3 2 2 7 2 3" xfId="15377" xr:uid="{54F3FFB7-9A74-45FE-BCAC-61D21B927DC2}"/>
    <cellStyle name="Normal 8 3 2 2 7 3" xfId="19607" xr:uid="{8D991B36-A378-471C-884B-B715257D57CA}"/>
    <cellStyle name="Normal 8 3 2 2 7 4" xfId="11159" xr:uid="{E7EF711F-1B20-4657-B035-41BB45D5C078}"/>
    <cellStyle name="Normal 8 3 2 2 8" xfId="4862" xr:uid="{00000000-0005-0000-0000-0000591D0000}"/>
    <cellStyle name="Normal 8 3 2 2 8 2" xfId="21760" xr:uid="{8621BEB9-207C-417C-8661-A564DFEE6275}"/>
    <cellStyle name="Normal 8 3 2 2 8 3" xfId="13312" xr:uid="{997707CC-8C00-45F5-A5B2-8528EECAFACD}"/>
    <cellStyle name="Normal 8 3 2 2 9" xfId="17542" xr:uid="{9127BC94-D275-4BB5-A4AC-01545D36676B}"/>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24320" xr:uid="{5E83D48B-DF40-4854-98C9-B4D9DE61CD51}"/>
    <cellStyle name="Normal 8 3 2 3 2 2 2 3" xfId="15872" xr:uid="{E3700A55-4356-4D19-A12D-6E6A30B70FF8}"/>
    <cellStyle name="Normal 8 3 2 3 2 2 3" xfId="20102" xr:uid="{AFCC12EF-0238-4951-9D18-8B1D732AE7AA}"/>
    <cellStyle name="Normal 8 3 2 3 2 2 4" xfId="11654" xr:uid="{F40DA623-A321-49AE-8A63-98F9D62308AF}"/>
    <cellStyle name="Normal 8 3 2 3 2 3" xfId="5277" xr:uid="{00000000-0005-0000-0000-00005E1D0000}"/>
    <cellStyle name="Normal 8 3 2 3 2 3 2" xfId="22175" xr:uid="{C152D909-E0EF-4884-A3B6-DBB524151AA3}"/>
    <cellStyle name="Normal 8 3 2 3 2 3 3" xfId="13727" xr:uid="{170194B1-DFBA-432A-A1CE-D99BC10C2D55}"/>
    <cellStyle name="Normal 8 3 2 3 2 4" xfId="17957" xr:uid="{FBECB9F3-1683-47C2-936A-03E07C7094E1}"/>
    <cellStyle name="Normal 8 3 2 3 2 5" xfId="9509" xr:uid="{31B78E0E-C134-4E1B-885F-0344F3C5AEBB}"/>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24733" xr:uid="{025C6E9D-6759-4DC1-B58F-1B41FC0BDFCE}"/>
    <cellStyle name="Normal 8 3 2 3 3 2 2 3" xfId="16285" xr:uid="{20C1AB05-6127-4B40-9DF1-84469CC07F3B}"/>
    <cellStyle name="Normal 8 3 2 3 3 2 3" xfId="20515" xr:uid="{4F661FFA-0BFE-4C47-8191-28E7B931D8B8}"/>
    <cellStyle name="Normal 8 3 2 3 3 2 4" xfId="12067" xr:uid="{BF88C9A5-8340-41BB-A022-9A549466E711}"/>
    <cellStyle name="Normal 8 3 2 3 3 3" xfId="5690" xr:uid="{00000000-0005-0000-0000-0000621D0000}"/>
    <cellStyle name="Normal 8 3 2 3 3 3 2" xfId="22588" xr:uid="{367F1CAA-CFC7-4CBA-8363-BABFAD0122EF}"/>
    <cellStyle name="Normal 8 3 2 3 3 3 3" xfId="14140" xr:uid="{4396AD4F-3F16-4C41-8B93-AC3E851914DA}"/>
    <cellStyle name="Normal 8 3 2 3 3 4" xfId="18370" xr:uid="{6441C898-EC5B-4063-A9F5-0DB709526217}"/>
    <cellStyle name="Normal 8 3 2 3 3 5" xfId="9922" xr:uid="{21C9091E-8DE2-487E-8AD9-E7D3A1ACA451}"/>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25146" xr:uid="{7438830B-99F5-48F1-9456-E4CCAB882E5C}"/>
    <cellStyle name="Normal 8 3 2 3 4 2 2 3" xfId="16698" xr:uid="{85E91EAE-5080-476C-BD6E-32FE6849CAFE}"/>
    <cellStyle name="Normal 8 3 2 3 4 2 3" xfId="20928" xr:uid="{5B63BD12-A54A-46E1-8150-6C10F0414E74}"/>
    <cellStyle name="Normal 8 3 2 3 4 2 4" xfId="12480" xr:uid="{A25033F1-F0A5-40A4-933F-70B9E4CA995D}"/>
    <cellStyle name="Normal 8 3 2 3 4 3" xfId="6103" xr:uid="{00000000-0005-0000-0000-0000661D0000}"/>
    <cellStyle name="Normal 8 3 2 3 4 3 2" xfId="23001" xr:uid="{602B498D-2897-4599-89BE-83D688EF4470}"/>
    <cellStyle name="Normal 8 3 2 3 4 3 3" xfId="14553" xr:uid="{D451ACDA-1710-4499-A09E-35C8D7A05762}"/>
    <cellStyle name="Normal 8 3 2 3 4 4" xfId="18783" xr:uid="{D1C9384B-B4E6-40F6-A8B0-CEF908B5E407}"/>
    <cellStyle name="Normal 8 3 2 3 4 5" xfId="10335" xr:uid="{E8A7297B-42CD-40E9-819F-DA578F5E80F0}"/>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25559" xr:uid="{48222366-A72C-496B-A540-97370686588C}"/>
    <cellStyle name="Normal 8 3 2 3 5 2 2 3" xfId="17111" xr:uid="{DCE551BD-DE37-4442-B670-2D792EAF7AB6}"/>
    <cellStyle name="Normal 8 3 2 3 5 2 3" xfId="21341" xr:uid="{C3F65C95-02AE-4A96-9278-E54E92598865}"/>
    <cellStyle name="Normal 8 3 2 3 5 2 4" xfId="12893" xr:uid="{E4E1B593-7720-4B68-8921-CD66655B04B2}"/>
    <cellStyle name="Normal 8 3 2 3 5 3" xfId="6516" xr:uid="{00000000-0005-0000-0000-00006A1D0000}"/>
    <cellStyle name="Normal 8 3 2 3 5 3 2" xfId="23414" xr:uid="{6738CF6E-6C86-4E5C-B0A0-B7DAEF6FA7AA}"/>
    <cellStyle name="Normal 8 3 2 3 5 3 3" xfId="14966" xr:uid="{B8391D4F-1A2C-4C90-A248-C5EBEF3A8C17}"/>
    <cellStyle name="Normal 8 3 2 3 5 4" xfId="19196" xr:uid="{3C97AB64-1EBA-4F52-94F4-E6A18E7D9641}"/>
    <cellStyle name="Normal 8 3 2 3 5 5" xfId="10748" xr:uid="{BB575198-E3E1-4FE9-921B-1985DDEF1147}"/>
    <cellStyle name="Normal 8 3 2 3 6" xfId="2646" xr:uid="{00000000-0005-0000-0000-00006B1D0000}"/>
    <cellStyle name="Normal 8 3 2 3 6 2" xfId="6929" xr:uid="{00000000-0005-0000-0000-00006C1D0000}"/>
    <cellStyle name="Normal 8 3 2 3 6 2 2" xfId="23827" xr:uid="{FC825A01-E2C6-48AA-9CDA-F06FA7FBB8A8}"/>
    <cellStyle name="Normal 8 3 2 3 6 2 3" xfId="15379" xr:uid="{76B725D5-A41A-45C7-A42F-58C05EDC87E3}"/>
    <cellStyle name="Normal 8 3 2 3 6 3" xfId="19609" xr:uid="{A5935B3B-618F-40C3-9C17-685C1134A39F}"/>
    <cellStyle name="Normal 8 3 2 3 6 4" xfId="11161" xr:uid="{83564C62-3910-4C44-94B0-140BA38E2BF3}"/>
    <cellStyle name="Normal 8 3 2 3 7" xfId="4864" xr:uid="{00000000-0005-0000-0000-00006D1D0000}"/>
    <cellStyle name="Normal 8 3 2 3 7 2" xfId="21762" xr:uid="{06186A80-D2F9-4A02-A0A8-4FDFD796288A}"/>
    <cellStyle name="Normal 8 3 2 3 7 3" xfId="13314" xr:uid="{3C32E7A3-F5D2-4887-B592-A93EFBC0D2C6}"/>
    <cellStyle name="Normal 8 3 2 3 8" xfId="17544" xr:uid="{8DB6B0AA-EBE8-4CB9-9715-960E4ADDDFA7}"/>
    <cellStyle name="Normal 8 3 2 3 9" xfId="9096" xr:uid="{249E8988-F87E-4A0C-A2A4-AA7592A2B21F}"/>
    <cellStyle name="Normal 8 3 2 4" xfId="963" xr:uid="{00000000-0005-0000-0000-00006E1D0000}"/>
    <cellStyle name="Normal 8 3 2 4 2" xfId="3197" xr:uid="{00000000-0005-0000-0000-00006F1D0000}"/>
    <cellStyle name="Normal 8 3 2 4 2 2" xfId="7419" xr:uid="{00000000-0005-0000-0000-0000701D0000}"/>
    <cellStyle name="Normal 8 3 2 4 2 2 2" xfId="24317" xr:uid="{EB1D28A1-19A7-452A-8CA7-B24E0876DA81}"/>
    <cellStyle name="Normal 8 3 2 4 2 2 3" xfId="15869" xr:uid="{CC2FA247-523D-45F1-9F86-BF7F1DA15EC6}"/>
    <cellStyle name="Normal 8 3 2 4 2 3" xfId="20099" xr:uid="{4F7286CD-43D2-444A-9B19-E59265D2473E}"/>
    <cellStyle name="Normal 8 3 2 4 2 4" xfId="11651" xr:uid="{E2C63736-3D3E-4144-910E-9DD906977C01}"/>
    <cellStyle name="Normal 8 3 2 4 3" xfId="5274" xr:uid="{00000000-0005-0000-0000-0000711D0000}"/>
    <cellStyle name="Normal 8 3 2 4 3 2" xfId="22172" xr:uid="{D44B2DDA-707A-4D44-AF3C-0B3CDFE7AD31}"/>
    <cellStyle name="Normal 8 3 2 4 3 3" xfId="13724" xr:uid="{20C71258-4040-4E00-BD69-C2DB79D1B049}"/>
    <cellStyle name="Normal 8 3 2 4 4" xfId="17954" xr:uid="{B107B44F-2828-4409-B33E-ADD12AA81EE3}"/>
    <cellStyle name="Normal 8 3 2 4 5" xfId="9506" xr:uid="{8F182432-AD17-4272-A6FF-344AF4DCE42B}"/>
    <cellStyle name="Normal 8 3 2 5" xfId="1380" xr:uid="{00000000-0005-0000-0000-0000721D0000}"/>
    <cellStyle name="Normal 8 3 2 5 2" xfId="3610" xr:uid="{00000000-0005-0000-0000-0000731D0000}"/>
    <cellStyle name="Normal 8 3 2 5 2 2" xfId="7832" xr:uid="{00000000-0005-0000-0000-0000741D0000}"/>
    <cellStyle name="Normal 8 3 2 5 2 2 2" xfId="24730" xr:uid="{D20E73DD-0FC0-4C5D-8EE6-F9775A08F544}"/>
    <cellStyle name="Normal 8 3 2 5 2 2 3" xfId="16282" xr:uid="{9E3C1386-5BCE-4B97-8470-26426FCD0AE6}"/>
    <cellStyle name="Normal 8 3 2 5 2 3" xfId="20512" xr:uid="{0F88E6A5-548D-4EB5-8584-82436C3800C5}"/>
    <cellStyle name="Normal 8 3 2 5 2 4" xfId="12064" xr:uid="{44933860-EB17-43C1-A8AF-BEF1F360615B}"/>
    <cellStyle name="Normal 8 3 2 5 3" xfId="5687" xr:uid="{00000000-0005-0000-0000-0000751D0000}"/>
    <cellStyle name="Normal 8 3 2 5 3 2" xfId="22585" xr:uid="{A22B1834-89E0-454D-AD10-659EB96531F4}"/>
    <cellStyle name="Normal 8 3 2 5 3 3" xfId="14137" xr:uid="{42015E31-DDE7-488C-BDFD-0A57D97ADB14}"/>
    <cellStyle name="Normal 8 3 2 5 4" xfId="18367" xr:uid="{D08476CF-369E-473B-ADD0-6E46E77242CF}"/>
    <cellStyle name="Normal 8 3 2 5 5" xfId="9919" xr:uid="{910C4274-8EA5-43C8-B028-51A235A7FE43}"/>
    <cellStyle name="Normal 8 3 2 6" xfId="1793" xr:uid="{00000000-0005-0000-0000-0000761D0000}"/>
    <cellStyle name="Normal 8 3 2 6 2" xfId="4023" xr:uid="{00000000-0005-0000-0000-0000771D0000}"/>
    <cellStyle name="Normal 8 3 2 6 2 2" xfId="8245" xr:uid="{00000000-0005-0000-0000-0000781D0000}"/>
    <cellStyle name="Normal 8 3 2 6 2 2 2" xfId="25143" xr:uid="{3A0297D6-5939-4E86-A1A2-4B2F001D261E}"/>
    <cellStyle name="Normal 8 3 2 6 2 2 3" xfId="16695" xr:uid="{DE401FA1-B45E-4B19-A671-B2147EFE3485}"/>
    <cellStyle name="Normal 8 3 2 6 2 3" xfId="20925" xr:uid="{E9089309-A8F9-4182-BFE3-5FA25F93A321}"/>
    <cellStyle name="Normal 8 3 2 6 2 4" xfId="12477" xr:uid="{33B5562D-934C-40F8-8578-A357D071F078}"/>
    <cellStyle name="Normal 8 3 2 6 3" xfId="6100" xr:uid="{00000000-0005-0000-0000-0000791D0000}"/>
    <cellStyle name="Normal 8 3 2 6 3 2" xfId="22998" xr:uid="{AB8BBA96-2F8C-45FC-B0C9-3F3B11C5F5B5}"/>
    <cellStyle name="Normal 8 3 2 6 3 3" xfId="14550" xr:uid="{61C37617-B745-47EE-A428-99BC223F4BA2}"/>
    <cellStyle name="Normal 8 3 2 6 4" xfId="18780" xr:uid="{91FFA775-A163-4131-B4D2-536054A267D8}"/>
    <cellStyle name="Normal 8 3 2 6 5" xfId="10332" xr:uid="{D8885BDF-C4F4-41B1-B618-EAB5FF2F14ED}"/>
    <cellStyle name="Normal 8 3 2 7" xfId="2207" xr:uid="{00000000-0005-0000-0000-00007A1D0000}"/>
    <cellStyle name="Normal 8 3 2 7 2" xfId="4436" xr:uid="{00000000-0005-0000-0000-00007B1D0000}"/>
    <cellStyle name="Normal 8 3 2 7 2 2" xfId="8658" xr:uid="{00000000-0005-0000-0000-00007C1D0000}"/>
    <cellStyle name="Normal 8 3 2 7 2 2 2" xfId="25556" xr:uid="{3EAFFF01-C995-494B-A998-E6376328DBB6}"/>
    <cellStyle name="Normal 8 3 2 7 2 2 3" xfId="17108" xr:uid="{21FC040D-FC12-4844-BA1F-533E9CD452AF}"/>
    <cellStyle name="Normal 8 3 2 7 2 3" xfId="21338" xr:uid="{990C5AEA-6E46-49AF-8660-9D9484EDBCD9}"/>
    <cellStyle name="Normal 8 3 2 7 2 4" xfId="12890" xr:uid="{972C9434-CDAD-4814-BE4F-C58B42A25E1E}"/>
    <cellStyle name="Normal 8 3 2 7 3" xfId="6513" xr:uid="{00000000-0005-0000-0000-00007D1D0000}"/>
    <cellStyle name="Normal 8 3 2 7 3 2" xfId="23411" xr:uid="{4B8A4FEC-8D1E-49B6-905A-9021FFF9B7BA}"/>
    <cellStyle name="Normal 8 3 2 7 3 3" xfId="14963" xr:uid="{10E16A52-BCB5-497E-B4F3-AC1D06A04D28}"/>
    <cellStyle name="Normal 8 3 2 7 4" xfId="19193" xr:uid="{02E5C307-3CBA-4C15-9DB0-F0E1360335E5}"/>
    <cellStyle name="Normal 8 3 2 7 5" xfId="10745" xr:uid="{ED6CB865-7A6F-4768-AB5C-433911DB8BBB}"/>
    <cellStyle name="Normal 8 3 2 8" xfId="2643" xr:uid="{00000000-0005-0000-0000-00007E1D0000}"/>
    <cellStyle name="Normal 8 3 2 8 2" xfId="6926" xr:uid="{00000000-0005-0000-0000-00007F1D0000}"/>
    <cellStyle name="Normal 8 3 2 8 2 2" xfId="23824" xr:uid="{4658BD57-0738-4574-962C-C750341874FF}"/>
    <cellStyle name="Normal 8 3 2 8 2 3" xfId="15376" xr:uid="{72ECDB90-F507-4F69-B851-30818BB92CB2}"/>
    <cellStyle name="Normal 8 3 2 8 3" xfId="19606" xr:uid="{2C452E9F-9DA9-44A0-BA79-254A9821A1DA}"/>
    <cellStyle name="Normal 8 3 2 8 4" xfId="11158" xr:uid="{6B0D405F-6362-475D-85B8-80026149FFB3}"/>
    <cellStyle name="Normal 8 3 2 9" xfId="4861" xr:uid="{00000000-0005-0000-0000-0000801D0000}"/>
    <cellStyle name="Normal 8 3 2 9 2" xfId="21759" xr:uid="{68DC8967-DD79-4BBA-AC47-32830D4C0438}"/>
    <cellStyle name="Normal 8 3 2 9 3" xfId="13311" xr:uid="{234A269C-7AEF-4048-9562-670CFCD1C40A}"/>
    <cellStyle name="Normal 8 3 3" xfId="500" xr:uid="{00000000-0005-0000-0000-0000811D0000}"/>
    <cellStyle name="Normal 8 3 3 10" xfId="9097" xr:uid="{DF4A7EE5-423C-4638-B450-A9C094BDAE6B}"/>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24322" xr:uid="{57E847CF-E271-4D64-A1BA-06B7EB47899E}"/>
    <cellStyle name="Normal 8 3 3 2 2 2 2 3" xfId="15874" xr:uid="{25A1D588-6996-4AD7-BB9E-5B9247FB523E}"/>
    <cellStyle name="Normal 8 3 3 2 2 2 3" xfId="20104" xr:uid="{5CF3A73B-73EB-4540-89C0-668170708FB1}"/>
    <cellStyle name="Normal 8 3 3 2 2 2 4" xfId="11656" xr:uid="{5693FECE-EEDF-497E-9C55-F764B74E1B46}"/>
    <cellStyle name="Normal 8 3 3 2 2 3" xfId="5279" xr:uid="{00000000-0005-0000-0000-0000861D0000}"/>
    <cellStyle name="Normal 8 3 3 2 2 3 2" xfId="22177" xr:uid="{55F2ACC1-E54A-4298-8ED6-15EAE5001C91}"/>
    <cellStyle name="Normal 8 3 3 2 2 3 3" xfId="13729" xr:uid="{983F336A-CD2B-42A6-A13A-42A06903D1E0}"/>
    <cellStyle name="Normal 8 3 3 2 2 4" xfId="17959" xr:uid="{CCF48AC6-DC03-4AFD-A36D-C9B5799EB377}"/>
    <cellStyle name="Normal 8 3 3 2 2 5" xfId="9511" xr:uid="{74656275-228E-4CC4-B5C1-2FBD84FF6E61}"/>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24735" xr:uid="{8FAE16A8-365C-4D9F-BF7A-304BCE4E1B20}"/>
    <cellStyle name="Normal 8 3 3 2 3 2 2 3" xfId="16287" xr:uid="{7C720347-AF0B-450B-8184-36B3C9287C67}"/>
    <cellStyle name="Normal 8 3 3 2 3 2 3" xfId="20517" xr:uid="{F66DCDE0-42CE-42F8-BBE0-2F1F921DFC39}"/>
    <cellStyle name="Normal 8 3 3 2 3 2 4" xfId="12069" xr:uid="{0E7B1FFF-5523-4024-AC97-745AFEAF3FFF}"/>
    <cellStyle name="Normal 8 3 3 2 3 3" xfId="5692" xr:uid="{00000000-0005-0000-0000-00008A1D0000}"/>
    <cellStyle name="Normal 8 3 3 2 3 3 2" xfId="22590" xr:uid="{67F4CBA8-5637-47D3-A48C-0651F6139536}"/>
    <cellStyle name="Normal 8 3 3 2 3 3 3" xfId="14142" xr:uid="{2F0BEE34-0268-4068-B2A1-16993450AB8A}"/>
    <cellStyle name="Normal 8 3 3 2 3 4" xfId="18372" xr:uid="{B6D4F654-329D-4751-B7BE-EFD47A62F8FB}"/>
    <cellStyle name="Normal 8 3 3 2 3 5" xfId="9924" xr:uid="{1F2695C3-ED98-4543-AA0D-D97510032199}"/>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25148" xr:uid="{436FF74F-7E48-490F-B702-F50F3053FDEA}"/>
    <cellStyle name="Normal 8 3 3 2 4 2 2 3" xfId="16700" xr:uid="{C708E77F-92BC-4015-BD6A-CD6FE6BFAC32}"/>
    <cellStyle name="Normal 8 3 3 2 4 2 3" xfId="20930" xr:uid="{56E2C4CB-D530-42B6-BB63-851DF58CB047}"/>
    <cellStyle name="Normal 8 3 3 2 4 2 4" xfId="12482" xr:uid="{9923B0E1-C9EA-4D6F-B09D-9D18CEB9EEE0}"/>
    <cellStyle name="Normal 8 3 3 2 4 3" xfId="6105" xr:uid="{00000000-0005-0000-0000-00008E1D0000}"/>
    <cellStyle name="Normal 8 3 3 2 4 3 2" xfId="23003" xr:uid="{ADF0222D-BC80-4ED2-AC65-CAA9DD282855}"/>
    <cellStyle name="Normal 8 3 3 2 4 3 3" xfId="14555" xr:uid="{A20A2FED-279F-47E9-8C90-4CA891A9DA9E}"/>
    <cellStyle name="Normal 8 3 3 2 4 4" xfId="18785" xr:uid="{BDD3D29B-AF76-4552-A575-DC52F76799E8}"/>
    <cellStyle name="Normal 8 3 3 2 4 5" xfId="10337" xr:uid="{554CDC20-29BE-4FF4-A321-C07953C7B615}"/>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25561" xr:uid="{926664E6-A18F-4DEA-AAEA-0DB5DB4E71BF}"/>
    <cellStyle name="Normal 8 3 3 2 5 2 2 3" xfId="17113" xr:uid="{840BF0EA-FA14-40D3-9F2E-1290CF00BF00}"/>
    <cellStyle name="Normal 8 3 3 2 5 2 3" xfId="21343" xr:uid="{8419322A-C12A-46D5-890F-62F8828B8DC2}"/>
    <cellStyle name="Normal 8 3 3 2 5 2 4" xfId="12895" xr:uid="{A2BCBB5F-9187-41BD-9C38-E53FE2C8B131}"/>
    <cellStyle name="Normal 8 3 3 2 5 3" xfId="6518" xr:uid="{00000000-0005-0000-0000-0000921D0000}"/>
    <cellStyle name="Normal 8 3 3 2 5 3 2" xfId="23416" xr:uid="{AECAA415-D613-4113-B48E-2AFDA517F677}"/>
    <cellStyle name="Normal 8 3 3 2 5 3 3" xfId="14968" xr:uid="{3F6B0368-5B66-45F5-9368-93181FFF6EC4}"/>
    <cellStyle name="Normal 8 3 3 2 5 4" xfId="19198" xr:uid="{A463B7A5-0D94-48B3-AE0A-153F65C5D820}"/>
    <cellStyle name="Normal 8 3 3 2 5 5" xfId="10750" xr:uid="{44FD05EE-F8CF-424A-86A5-DA164D794337}"/>
    <cellStyle name="Normal 8 3 3 2 6" xfId="2648" xr:uid="{00000000-0005-0000-0000-0000931D0000}"/>
    <cellStyle name="Normal 8 3 3 2 6 2" xfId="6931" xr:uid="{00000000-0005-0000-0000-0000941D0000}"/>
    <cellStyle name="Normal 8 3 3 2 6 2 2" xfId="23829" xr:uid="{236A1BB9-CFEA-47B4-B91B-DE075908564A}"/>
    <cellStyle name="Normal 8 3 3 2 6 2 3" xfId="15381" xr:uid="{7F5FBFE6-ABC0-47AF-A300-47CE8EAA98F8}"/>
    <cellStyle name="Normal 8 3 3 2 6 3" xfId="19611" xr:uid="{AA8AFCD9-6967-4B8F-B1C3-B6B0ADA1C164}"/>
    <cellStyle name="Normal 8 3 3 2 6 4" xfId="11163" xr:uid="{A7AB0C49-CF01-47E8-B6C9-5EEFCFB61C56}"/>
    <cellStyle name="Normal 8 3 3 2 7" xfId="4866" xr:uid="{00000000-0005-0000-0000-0000951D0000}"/>
    <cellStyle name="Normal 8 3 3 2 7 2" xfId="21764" xr:uid="{2DFB53C4-6525-4E29-A373-C8A9AFF97454}"/>
    <cellStyle name="Normal 8 3 3 2 7 3" xfId="13316" xr:uid="{0893123A-20AB-4B4E-9313-18285D80035D}"/>
    <cellStyle name="Normal 8 3 3 2 8" xfId="17546" xr:uid="{76CE224C-EAB9-4872-978A-CFE07F569022}"/>
    <cellStyle name="Normal 8 3 3 2 9" xfId="9098" xr:uid="{A8F7A2C1-DF52-4EEA-92C5-921B16B99958}"/>
    <cellStyle name="Normal 8 3 3 3" xfId="967" xr:uid="{00000000-0005-0000-0000-0000961D0000}"/>
    <cellStyle name="Normal 8 3 3 3 2" xfId="3201" xr:uid="{00000000-0005-0000-0000-0000971D0000}"/>
    <cellStyle name="Normal 8 3 3 3 2 2" xfId="7423" xr:uid="{00000000-0005-0000-0000-0000981D0000}"/>
    <cellStyle name="Normal 8 3 3 3 2 2 2" xfId="24321" xr:uid="{6384FE7D-2291-43B2-9BAC-E73B62FCCD49}"/>
    <cellStyle name="Normal 8 3 3 3 2 2 3" xfId="15873" xr:uid="{D073648E-19BC-43FF-BF3B-D9D223A2EC26}"/>
    <cellStyle name="Normal 8 3 3 3 2 3" xfId="20103" xr:uid="{47AFEEEB-FC62-416E-BD66-9E43896CA52C}"/>
    <cellStyle name="Normal 8 3 3 3 2 4" xfId="11655" xr:uid="{2ACFBC40-4CA3-47E7-932D-AFCF4EF78F51}"/>
    <cellStyle name="Normal 8 3 3 3 3" xfId="5278" xr:uid="{00000000-0005-0000-0000-0000991D0000}"/>
    <cellStyle name="Normal 8 3 3 3 3 2" xfId="22176" xr:uid="{128B310A-60D7-40BA-A419-E3A1B34FC1AA}"/>
    <cellStyle name="Normal 8 3 3 3 3 3" xfId="13728" xr:uid="{42809D66-76C1-4569-B4FB-F7A9DF180222}"/>
    <cellStyle name="Normal 8 3 3 3 4" xfId="17958" xr:uid="{DA1FA8E6-B869-4D6E-B65E-277C30A60375}"/>
    <cellStyle name="Normal 8 3 3 3 5" xfId="9510" xr:uid="{6B2C98EC-59DE-4944-BDE2-FDE010B93BA4}"/>
    <cellStyle name="Normal 8 3 3 4" xfId="1384" xr:uid="{00000000-0005-0000-0000-00009A1D0000}"/>
    <cellStyle name="Normal 8 3 3 4 2" xfId="3614" xr:uid="{00000000-0005-0000-0000-00009B1D0000}"/>
    <cellStyle name="Normal 8 3 3 4 2 2" xfId="7836" xr:uid="{00000000-0005-0000-0000-00009C1D0000}"/>
    <cellStyle name="Normal 8 3 3 4 2 2 2" xfId="24734" xr:uid="{93DBDE04-0A7D-4D1D-BC02-A786DEEF053C}"/>
    <cellStyle name="Normal 8 3 3 4 2 2 3" xfId="16286" xr:uid="{46BAAF5C-B6FF-4F4D-9DCA-0D9D8794CB7F}"/>
    <cellStyle name="Normal 8 3 3 4 2 3" xfId="20516" xr:uid="{4A8A7583-35A5-42C5-AEC0-AF388433AA64}"/>
    <cellStyle name="Normal 8 3 3 4 2 4" xfId="12068" xr:uid="{FEA07ADB-D3DD-491C-B687-905EF68AD674}"/>
    <cellStyle name="Normal 8 3 3 4 3" xfId="5691" xr:uid="{00000000-0005-0000-0000-00009D1D0000}"/>
    <cellStyle name="Normal 8 3 3 4 3 2" xfId="22589" xr:uid="{22DDE771-DD12-4716-B26A-C45B146D80A4}"/>
    <cellStyle name="Normal 8 3 3 4 3 3" xfId="14141" xr:uid="{3B2A1649-CB58-4DFD-BA18-23AFB591D1FF}"/>
    <cellStyle name="Normal 8 3 3 4 4" xfId="18371" xr:uid="{66331B7D-595E-4CE4-8557-103D62B42986}"/>
    <cellStyle name="Normal 8 3 3 4 5" xfId="9923" xr:uid="{C837A3FA-4ECB-4CA3-960B-0DE23A763BFD}"/>
    <cellStyle name="Normal 8 3 3 5" xfId="1797" xr:uid="{00000000-0005-0000-0000-00009E1D0000}"/>
    <cellStyle name="Normal 8 3 3 5 2" xfId="4027" xr:uid="{00000000-0005-0000-0000-00009F1D0000}"/>
    <cellStyle name="Normal 8 3 3 5 2 2" xfId="8249" xr:uid="{00000000-0005-0000-0000-0000A01D0000}"/>
    <cellStyle name="Normal 8 3 3 5 2 2 2" xfId="25147" xr:uid="{584D3D7D-4901-499B-A834-E90AC6683643}"/>
    <cellStyle name="Normal 8 3 3 5 2 2 3" xfId="16699" xr:uid="{933289B2-F2C6-410F-873D-A17ECC21ADDB}"/>
    <cellStyle name="Normal 8 3 3 5 2 3" xfId="20929" xr:uid="{9E25F1C3-080F-4D72-8D3F-DCE2F0E2D6A3}"/>
    <cellStyle name="Normal 8 3 3 5 2 4" xfId="12481" xr:uid="{2DE4281E-2E8E-4CB0-A047-9641FD1A2553}"/>
    <cellStyle name="Normal 8 3 3 5 3" xfId="6104" xr:uid="{00000000-0005-0000-0000-0000A11D0000}"/>
    <cellStyle name="Normal 8 3 3 5 3 2" xfId="23002" xr:uid="{FC7D9AB4-0AF5-4A7B-9154-F9A71D3CEB36}"/>
    <cellStyle name="Normal 8 3 3 5 3 3" xfId="14554" xr:uid="{12FBD03C-B802-48F5-BFC8-D4021FD96E7E}"/>
    <cellStyle name="Normal 8 3 3 5 4" xfId="18784" xr:uid="{0BFDCD17-C50A-4B80-B334-A6F248336E80}"/>
    <cellStyle name="Normal 8 3 3 5 5" xfId="10336" xr:uid="{23DAE80F-A30D-4072-96FB-5ED4B5D5482F}"/>
    <cellStyle name="Normal 8 3 3 6" xfId="2211" xr:uid="{00000000-0005-0000-0000-0000A21D0000}"/>
    <cellStyle name="Normal 8 3 3 6 2" xfId="4440" xr:uid="{00000000-0005-0000-0000-0000A31D0000}"/>
    <cellStyle name="Normal 8 3 3 6 2 2" xfId="8662" xr:uid="{00000000-0005-0000-0000-0000A41D0000}"/>
    <cellStyle name="Normal 8 3 3 6 2 2 2" xfId="25560" xr:uid="{32DFA8D2-D9E6-4CC3-89E8-98AA13C65CFB}"/>
    <cellStyle name="Normal 8 3 3 6 2 2 3" xfId="17112" xr:uid="{047DCDC9-7BEF-428A-8059-2C77C74CE08E}"/>
    <cellStyle name="Normal 8 3 3 6 2 3" xfId="21342" xr:uid="{E4603E93-E5C3-44B2-B575-4EBF42ABF685}"/>
    <cellStyle name="Normal 8 3 3 6 2 4" xfId="12894" xr:uid="{EF5E4EAC-69FE-4655-B9C1-79617FCC39B0}"/>
    <cellStyle name="Normal 8 3 3 6 3" xfId="6517" xr:uid="{00000000-0005-0000-0000-0000A51D0000}"/>
    <cellStyle name="Normal 8 3 3 6 3 2" xfId="23415" xr:uid="{B9B6590D-30CC-4A94-B386-244911139FA3}"/>
    <cellStyle name="Normal 8 3 3 6 3 3" xfId="14967" xr:uid="{F25C539F-B1B7-43F7-A07B-BDF503519AB8}"/>
    <cellStyle name="Normal 8 3 3 6 4" xfId="19197" xr:uid="{6C02B008-D030-41AF-B1E5-8E7D5DD33984}"/>
    <cellStyle name="Normal 8 3 3 6 5" xfId="10749" xr:uid="{273C9298-BEE0-4A02-AD9C-1A258B899095}"/>
    <cellStyle name="Normal 8 3 3 7" xfId="2647" xr:uid="{00000000-0005-0000-0000-0000A61D0000}"/>
    <cellStyle name="Normal 8 3 3 7 2" xfId="6930" xr:uid="{00000000-0005-0000-0000-0000A71D0000}"/>
    <cellStyle name="Normal 8 3 3 7 2 2" xfId="23828" xr:uid="{5858764F-EAF1-4D73-990A-A60C7271A74D}"/>
    <cellStyle name="Normal 8 3 3 7 2 3" xfId="15380" xr:uid="{BAF23152-DE67-4A64-A551-7117BDD652B2}"/>
    <cellStyle name="Normal 8 3 3 7 3" xfId="19610" xr:uid="{E9D04998-9B92-4DA2-A993-46939DF1697C}"/>
    <cellStyle name="Normal 8 3 3 7 4" xfId="11162" xr:uid="{FD8209EE-EB29-49EE-AE55-273D69B7E67A}"/>
    <cellStyle name="Normal 8 3 3 8" xfId="4865" xr:uid="{00000000-0005-0000-0000-0000A81D0000}"/>
    <cellStyle name="Normal 8 3 3 8 2" xfId="21763" xr:uid="{C56D99F6-9AD6-45EC-962E-3DF184B42795}"/>
    <cellStyle name="Normal 8 3 3 8 3" xfId="13315" xr:uid="{4DDA5A3E-06E3-4940-AAE6-CD79F4D55CAA}"/>
    <cellStyle name="Normal 8 3 3 9" xfId="17545" xr:uid="{D6D1E609-BAB9-40B3-912B-0EE5259AF089}"/>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2 2 2" xfId="24323" xr:uid="{EA66349D-D16A-4ABF-B149-97FA8B3D1894}"/>
    <cellStyle name="Normal 8 3 4 2 2 2 3" xfId="15875" xr:uid="{0AA48A15-74E3-4018-AC07-953DABBFB6CC}"/>
    <cellStyle name="Normal 8 3 4 2 2 3" xfId="20105" xr:uid="{0448EC1B-898E-41D0-A8EA-E16420EA381E}"/>
    <cellStyle name="Normal 8 3 4 2 2 4" xfId="11657" xr:uid="{2E596D97-A4C1-4938-A676-33D81B7BAF1F}"/>
    <cellStyle name="Normal 8 3 4 2 3" xfId="5280" xr:uid="{00000000-0005-0000-0000-0000AD1D0000}"/>
    <cellStyle name="Normal 8 3 4 2 3 2" xfId="22178" xr:uid="{CCE06810-85F6-43D9-AD27-F65D21885BC7}"/>
    <cellStyle name="Normal 8 3 4 2 3 3" xfId="13730" xr:uid="{159B014E-0AFD-47CF-A707-4FFE312C15E7}"/>
    <cellStyle name="Normal 8 3 4 2 4" xfId="17960" xr:uid="{B27CF21C-3D1E-4403-AA2C-3160256125F2}"/>
    <cellStyle name="Normal 8 3 4 2 5" xfId="9512" xr:uid="{FF09B5A3-1CF4-4DCE-95CB-902F372FC2B0}"/>
    <cellStyle name="Normal 8 3 4 3" xfId="1386" xr:uid="{00000000-0005-0000-0000-0000AE1D0000}"/>
    <cellStyle name="Normal 8 3 4 3 2" xfId="3616" xr:uid="{00000000-0005-0000-0000-0000AF1D0000}"/>
    <cellStyle name="Normal 8 3 4 3 2 2" xfId="7838" xr:uid="{00000000-0005-0000-0000-0000B01D0000}"/>
    <cellStyle name="Normal 8 3 4 3 2 2 2" xfId="24736" xr:uid="{A2940810-6F83-42AC-A9DA-097E5FAEC82B}"/>
    <cellStyle name="Normal 8 3 4 3 2 2 3" xfId="16288" xr:uid="{8E186503-C918-4798-B800-397A7E29939A}"/>
    <cellStyle name="Normal 8 3 4 3 2 3" xfId="20518" xr:uid="{8C0D1B2D-FAF1-4C42-A062-DD0981325255}"/>
    <cellStyle name="Normal 8 3 4 3 2 4" xfId="12070" xr:uid="{3CC670AD-FDFA-45DC-A9BE-A8B8899CC649}"/>
    <cellStyle name="Normal 8 3 4 3 3" xfId="5693" xr:uid="{00000000-0005-0000-0000-0000B11D0000}"/>
    <cellStyle name="Normal 8 3 4 3 3 2" xfId="22591" xr:uid="{5C148F6E-5AA7-4369-BDE6-81E98AE98205}"/>
    <cellStyle name="Normal 8 3 4 3 3 3" xfId="14143" xr:uid="{7C96330D-14F3-4A71-90B0-F3981C9C4C21}"/>
    <cellStyle name="Normal 8 3 4 3 4" xfId="18373" xr:uid="{7F1DA49D-C3BA-4847-8BDE-4062110CD960}"/>
    <cellStyle name="Normal 8 3 4 3 5" xfId="9925" xr:uid="{C75B2163-B115-4185-9BAD-9396ADF0C86B}"/>
    <cellStyle name="Normal 8 3 4 4" xfId="1799" xr:uid="{00000000-0005-0000-0000-0000B21D0000}"/>
    <cellStyle name="Normal 8 3 4 4 2" xfId="4029" xr:uid="{00000000-0005-0000-0000-0000B31D0000}"/>
    <cellStyle name="Normal 8 3 4 4 2 2" xfId="8251" xr:uid="{00000000-0005-0000-0000-0000B41D0000}"/>
    <cellStyle name="Normal 8 3 4 4 2 2 2" xfId="25149" xr:uid="{AF75B595-4A42-4BF9-A767-6794C02F40F2}"/>
    <cellStyle name="Normal 8 3 4 4 2 2 3" xfId="16701" xr:uid="{CBD8BB7C-44EB-470F-805D-0846985F1C70}"/>
    <cellStyle name="Normal 8 3 4 4 2 3" xfId="20931" xr:uid="{D9419797-AF96-4A46-A086-D988646562B8}"/>
    <cellStyle name="Normal 8 3 4 4 2 4" xfId="12483" xr:uid="{2196BF01-F5AE-4803-8463-4E0F09D05FBE}"/>
    <cellStyle name="Normal 8 3 4 4 3" xfId="6106" xr:uid="{00000000-0005-0000-0000-0000B51D0000}"/>
    <cellStyle name="Normal 8 3 4 4 3 2" xfId="23004" xr:uid="{1B33364E-1CEA-401E-8D59-DFF05DBC03FF}"/>
    <cellStyle name="Normal 8 3 4 4 3 3" xfId="14556" xr:uid="{E4666BBC-013D-4907-9CE0-CAE98762B7D3}"/>
    <cellStyle name="Normal 8 3 4 4 4" xfId="18786" xr:uid="{2713D23B-05B3-4450-B375-E854A806D567}"/>
    <cellStyle name="Normal 8 3 4 4 5" xfId="10338" xr:uid="{7BB7A0BD-EFC3-447D-B2A4-F158E134B4C5}"/>
    <cellStyle name="Normal 8 3 4 5" xfId="2213" xr:uid="{00000000-0005-0000-0000-0000B61D0000}"/>
    <cellStyle name="Normal 8 3 4 5 2" xfId="4442" xr:uid="{00000000-0005-0000-0000-0000B71D0000}"/>
    <cellStyle name="Normal 8 3 4 5 2 2" xfId="8664" xr:uid="{00000000-0005-0000-0000-0000B81D0000}"/>
    <cellStyle name="Normal 8 3 4 5 2 2 2" xfId="25562" xr:uid="{EA40FAAB-6870-42E8-9AD8-0B1EA0FE812F}"/>
    <cellStyle name="Normal 8 3 4 5 2 2 3" xfId="17114" xr:uid="{2F5618D3-730B-41D0-A2ED-54730AE29134}"/>
    <cellStyle name="Normal 8 3 4 5 2 3" xfId="21344" xr:uid="{E7A2B437-CD6B-4764-B8B3-223B2858239F}"/>
    <cellStyle name="Normal 8 3 4 5 2 4" xfId="12896" xr:uid="{41CBA4DF-DF89-4BD5-B632-058F89B411E5}"/>
    <cellStyle name="Normal 8 3 4 5 3" xfId="6519" xr:uid="{00000000-0005-0000-0000-0000B91D0000}"/>
    <cellStyle name="Normal 8 3 4 5 3 2" xfId="23417" xr:uid="{5F45FBA5-47DB-47DA-8735-A5CD87A31A31}"/>
    <cellStyle name="Normal 8 3 4 5 3 3" xfId="14969" xr:uid="{2331546C-E2EE-4053-96AA-1DF483163E07}"/>
    <cellStyle name="Normal 8 3 4 5 4" xfId="19199" xr:uid="{2FF47451-50A7-4E8C-9D9B-7B23A7EEA651}"/>
    <cellStyle name="Normal 8 3 4 5 5" xfId="10751" xr:uid="{4D68715E-9FCE-41A5-A845-6DDD9ED14B22}"/>
    <cellStyle name="Normal 8 3 4 6" xfId="2649" xr:uid="{00000000-0005-0000-0000-0000BA1D0000}"/>
    <cellStyle name="Normal 8 3 4 6 2" xfId="6932" xr:uid="{00000000-0005-0000-0000-0000BB1D0000}"/>
    <cellStyle name="Normal 8 3 4 6 2 2" xfId="23830" xr:uid="{AAD206F5-379F-4695-B3C2-E4003E989017}"/>
    <cellStyle name="Normal 8 3 4 6 2 3" xfId="15382" xr:uid="{38F26549-565F-44BC-8499-0821867417D2}"/>
    <cellStyle name="Normal 8 3 4 6 3" xfId="19612" xr:uid="{BEBBAE30-F6D4-4268-A3E0-27615E676BFF}"/>
    <cellStyle name="Normal 8 3 4 6 4" xfId="11164" xr:uid="{BAC62876-4BB3-49CA-8C50-E166614D590B}"/>
    <cellStyle name="Normal 8 3 4 7" xfId="4867" xr:uid="{00000000-0005-0000-0000-0000BC1D0000}"/>
    <cellStyle name="Normal 8 3 4 7 2" xfId="21765" xr:uid="{28DCDF19-336F-412B-8F89-A53DD8DADCEE}"/>
    <cellStyle name="Normal 8 3 4 7 3" xfId="13317" xr:uid="{0BEE54BD-A90D-4213-9DC3-9A66468CDCA0}"/>
    <cellStyle name="Normal 8 3 4 8" xfId="17547" xr:uid="{E44E805E-A38B-47E1-A38D-F6BF2EB582E1}"/>
    <cellStyle name="Normal 8 3 4 9" xfId="9099" xr:uid="{D78146D7-320A-4A70-8B09-329BFDFA2215}"/>
    <cellStyle name="Normal 8 3 5" xfId="962" xr:uid="{00000000-0005-0000-0000-0000BD1D0000}"/>
    <cellStyle name="Normal 8 3 5 2" xfId="3196" xr:uid="{00000000-0005-0000-0000-0000BE1D0000}"/>
    <cellStyle name="Normal 8 3 5 2 2" xfId="7418" xr:uid="{00000000-0005-0000-0000-0000BF1D0000}"/>
    <cellStyle name="Normal 8 3 5 2 2 2" xfId="24316" xr:uid="{105CA719-BA1D-427F-91DB-A9ED0580871B}"/>
    <cellStyle name="Normal 8 3 5 2 2 3" xfId="15868" xr:uid="{245E7B8D-D9A8-4159-A100-F73B38972156}"/>
    <cellStyle name="Normal 8 3 5 2 3" xfId="20098" xr:uid="{8C5F237C-D594-4E93-AD8A-443678A19F09}"/>
    <cellStyle name="Normal 8 3 5 2 4" xfId="11650" xr:uid="{CFF998AB-EF28-4F1D-B7F9-FBB87CD55F61}"/>
    <cellStyle name="Normal 8 3 5 3" xfId="5273" xr:uid="{00000000-0005-0000-0000-0000C01D0000}"/>
    <cellStyle name="Normal 8 3 5 3 2" xfId="22171" xr:uid="{EFD63DF6-6F9E-4696-93A5-9EF600FDD332}"/>
    <cellStyle name="Normal 8 3 5 3 3" xfId="13723" xr:uid="{D604FFCE-23A1-47D1-A21A-576789B7A848}"/>
    <cellStyle name="Normal 8 3 5 4" xfId="17953" xr:uid="{E4378C0E-834C-464B-BE94-9C2F72109FA8}"/>
    <cellStyle name="Normal 8 3 5 5" xfId="9505" xr:uid="{5165BC78-0245-41E4-B33B-95EC4011B8B2}"/>
    <cellStyle name="Normal 8 3 6" xfId="1379" xr:uid="{00000000-0005-0000-0000-0000C11D0000}"/>
    <cellStyle name="Normal 8 3 6 2" xfId="3609" xr:uid="{00000000-0005-0000-0000-0000C21D0000}"/>
    <cellStyle name="Normal 8 3 6 2 2" xfId="7831" xr:uid="{00000000-0005-0000-0000-0000C31D0000}"/>
    <cellStyle name="Normal 8 3 6 2 2 2" xfId="24729" xr:uid="{2FF3AA58-2DFF-4D99-A9AA-D2064F0F36A6}"/>
    <cellStyle name="Normal 8 3 6 2 2 3" xfId="16281" xr:uid="{F35A3198-D1C2-418D-86ED-66CF36110B1F}"/>
    <cellStyle name="Normal 8 3 6 2 3" xfId="20511" xr:uid="{5BCC977A-28E6-4069-8035-695A23FA9898}"/>
    <cellStyle name="Normal 8 3 6 2 4" xfId="12063" xr:uid="{64078ACF-2540-456B-A7DA-18A01C1C2365}"/>
    <cellStyle name="Normal 8 3 6 3" xfId="5686" xr:uid="{00000000-0005-0000-0000-0000C41D0000}"/>
    <cellStyle name="Normal 8 3 6 3 2" xfId="22584" xr:uid="{DFEB858C-36B6-4E67-A0AB-2F4910BA6845}"/>
    <cellStyle name="Normal 8 3 6 3 3" xfId="14136" xr:uid="{D95A1115-8671-4280-A495-C43D000C2497}"/>
    <cellStyle name="Normal 8 3 6 4" xfId="18366" xr:uid="{0C761002-6F34-48E3-A20F-C9F05A2ACD8A}"/>
    <cellStyle name="Normal 8 3 6 5" xfId="9918" xr:uid="{19168F0E-D4D3-4C66-A062-6C61F137FD74}"/>
    <cellStyle name="Normal 8 3 7" xfId="1792" xr:uid="{00000000-0005-0000-0000-0000C51D0000}"/>
    <cellStyle name="Normal 8 3 7 2" xfId="4022" xr:uid="{00000000-0005-0000-0000-0000C61D0000}"/>
    <cellStyle name="Normal 8 3 7 2 2" xfId="8244" xr:uid="{00000000-0005-0000-0000-0000C71D0000}"/>
    <cellStyle name="Normal 8 3 7 2 2 2" xfId="25142" xr:uid="{2D11EEDA-D482-438E-8978-3DE1A1D47E30}"/>
    <cellStyle name="Normal 8 3 7 2 2 3" xfId="16694" xr:uid="{9CB0BD32-66DE-4218-AA05-B7CD2CAA73F9}"/>
    <cellStyle name="Normal 8 3 7 2 3" xfId="20924" xr:uid="{51D43FC8-CFBD-4AFB-B307-6228B0017447}"/>
    <cellStyle name="Normal 8 3 7 2 4" xfId="12476" xr:uid="{FCBF3BE8-0C4C-440F-A09E-A66EB5A1B2D3}"/>
    <cellStyle name="Normal 8 3 7 3" xfId="6099" xr:uid="{00000000-0005-0000-0000-0000C81D0000}"/>
    <cellStyle name="Normal 8 3 7 3 2" xfId="22997" xr:uid="{101D02EB-D2AA-4573-92B8-82843B316EB7}"/>
    <cellStyle name="Normal 8 3 7 3 3" xfId="14549" xr:uid="{C1CCF9C4-C791-4902-AEF8-FE2862A85363}"/>
    <cellStyle name="Normal 8 3 7 4" xfId="18779" xr:uid="{0B4EA833-DDEA-4E7E-8292-73A99B21887F}"/>
    <cellStyle name="Normal 8 3 7 5" xfId="10331" xr:uid="{59C6673B-A2D2-4D32-AD0E-C8CCB4970643}"/>
    <cellStyle name="Normal 8 3 8" xfId="2206" xr:uid="{00000000-0005-0000-0000-0000C91D0000}"/>
    <cellStyle name="Normal 8 3 8 2" xfId="4435" xr:uid="{00000000-0005-0000-0000-0000CA1D0000}"/>
    <cellStyle name="Normal 8 3 8 2 2" xfId="8657" xr:uid="{00000000-0005-0000-0000-0000CB1D0000}"/>
    <cellStyle name="Normal 8 3 8 2 2 2" xfId="25555" xr:uid="{F9D6FA8C-E69E-4507-9270-F3763D6765DC}"/>
    <cellStyle name="Normal 8 3 8 2 2 3" xfId="17107" xr:uid="{1BA6C70E-94BE-402B-A6F2-354E0F4066BD}"/>
    <cellStyle name="Normal 8 3 8 2 3" xfId="21337" xr:uid="{4C71628E-E744-496A-A2E1-01D0391C746A}"/>
    <cellStyle name="Normal 8 3 8 2 4" xfId="12889" xr:uid="{52E69081-1299-454B-A938-5C0A9088EDA7}"/>
    <cellStyle name="Normal 8 3 8 3" xfId="6512" xr:uid="{00000000-0005-0000-0000-0000CC1D0000}"/>
    <cellStyle name="Normal 8 3 8 3 2" xfId="23410" xr:uid="{618DBFEA-EABD-4E23-AC1A-F9CA7E940EFF}"/>
    <cellStyle name="Normal 8 3 8 3 3" xfId="14962" xr:uid="{0EF519AC-61C2-46A3-813C-1316168B37B0}"/>
    <cellStyle name="Normal 8 3 8 4" xfId="19192" xr:uid="{113E5CFC-6AD0-4002-9F9B-3C9073B794C9}"/>
    <cellStyle name="Normal 8 3 8 5" xfId="10744" xr:uid="{9EC625CE-C90D-4FEA-8EAF-A8D86D6B6C8F}"/>
    <cellStyle name="Normal 8 3 9" xfId="2642" xr:uid="{00000000-0005-0000-0000-0000CD1D0000}"/>
    <cellStyle name="Normal 8 3 9 2" xfId="6925" xr:uid="{00000000-0005-0000-0000-0000CE1D0000}"/>
    <cellStyle name="Normal 8 3 9 2 2" xfId="23823" xr:uid="{C34FA0AB-4196-445A-A6AE-FC23D7422A08}"/>
    <cellStyle name="Normal 8 3 9 2 3" xfId="15375" xr:uid="{2FA08D66-0032-46E2-8F0F-B3DC78051D8F}"/>
    <cellStyle name="Normal 8 3 9 3" xfId="19605" xr:uid="{291DA1E3-2ACD-4C78-BDBD-A3446A43E4B2}"/>
    <cellStyle name="Normal 8 3 9 4" xfId="11157" xr:uid="{C54C6954-A717-488D-828D-FBAAECDE2F4A}"/>
    <cellStyle name="Normal 8 4" xfId="503" xr:uid="{00000000-0005-0000-0000-0000CF1D0000}"/>
    <cellStyle name="Normal 8 4 10" xfId="17548" xr:uid="{ABD73689-B3F8-4820-911D-90B580194B53}"/>
    <cellStyle name="Normal 8 4 11" xfId="9100" xr:uid="{8CFFF76B-8C39-4355-9870-EC4D85576F40}"/>
    <cellStyle name="Normal 8 4 2" xfId="504" xr:uid="{00000000-0005-0000-0000-0000D01D0000}"/>
    <cellStyle name="Normal 8 4 2 10" xfId="9101" xr:uid="{076FA169-0F2B-4557-B84B-88EB795BAC02}"/>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24326" xr:uid="{E7F669EA-10A2-4B5B-80A7-9B04298E43CA}"/>
    <cellStyle name="Normal 8 4 2 2 2 2 2 3" xfId="15878" xr:uid="{632ABC6C-19FC-4A2A-8346-910EDC2BCAA9}"/>
    <cellStyle name="Normal 8 4 2 2 2 2 3" xfId="20108" xr:uid="{3B74B421-1774-4E3F-AC2F-FF60D092654B}"/>
    <cellStyle name="Normal 8 4 2 2 2 2 4" xfId="11660" xr:uid="{C3908449-7B2E-463A-869A-54AF0F405514}"/>
    <cellStyle name="Normal 8 4 2 2 2 3" xfId="5283" xr:uid="{00000000-0005-0000-0000-0000D51D0000}"/>
    <cellStyle name="Normal 8 4 2 2 2 3 2" xfId="22181" xr:uid="{DC6648A1-5568-437A-9DFA-6F03B153382C}"/>
    <cellStyle name="Normal 8 4 2 2 2 3 3" xfId="13733" xr:uid="{DE131B02-956D-4489-9EBB-6D4BCB25E28E}"/>
    <cellStyle name="Normal 8 4 2 2 2 4" xfId="17963" xr:uid="{3C920356-9A10-476E-A8E8-84A36E84F7F6}"/>
    <cellStyle name="Normal 8 4 2 2 2 5" xfId="9515" xr:uid="{54A740A4-9D49-498B-9522-34C635203111}"/>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24739" xr:uid="{45B5E8C2-CCCE-406C-91E9-E980AC01E7D4}"/>
    <cellStyle name="Normal 8 4 2 2 3 2 2 3" xfId="16291" xr:uid="{7FD322FE-8A45-49F1-BF89-AEA6DC25448E}"/>
    <cellStyle name="Normal 8 4 2 2 3 2 3" xfId="20521" xr:uid="{55BC54CC-3F40-4DAB-A2EC-FAC1EF204485}"/>
    <cellStyle name="Normal 8 4 2 2 3 2 4" xfId="12073" xr:uid="{C9ACFA76-DD62-4346-B254-D50F268CB27C}"/>
    <cellStyle name="Normal 8 4 2 2 3 3" xfId="5696" xr:uid="{00000000-0005-0000-0000-0000D91D0000}"/>
    <cellStyle name="Normal 8 4 2 2 3 3 2" xfId="22594" xr:uid="{47D23D13-40F4-413B-8BC5-3882D7B4BCB3}"/>
    <cellStyle name="Normal 8 4 2 2 3 3 3" xfId="14146" xr:uid="{0C583083-7BAE-4F68-A7FC-27E3A5361A7F}"/>
    <cellStyle name="Normal 8 4 2 2 3 4" xfId="18376" xr:uid="{4D59F8F4-CF59-4440-8287-4331FA0E5B1C}"/>
    <cellStyle name="Normal 8 4 2 2 3 5" xfId="9928" xr:uid="{CEC0A7F4-9CAC-4BFB-8023-8D28974A4608}"/>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25152" xr:uid="{78BA84A1-139F-485E-AEF0-F66CD227034F}"/>
    <cellStyle name="Normal 8 4 2 2 4 2 2 3" xfId="16704" xr:uid="{9D4A2118-C045-470B-9AA7-509351FF1FDA}"/>
    <cellStyle name="Normal 8 4 2 2 4 2 3" xfId="20934" xr:uid="{E6375319-F664-4186-8EE9-5481AD6556A1}"/>
    <cellStyle name="Normal 8 4 2 2 4 2 4" xfId="12486" xr:uid="{3DA14A2D-0FEB-49CA-B422-501FEC258A47}"/>
    <cellStyle name="Normal 8 4 2 2 4 3" xfId="6109" xr:uid="{00000000-0005-0000-0000-0000DD1D0000}"/>
    <cellStyle name="Normal 8 4 2 2 4 3 2" xfId="23007" xr:uid="{1D2BC41D-63C2-4EA5-BFE6-3531C924B4A6}"/>
    <cellStyle name="Normal 8 4 2 2 4 3 3" xfId="14559" xr:uid="{251AA383-DC99-490A-98D9-05FA56826FB7}"/>
    <cellStyle name="Normal 8 4 2 2 4 4" xfId="18789" xr:uid="{9B2A43E3-9A55-4B92-B600-8BFB2FA91CAB}"/>
    <cellStyle name="Normal 8 4 2 2 4 5" xfId="10341" xr:uid="{21B47597-3C1A-48B1-B776-B9680AB11B32}"/>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25565" xr:uid="{3C5D4E53-DE67-4ECB-8A44-81BF5B8A40EB}"/>
    <cellStyle name="Normal 8 4 2 2 5 2 2 3" xfId="17117" xr:uid="{F95FFE07-1462-4C3E-ABDB-21BC49655E35}"/>
    <cellStyle name="Normal 8 4 2 2 5 2 3" xfId="21347" xr:uid="{84371C9B-E363-44E2-92EF-DD30C9ECC468}"/>
    <cellStyle name="Normal 8 4 2 2 5 2 4" xfId="12899" xr:uid="{A694300F-2801-43DF-9A17-3BB9AD04A1BD}"/>
    <cellStyle name="Normal 8 4 2 2 5 3" xfId="6522" xr:uid="{00000000-0005-0000-0000-0000E11D0000}"/>
    <cellStyle name="Normal 8 4 2 2 5 3 2" xfId="23420" xr:uid="{8E42C202-AEEC-440B-BC4D-6145B04B21DE}"/>
    <cellStyle name="Normal 8 4 2 2 5 3 3" xfId="14972" xr:uid="{F16155C8-2E02-4A22-907C-DCEDC8D392C6}"/>
    <cellStyle name="Normal 8 4 2 2 5 4" xfId="19202" xr:uid="{5581255C-A5A4-460E-AC66-96B03C441AFC}"/>
    <cellStyle name="Normal 8 4 2 2 5 5" xfId="10754" xr:uid="{675A38DD-1C4B-4CE2-A64C-CE78EEBCF68A}"/>
    <cellStyle name="Normal 8 4 2 2 6" xfId="2652" xr:uid="{00000000-0005-0000-0000-0000E21D0000}"/>
    <cellStyle name="Normal 8 4 2 2 6 2" xfId="6935" xr:uid="{00000000-0005-0000-0000-0000E31D0000}"/>
    <cellStyle name="Normal 8 4 2 2 6 2 2" xfId="23833" xr:uid="{C2B6D2B9-2E8A-4932-8258-20D47717D7AB}"/>
    <cellStyle name="Normal 8 4 2 2 6 2 3" xfId="15385" xr:uid="{32B0B46C-C2A5-4337-B6D2-3C035FCC4888}"/>
    <cellStyle name="Normal 8 4 2 2 6 3" xfId="19615" xr:uid="{4EBAFB2F-D017-4789-A4E8-37AA92FEA3C6}"/>
    <cellStyle name="Normal 8 4 2 2 6 4" xfId="11167" xr:uid="{92CA99C7-1F1B-4184-8CDD-5FD87946E795}"/>
    <cellStyle name="Normal 8 4 2 2 7" xfId="4870" xr:uid="{00000000-0005-0000-0000-0000E41D0000}"/>
    <cellStyle name="Normal 8 4 2 2 7 2" xfId="21768" xr:uid="{491B4EA0-99F9-45C3-ADA8-247A1389C28C}"/>
    <cellStyle name="Normal 8 4 2 2 7 3" xfId="13320" xr:uid="{78B9C340-064C-4789-9546-6662F15CBEF9}"/>
    <cellStyle name="Normal 8 4 2 2 8" xfId="17550" xr:uid="{D14097E1-8DA5-403A-BAF0-7B013E756138}"/>
    <cellStyle name="Normal 8 4 2 2 9" xfId="9102" xr:uid="{0AE4800A-9338-4736-8047-166895ADC3AC}"/>
    <cellStyle name="Normal 8 4 2 3" xfId="971" xr:uid="{00000000-0005-0000-0000-0000E51D0000}"/>
    <cellStyle name="Normal 8 4 2 3 2" xfId="3205" xr:uid="{00000000-0005-0000-0000-0000E61D0000}"/>
    <cellStyle name="Normal 8 4 2 3 2 2" xfId="7427" xr:uid="{00000000-0005-0000-0000-0000E71D0000}"/>
    <cellStyle name="Normal 8 4 2 3 2 2 2" xfId="24325" xr:uid="{94BB3F41-3D75-45F8-90BE-154C3E49E482}"/>
    <cellStyle name="Normal 8 4 2 3 2 2 3" xfId="15877" xr:uid="{B5DB305D-793A-4372-AEF1-54477E79AAAB}"/>
    <cellStyle name="Normal 8 4 2 3 2 3" xfId="20107" xr:uid="{A7660C0B-0AC4-4F32-BD91-D40E947818A1}"/>
    <cellStyle name="Normal 8 4 2 3 2 4" xfId="11659" xr:uid="{B587ADC8-0181-4C69-9452-15748650F5B0}"/>
    <cellStyle name="Normal 8 4 2 3 3" xfId="5282" xr:uid="{00000000-0005-0000-0000-0000E81D0000}"/>
    <cellStyle name="Normal 8 4 2 3 3 2" xfId="22180" xr:uid="{A336D878-04D8-4A0E-9232-D51C4F3B5621}"/>
    <cellStyle name="Normal 8 4 2 3 3 3" xfId="13732" xr:uid="{7604AB24-8CF1-4802-BB84-A22BEC599404}"/>
    <cellStyle name="Normal 8 4 2 3 4" xfId="17962" xr:uid="{CCB49A73-160D-4A52-9285-4DB3FB010D17}"/>
    <cellStyle name="Normal 8 4 2 3 5" xfId="9514" xr:uid="{60DCE781-47BA-44FE-8AF0-238B26A53CC7}"/>
    <cellStyle name="Normal 8 4 2 4" xfId="1388" xr:uid="{00000000-0005-0000-0000-0000E91D0000}"/>
    <cellStyle name="Normal 8 4 2 4 2" xfId="3618" xr:uid="{00000000-0005-0000-0000-0000EA1D0000}"/>
    <cellStyle name="Normal 8 4 2 4 2 2" xfId="7840" xr:uid="{00000000-0005-0000-0000-0000EB1D0000}"/>
    <cellStyle name="Normal 8 4 2 4 2 2 2" xfId="24738" xr:uid="{B2A65ED8-D8AB-4428-9F6E-20CB58F60F3E}"/>
    <cellStyle name="Normal 8 4 2 4 2 2 3" xfId="16290" xr:uid="{FCC9C935-7CF2-4CE5-B6D8-1B89FA1B286C}"/>
    <cellStyle name="Normal 8 4 2 4 2 3" xfId="20520" xr:uid="{486CCC4F-EE53-4BF6-A3E2-F5F28399B871}"/>
    <cellStyle name="Normal 8 4 2 4 2 4" xfId="12072" xr:uid="{35A79ACE-EB47-4C86-B130-9793171F3A7E}"/>
    <cellStyle name="Normal 8 4 2 4 3" xfId="5695" xr:uid="{00000000-0005-0000-0000-0000EC1D0000}"/>
    <cellStyle name="Normal 8 4 2 4 3 2" xfId="22593" xr:uid="{378CF991-1930-4676-BF7B-F95CFBE5A018}"/>
    <cellStyle name="Normal 8 4 2 4 3 3" xfId="14145" xr:uid="{FFF0EB8B-A47B-435E-A2C6-DA938CE9E0E7}"/>
    <cellStyle name="Normal 8 4 2 4 4" xfId="18375" xr:uid="{9FB65287-8B80-4F3C-8D3A-8E096E15EE81}"/>
    <cellStyle name="Normal 8 4 2 4 5" xfId="9927" xr:uid="{A2E792B1-046C-4A8D-B57C-41FAFD2CEFB3}"/>
    <cellStyle name="Normal 8 4 2 5" xfId="1801" xr:uid="{00000000-0005-0000-0000-0000ED1D0000}"/>
    <cellStyle name="Normal 8 4 2 5 2" xfId="4031" xr:uid="{00000000-0005-0000-0000-0000EE1D0000}"/>
    <cellStyle name="Normal 8 4 2 5 2 2" xfId="8253" xr:uid="{00000000-0005-0000-0000-0000EF1D0000}"/>
    <cellStyle name="Normal 8 4 2 5 2 2 2" xfId="25151" xr:uid="{313EB365-3FC4-4350-AB90-E1BC8004F7F5}"/>
    <cellStyle name="Normal 8 4 2 5 2 2 3" xfId="16703" xr:uid="{88DF5C9A-C0CA-4001-9DB9-4311E7925822}"/>
    <cellStyle name="Normal 8 4 2 5 2 3" xfId="20933" xr:uid="{7563FDB2-49B9-4189-9A7D-30B203E943A8}"/>
    <cellStyle name="Normal 8 4 2 5 2 4" xfId="12485" xr:uid="{A0F63F39-3571-416E-B8F4-D960E1FE74E6}"/>
    <cellStyle name="Normal 8 4 2 5 3" xfId="6108" xr:uid="{00000000-0005-0000-0000-0000F01D0000}"/>
    <cellStyle name="Normal 8 4 2 5 3 2" xfId="23006" xr:uid="{2768BEAF-6ECC-4AC0-8AA1-D6A795A980D3}"/>
    <cellStyle name="Normal 8 4 2 5 3 3" xfId="14558" xr:uid="{274F730F-FD71-4495-8CC0-FCE75B92065B}"/>
    <cellStyle name="Normal 8 4 2 5 4" xfId="18788" xr:uid="{307E974F-7CBC-464C-A957-63275A48D9C6}"/>
    <cellStyle name="Normal 8 4 2 5 5" xfId="10340" xr:uid="{1D18959B-25FC-4BE1-B6FA-188FC46F5414}"/>
    <cellStyle name="Normal 8 4 2 6" xfId="2215" xr:uid="{00000000-0005-0000-0000-0000F11D0000}"/>
    <cellStyle name="Normal 8 4 2 6 2" xfId="4444" xr:uid="{00000000-0005-0000-0000-0000F21D0000}"/>
    <cellStyle name="Normal 8 4 2 6 2 2" xfId="8666" xr:uid="{00000000-0005-0000-0000-0000F31D0000}"/>
    <cellStyle name="Normal 8 4 2 6 2 2 2" xfId="25564" xr:uid="{9619B988-5DF1-4729-8350-94DA6B6737F1}"/>
    <cellStyle name="Normal 8 4 2 6 2 2 3" xfId="17116" xr:uid="{DB40DB1F-7E65-46D9-A19C-D81E8B7943D1}"/>
    <cellStyle name="Normal 8 4 2 6 2 3" xfId="21346" xr:uid="{C660F2F9-ADDB-4D86-BDBD-839E5D8872B3}"/>
    <cellStyle name="Normal 8 4 2 6 2 4" xfId="12898" xr:uid="{1324E217-63F7-454B-BA2F-B418807A4513}"/>
    <cellStyle name="Normal 8 4 2 6 3" xfId="6521" xr:uid="{00000000-0005-0000-0000-0000F41D0000}"/>
    <cellStyle name="Normal 8 4 2 6 3 2" xfId="23419" xr:uid="{92B1792F-6305-448A-B2AA-50B540825B6C}"/>
    <cellStyle name="Normal 8 4 2 6 3 3" xfId="14971" xr:uid="{65117F5D-5A63-41BD-A183-2E03534611F4}"/>
    <cellStyle name="Normal 8 4 2 6 4" xfId="19201" xr:uid="{5377A874-EFD0-4669-8D82-75E10A498863}"/>
    <cellStyle name="Normal 8 4 2 6 5" xfId="10753" xr:uid="{CD83152E-1177-41B4-A6F6-657E4A891DFA}"/>
    <cellStyle name="Normal 8 4 2 7" xfId="2651" xr:uid="{00000000-0005-0000-0000-0000F51D0000}"/>
    <cellStyle name="Normal 8 4 2 7 2" xfId="6934" xr:uid="{00000000-0005-0000-0000-0000F61D0000}"/>
    <cellStyle name="Normal 8 4 2 7 2 2" xfId="23832" xr:uid="{078EB190-78AF-4D9E-AF13-10695CD6A28F}"/>
    <cellStyle name="Normal 8 4 2 7 2 3" xfId="15384" xr:uid="{58EE829C-232B-4DEA-9AAC-0E060E796804}"/>
    <cellStyle name="Normal 8 4 2 7 3" xfId="19614" xr:uid="{BD1E2C42-91B5-49C6-B862-2EF8F8BC2A41}"/>
    <cellStyle name="Normal 8 4 2 7 4" xfId="11166" xr:uid="{4ED5D796-3609-4162-9ABE-376C4C6F3C70}"/>
    <cellStyle name="Normal 8 4 2 8" xfId="4869" xr:uid="{00000000-0005-0000-0000-0000F71D0000}"/>
    <cellStyle name="Normal 8 4 2 8 2" xfId="21767" xr:uid="{B831AEA9-F106-4C3D-B802-DCB71E22FB59}"/>
    <cellStyle name="Normal 8 4 2 8 3" xfId="13319" xr:uid="{D21B1383-7C64-4658-AE1E-7656AB358E9B}"/>
    <cellStyle name="Normal 8 4 2 9" xfId="17549" xr:uid="{73F482A8-DE68-4FAD-92C0-246CA8FD682A}"/>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2 2 2" xfId="24327" xr:uid="{2BAEF423-0614-40EB-8BAB-3118350A40E0}"/>
    <cellStyle name="Normal 8 4 3 2 2 2 3" xfId="15879" xr:uid="{97FBD6A9-43A1-4B0E-8E74-EF199DB073D6}"/>
    <cellStyle name="Normal 8 4 3 2 2 3" xfId="20109" xr:uid="{A329A528-C459-4E63-BD9C-7CA47C2A7525}"/>
    <cellStyle name="Normal 8 4 3 2 2 4" xfId="11661" xr:uid="{BF29549E-71A7-4F91-A417-FF3A22B24C02}"/>
    <cellStyle name="Normal 8 4 3 2 3" xfId="5284" xr:uid="{00000000-0005-0000-0000-0000FC1D0000}"/>
    <cellStyle name="Normal 8 4 3 2 3 2" xfId="22182" xr:uid="{41AA19C4-5B90-4E7D-A206-F49E14BA5D17}"/>
    <cellStyle name="Normal 8 4 3 2 3 3" xfId="13734" xr:uid="{5356075A-CAD5-4BFC-B6D1-A5D731C8DC80}"/>
    <cellStyle name="Normal 8 4 3 2 4" xfId="17964" xr:uid="{806D2715-6021-4A1F-B529-85B3FFAC5618}"/>
    <cellStyle name="Normal 8 4 3 2 5" xfId="9516" xr:uid="{3BB148F5-EE1C-4E5F-B550-58DFC38FE32C}"/>
    <cellStyle name="Normal 8 4 3 3" xfId="1390" xr:uid="{00000000-0005-0000-0000-0000FD1D0000}"/>
    <cellStyle name="Normal 8 4 3 3 2" xfId="3620" xr:uid="{00000000-0005-0000-0000-0000FE1D0000}"/>
    <cellStyle name="Normal 8 4 3 3 2 2" xfId="7842" xr:uid="{00000000-0005-0000-0000-0000FF1D0000}"/>
    <cellStyle name="Normal 8 4 3 3 2 2 2" xfId="24740" xr:uid="{8F20F6B1-B742-4AC3-8649-35183F2F2AF7}"/>
    <cellStyle name="Normal 8 4 3 3 2 2 3" xfId="16292" xr:uid="{385A2C59-3884-4C06-B364-E05A93726FB2}"/>
    <cellStyle name="Normal 8 4 3 3 2 3" xfId="20522" xr:uid="{9A931B78-6FEE-4BD1-A3F7-7E4B22D49D80}"/>
    <cellStyle name="Normal 8 4 3 3 2 4" xfId="12074" xr:uid="{23C73B7E-8276-4B85-B987-E31D55FDACDF}"/>
    <cellStyle name="Normal 8 4 3 3 3" xfId="5697" xr:uid="{00000000-0005-0000-0000-0000001E0000}"/>
    <cellStyle name="Normal 8 4 3 3 3 2" xfId="22595" xr:uid="{9F06A85A-A843-4F12-BFDD-3BEB98B70B08}"/>
    <cellStyle name="Normal 8 4 3 3 3 3" xfId="14147" xr:uid="{21335D4B-DC51-46F3-B059-3A66EF643E39}"/>
    <cellStyle name="Normal 8 4 3 3 4" xfId="18377" xr:uid="{BD488300-A842-4365-A24D-887CFA878142}"/>
    <cellStyle name="Normal 8 4 3 3 5" xfId="9929" xr:uid="{C0BB221A-11B8-4EAF-A614-D310061D323B}"/>
    <cellStyle name="Normal 8 4 3 4" xfId="1803" xr:uid="{00000000-0005-0000-0000-0000011E0000}"/>
    <cellStyle name="Normal 8 4 3 4 2" xfId="4033" xr:uid="{00000000-0005-0000-0000-0000021E0000}"/>
    <cellStyle name="Normal 8 4 3 4 2 2" xfId="8255" xr:uid="{00000000-0005-0000-0000-0000031E0000}"/>
    <cellStyle name="Normal 8 4 3 4 2 2 2" xfId="25153" xr:uid="{8FE785BA-BC6B-4041-BA18-F2937AF775F1}"/>
    <cellStyle name="Normal 8 4 3 4 2 2 3" xfId="16705" xr:uid="{BDDBBA8C-F09F-46CF-B62B-212625E3E49A}"/>
    <cellStyle name="Normal 8 4 3 4 2 3" xfId="20935" xr:uid="{2C53F542-4B5D-4FDB-8433-590FD4ABA97C}"/>
    <cellStyle name="Normal 8 4 3 4 2 4" xfId="12487" xr:uid="{E1523F98-72DF-4D7C-BB8D-025283716119}"/>
    <cellStyle name="Normal 8 4 3 4 3" xfId="6110" xr:uid="{00000000-0005-0000-0000-0000041E0000}"/>
    <cellStyle name="Normal 8 4 3 4 3 2" xfId="23008" xr:uid="{AD94AEE9-C7B7-4537-ABB5-49E1B9681E81}"/>
    <cellStyle name="Normal 8 4 3 4 3 3" xfId="14560" xr:uid="{BC972FBD-7C3C-4D5B-92A3-0EED67A1AE21}"/>
    <cellStyle name="Normal 8 4 3 4 4" xfId="18790" xr:uid="{CFB182A4-1841-4F53-B860-931EDB0C4F93}"/>
    <cellStyle name="Normal 8 4 3 4 5" xfId="10342" xr:uid="{C696D793-9506-4E49-9994-E624C35C0582}"/>
    <cellStyle name="Normal 8 4 3 5" xfId="2217" xr:uid="{00000000-0005-0000-0000-0000051E0000}"/>
    <cellStyle name="Normal 8 4 3 5 2" xfId="4446" xr:uid="{00000000-0005-0000-0000-0000061E0000}"/>
    <cellStyle name="Normal 8 4 3 5 2 2" xfId="8668" xr:uid="{00000000-0005-0000-0000-0000071E0000}"/>
    <cellStyle name="Normal 8 4 3 5 2 2 2" xfId="25566" xr:uid="{93068F57-6159-495C-B85A-8F6AA469108C}"/>
    <cellStyle name="Normal 8 4 3 5 2 2 3" xfId="17118" xr:uid="{D5FE9BA5-4146-41ED-8236-17A189AC0ECD}"/>
    <cellStyle name="Normal 8 4 3 5 2 3" xfId="21348" xr:uid="{71DF7572-EA12-4D5A-8157-BDB14078529F}"/>
    <cellStyle name="Normal 8 4 3 5 2 4" xfId="12900" xr:uid="{1B7201D7-4561-494B-9871-D6AF97BFBD47}"/>
    <cellStyle name="Normal 8 4 3 5 3" xfId="6523" xr:uid="{00000000-0005-0000-0000-0000081E0000}"/>
    <cellStyle name="Normal 8 4 3 5 3 2" xfId="23421" xr:uid="{7279429B-AB95-467A-BA07-8F819EB926BD}"/>
    <cellStyle name="Normal 8 4 3 5 3 3" xfId="14973" xr:uid="{0AC839D9-4632-4049-8605-4F1DAF50E611}"/>
    <cellStyle name="Normal 8 4 3 5 4" xfId="19203" xr:uid="{3A1B4C7B-3189-446C-8BCE-1E9C61EC46A2}"/>
    <cellStyle name="Normal 8 4 3 5 5" xfId="10755" xr:uid="{05EE21C3-1D1A-4756-B955-E96C435E5278}"/>
    <cellStyle name="Normal 8 4 3 6" xfId="2653" xr:uid="{00000000-0005-0000-0000-0000091E0000}"/>
    <cellStyle name="Normal 8 4 3 6 2" xfId="6936" xr:uid="{00000000-0005-0000-0000-00000A1E0000}"/>
    <cellStyle name="Normal 8 4 3 6 2 2" xfId="23834" xr:uid="{1467641E-F5CE-496D-A480-754591CC736B}"/>
    <cellStyle name="Normal 8 4 3 6 2 3" xfId="15386" xr:uid="{80B2CE66-3BD6-4D57-AAB6-6C4F74F72BE3}"/>
    <cellStyle name="Normal 8 4 3 6 3" xfId="19616" xr:uid="{703A466D-C179-4DF6-BB56-00BE9A966DF6}"/>
    <cellStyle name="Normal 8 4 3 6 4" xfId="11168" xr:uid="{775903F2-2B7A-4043-AAC8-CFD1706A2D94}"/>
    <cellStyle name="Normal 8 4 3 7" xfId="4871" xr:uid="{00000000-0005-0000-0000-00000B1E0000}"/>
    <cellStyle name="Normal 8 4 3 7 2" xfId="21769" xr:uid="{AD3E5EED-1C0C-4C10-909E-55455779C76A}"/>
    <cellStyle name="Normal 8 4 3 7 3" xfId="13321" xr:uid="{A94F1691-FAB8-4D89-B983-5DB74B989787}"/>
    <cellStyle name="Normal 8 4 3 8" xfId="17551" xr:uid="{A80BCF24-06C5-43D5-86B7-614FA07DE796}"/>
    <cellStyle name="Normal 8 4 3 9" xfId="9103" xr:uid="{2607D711-1D10-4A1B-B233-37E2438A7AB3}"/>
    <cellStyle name="Normal 8 4 4" xfId="970" xr:uid="{00000000-0005-0000-0000-00000C1E0000}"/>
    <cellStyle name="Normal 8 4 4 2" xfId="3204" xr:uid="{00000000-0005-0000-0000-00000D1E0000}"/>
    <cellStyle name="Normal 8 4 4 2 2" xfId="7426" xr:uid="{00000000-0005-0000-0000-00000E1E0000}"/>
    <cellStyle name="Normal 8 4 4 2 2 2" xfId="24324" xr:uid="{36288C79-354D-4637-939B-DBC8652D48DA}"/>
    <cellStyle name="Normal 8 4 4 2 2 3" xfId="15876" xr:uid="{8801E76F-2089-48FF-92B9-1419524C5783}"/>
    <cellStyle name="Normal 8 4 4 2 3" xfId="20106" xr:uid="{A7AC0349-77FE-42A5-BEF6-B765D254B23C}"/>
    <cellStyle name="Normal 8 4 4 2 4" xfId="11658" xr:uid="{174D46F8-201E-4FAB-AF41-BA17645C9ACE}"/>
    <cellStyle name="Normal 8 4 4 3" xfId="5281" xr:uid="{00000000-0005-0000-0000-00000F1E0000}"/>
    <cellStyle name="Normal 8 4 4 3 2" xfId="22179" xr:uid="{3383578B-8690-4B9F-9840-A520953D0588}"/>
    <cellStyle name="Normal 8 4 4 3 3" xfId="13731" xr:uid="{A21DB2D8-5745-46E5-AF1C-879D40CF4516}"/>
    <cellStyle name="Normal 8 4 4 4" xfId="17961" xr:uid="{C49563EF-7683-4C1D-B9A0-53D707964215}"/>
    <cellStyle name="Normal 8 4 4 5" xfId="9513" xr:uid="{685FA14A-D2D4-4797-A236-205652B198C7}"/>
    <cellStyle name="Normal 8 4 5" xfId="1387" xr:uid="{00000000-0005-0000-0000-0000101E0000}"/>
    <cellStyle name="Normal 8 4 5 2" xfId="3617" xr:uid="{00000000-0005-0000-0000-0000111E0000}"/>
    <cellStyle name="Normal 8 4 5 2 2" xfId="7839" xr:uid="{00000000-0005-0000-0000-0000121E0000}"/>
    <cellStyle name="Normal 8 4 5 2 2 2" xfId="24737" xr:uid="{A908A506-E5A7-480B-9E90-D96D40D07929}"/>
    <cellStyle name="Normal 8 4 5 2 2 3" xfId="16289" xr:uid="{F72B0ACA-5515-4CA6-A852-B1FFD3AA0936}"/>
    <cellStyle name="Normal 8 4 5 2 3" xfId="20519" xr:uid="{103E0452-A03D-487F-9424-1BB0906E541C}"/>
    <cellStyle name="Normal 8 4 5 2 4" xfId="12071" xr:uid="{91953767-E4E8-410F-82F2-7E0A8B254C68}"/>
    <cellStyle name="Normal 8 4 5 3" xfId="5694" xr:uid="{00000000-0005-0000-0000-0000131E0000}"/>
    <cellStyle name="Normal 8 4 5 3 2" xfId="22592" xr:uid="{33ABB8F3-C4F9-49D2-8261-BCF2D493B999}"/>
    <cellStyle name="Normal 8 4 5 3 3" xfId="14144" xr:uid="{936B8BD5-E919-4F75-A594-42D7707B9A37}"/>
    <cellStyle name="Normal 8 4 5 4" xfId="18374" xr:uid="{2F7E21B4-917C-4CA5-B36D-D256025AFE4D}"/>
    <cellStyle name="Normal 8 4 5 5" xfId="9926" xr:uid="{B9134D73-DFE6-487C-884C-802928BF68DD}"/>
    <cellStyle name="Normal 8 4 6" xfId="1800" xr:uid="{00000000-0005-0000-0000-0000141E0000}"/>
    <cellStyle name="Normal 8 4 6 2" xfId="4030" xr:uid="{00000000-0005-0000-0000-0000151E0000}"/>
    <cellStyle name="Normal 8 4 6 2 2" xfId="8252" xr:uid="{00000000-0005-0000-0000-0000161E0000}"/>
    <cellStyle name="Normal 8 4 6 2 2 2" xfId="25150" xr:uid="{6698A9F1-4EF5-43CA-820B-D595EF3E78FA}"/>
    <cellStyle name="Normal 8 4 6 2 2 3" xfId="16702" xr:uid="{998D21C9-C0D6-4A75-AA4F-B1E92BCD313D}"/>
    <cellStyle name="Normal 8 4 6 2 3" xfId="20932" xr:uid="{59568A6C-6501-44D0-93BB-B72F674F41B3}"/>
    <cellStyle name="Normal 8 4 6 2 4" xfId="12484" xr:uid="{908A2695-5103-477F-850A-EFE5ADF96313}"/>
    <cellStyle name="Normal 8 4 6 3" xfId="6107" xr:uid="{00000000-0005-0000-0000-0000171E0000}"/>
    <cellStyle name="Normal 8 4 6 3 2" xfId="23005" xr:uid="{4D313965-09A5-4A7D-94C2-793C0B3C0A9E}"/>
    <cellStyle name="Normal 8 4 6 3 3" xfId="14557" xr:uid="{1CEFACFE-6839-494D-A9CF-FD98EF9B61F8}"/>
    <cellStyle name="Normal 8 4 6 4" xfId="18787" xr:uid="{C91393AF-992A-4E9D-82ED-CE950FE75C3B}"/>
    <cellStyle name="Normal 8 4 6 5" xfId="10339" xr:uid="{9D3F7D2A-ED46-4593-834B-8886D463F557}"/>
    <cellStyle name="Normal 8 4 7" xfId="2214" xr:uid="{00000000-0005-0000-0000-0000181E0000}"/>
    <cellStyle name="Normal 8 4 7 2" xfId="4443" xr:uid="{00000000-0005-0000-0000-0000191E0000}"/>
    <cellStyle name="Normal 8 4 7 2 2" xfId="8665" xr:uid="{00000000-0005-0000-0000-00001A1E0000}"/>
    <cellStyle name="Normal 8 4 7 2 2 2" xfId="25563" xr:uid="{B216E61F-54AF-4CCA-B1AE-A054ED3D7325}"/>
    <cellStyle name="Normal 8 4 7 2 2 3" xfId="17115" xr:uid="{17F9680E-1619-4F76-94BC-17DF868AAC56}"/>
    <cellStyle name="Normal 8 4 7 2 3" xfId="21345" xr:uid="{95CF9639-B0F6-4205-8C14-A00D4886BDA4}"/>
    <cellStyle name="Normal 8 4 7 2 4" xfId="12897" xr:uid="{CB71ABB9-26B5-4244-BD17-80405EA081AD}"/>
    <cellStyle name="Normal 8 4 7 3" xfId="6520" xr:uid="{00000000-0005-0000-0000-00001B1E0000}"/>
    <cellStyle name="Normal 8 4 7 3 2" xfId="23418" xr:uid="{7300F5AB-8056-4364-BE92-97A59F080CA7}"/>
    <cellStyle name="Normal 8 4 7 3 3" xfId="14970" xr:uid="{7772E279-A1A5-444C-BF77-C2FC6862936B}"/>
    <cellStyle name="Normal 8 4 7 4" xfId="19200" xr:uid="{D59DFE53-C965-427F-8184-B8D5C5758C66}"/>
    <cellStyle name="Normal 8 4 7 5" xfId="10752" xr:uid="{ED9C9551-8278-4FE0-9FEB-531CA1EF98CE}"/>
    <cellStyle name="Normal 8 4 8" xfId="2650" xr:uid="{00000000-0005-0000-0000-00001C1E0000}"/>
    <cellStyle name="Normal 8 4 8 2" xfId="6933" xr:uid="{00000000-0005-0000-0000-00001D1E0000}"/>
    <cellStyle name="Normal 8 4 8 2 2" xfId="23831" xr:uid="{6B5D0793-4A1C-4592-B5EE-B548DF52D3C8}"/>
    <cellStyle name="Normal 8 4 8 2 3" xfId="15383" xr:uid="{3A3F3AFD-A6C6-4ABA-97B3-353B67B7E63A}"/>
    <cellStyle name="Normal 8 4 8 3" xfId="19613" xr:uid="{76E11932-B59B-4D31-A834-A07C61D7655E}"/>
    <cellStyle name="Normal 8 4 8 4" xfId="11165" xr:uid="{B4B411EC-386A-4F61-B155-FA4E5E5C7DA3}"/>
    <cellStyle name="Normal 8 4 9" xfId="4868" xr:uid="{00000000-0005-0000-0000-00001E1E0000}"/>
    <cellStyle name="Normal 8 4 9 2" xfId="21766" xr:uid="{22011641-61DB-4160-A2E8-08EFA04C9B63}"/>
    <cellStyle name="Normal 8 4 9 3" xfId="13318" xr:uid="{540873AB-12B3-4694-9693-CE4F672CA868}"/>
    <cellStyle name="Normal 8 5" xfId="507" xr:uid="{00000000-0005-0000-0000-00001F1E0000}"/>
    <cellStyle name="Normal 8 5 10" xfId="9104" xr:uid="{290DA6B7-2F37-48D8-BA6A-161CD4D07DFA}"/>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2 2 2" xfId="24329" xr:uid="{9D528CFE-EB26-4759-B5D3-AAEEB8702671}"/>
    <cellStyle name="Normal 8 5 2 2 2 2 3" xfId="15881" xr:uid="{82F153FD-BDD8-4CFB-B914-DF1E1877A2B6}"/>
    <cellStyle name="Normal 8 5 2 2 2 3" xfId="20111" xr:uid="{8D5EB47E-F50D-401B-B758-08D4C9A158C8}"/>
    <cellStyle name="Normal 8 5 2 2 2 4" xfId="11663" xr:uid="{21BF14C7-92D0-44B0-AC22-7B9E03A845AD}"/>
    <cellStyle name="Normal 8 5 2 2 3" xfId="5286" xr:uid="{00000000-0005-0000-0000-0000241E0000}"/>
    <cellStyle name="Normal 8 5 2 2 3 2" xfId="22184" xr:uid="{78367658-E396-4DC0-B7BF-CA5CD654369D}"/>
    <cellStyle name="Normal 8 5 2 2 3 3" xfId="13736" xr:uid="{DAECF0A6-CBAE-40D4-8E6E-C0B25561BE52}"/>
    <cellStyle name="Normal 8 5 2 2 4" xfId="17966" xr:uid="{119380EE-D987-425C-8AB2-CC790933E603}"/>
    <cellStyle name="Normal 8 5 2 2 5" xfId="9518" xr:uid="{1B825E61-88AE-47FB-BC81-2988401DBE83}"/>
    <cellStyle name="Normal 8 5 2 3" xfId="1392" xr:uid="{00000000-0005-0000-0000-0000251E0000}"/>
    <cellStyle name="Normal 8 5 2 3 2" xfId="3622" xr:uid="{00000000-0005-0000-0000-0000261E0000}"/>
    <cellStyle name="Normal 8 5 2 3 2 2" xfId="7844" xr:uid="{00000000-0005-0000-0000-0000271E0000}"/>
    <cellStyle name="Normal 8 5 2 3 2 2 2" xfId="24742" xr:uid="{6129A1A8-CD86-41FB-93A3-D6168157363E}"/>
    <cellStyle name="Normal 8 5 2 3 2 2 3" xfId="16294" xr:uid="{38F642BF-BB02-4C7A-A4CB-7718293BBA79}"/>
    <cellStyle name="Normal 8 5 2 3 2 3" xfId="20524" xr:uid="{84B0F295-D180-4C6C-AF3C-C589199587B8}"/>
    <cellStyle name="Normal 8 5 2 3 2 4" xfId="12076" xr:uid="{86A1B819-674B-48FD-A71A-8A2C899E607C}"/>
    <cellStyle name="Normal 8 5 2 3 3" xfId="5699" xr:uid="{00000000-0005-0000-0000-0000281E0000}"/>
    <cellStyle name="Normal 8 5 2 3 3 2" xfId="22597" xr:uid="{00A3503B-CEA9-46C1-BE53-5638FF500088}"/>
    <cellStyle name="Normal 8 5 2 3 3 3" xfId="14149" xr:uid="{C318CA74-AF1A-4DFF-B202-F5082622A472}"/>
    <cellStyle name="Normal 8 5 2 3 4" xfId="18379" xr:uid="{7648C6A0-BAF7-47B1-8E58-FCB9F37F9871}"/>
    <cellStyle name="Normal 8 5 2 3 5" xfId="9931" xr:uid="{0CED2F7D-A31E-46EE-88E8-914130D16665}"/>
    <cellStyle name="Normal 8 5 2 4" xfId="1805" xr:uid="{00000000-0005-0000-0000-0000291E0000}"/>
    <cellStyle name="Normal 8 5 2 4 2" xfId="4035" xr:uid="{00000000-0005-0000-0000-00002A1E0000}"/>
    <cellStyle name="Normal 8 5 2 4 2 2" xfId="8257" xr:uid="{00000000-0005-0000-0000-00002B1E0000}"/>
    <cellStyle name="Normal 8 5 2 4 2 2 2" xfId="25155" xr:uid="{434E3665-CE4B-4268-B158-B1EF3A4B9AAE}"/>
    <cellStyle name="Normal 8 5 2 4 2 2 3" xfId="16707" xr:uid="{4DCF82B3-2A39-46B1-97BD-FC9617490930}"/>
    <cellStyle name="Normal 8 5 2 4 2 3" xfId="20937" xr:uid="{650D9EA5-2FFA-439C-B368-72E94BF03358}"/>
    <cellStyle name="Normal 8 5 2 4 2 4" xfId="12489" xr:uid="{334959AE-E920-4E18-B2E1-24CA0D80FFCD}"/>
    <cellStyle name="Normal 8 5 2 4 3" xfId="6112" xr:uid="{00000000-0005-0000-0000-00002C1E0000}"/>
    <cellStyle name="Normal 8 5 2 4 3 2" xfId="23010" xr:uid="{66A8C249-60F1-4E82-8452-402F423936ED}"/>
    <cellStyle name="Normal 8 5 2 4 3 3" xfId="14562" xr:uid="{A557F09C-368E-4399-8199-58FD4504C16C}"/>
    <cellStyle name="Normal 8 5 2 4 4" xfId="18792" xr:uid="{FE583A6A-02BB-4EAA-A801-80106D88D3CC}"/>
    <cellStyle name="Normal 8 5 2 4 5" xfId="10344" xr:uid="{0049D0C1-4837-4AC4-9D0D-63105B06A62B}"/>
    <cellStyle name="Normal 8 5 2 5" xfId="2219" xr:uid="{00000000-0005-0000-0000-00002D1E0000}"/>
    <cellStyle name="Normal 8 5 2 5 2" xfId="4448" xr:uid="{00000000-0005-0000-0000-00002E1E0000}"/>
    <cellStyle name="Normal 8 5 2 5 2 2" xfId="8670" xr:uid="{00000000-0005-0000-0000-00002F1E0000}"/>
    <cellStyle name="Normal 8 5 2 5 2 2 2" xfId="25568" xr:uid="{BFDCEFBD-43D4-4784-8E41-C012A91A1F2B}"/>
    <cellStyle name="Normal 8 5 2 5 2 2 3" xfId="17120" xr:uid="{6D14FFAE-FF4D-4AD9-9693-68BAB81B4B4C}"/>
    <cellStyle name="Normal 8 5 2 5 2 3" xfId="21350" xr:uid="{5CA2EF31-C1D6-4CAB-BAB8-8DE5C931D483}"/>
    <cellStyle name="Normal 8 5 2 5 2 4" xfId="12902" xr:uid="{A979ED32-370D-48D2-816A-9CD0E8800B3E}"/>
    <cellStyle name="Normal 8 5 2 5 3" xfId="6525" xr:uid="{00000000-0005-0000-0000-0000301E0000}"/>
    <cellStyle name="Normal 8 5 2 5 3 2" xfId="23423" xr:uid="{800D77E3-7C23-45AC-A054-584EF68161FE}"/>
    <cellStyle name="Normal 8 5 2 5 3 3" xfId="14975" xr:uid="{41A93058-C912-4343-B673-9FBBD14C2B73}"/>
    <cellStyle name="Normal 8 5 2 5 4" xfId="19205" xr:uid="{C6053712-DE27-4391-AAB1-5CE6BC32DC96}"/>
    <cellStyle name="Normal 8 5 2 5 5" xfId="10757" xr:uid="{40757491-F82C-4FFF-8FA6-AEC7B29DFFA4}"/>
    <cellStyle name="Normal 8 5 2 6" xfId="2655" xr:uid="{00000000-0005-0000-0000-0000311E0000}"/>
    <cellStyle name="Normal 8 5 2 6 2" xfId="6938" xr:uid="{00000000-0005-0000-0000-0000321E0000}"/>
    <cellStyle name="Normal 8 5 2 6 2 2" xfId="23836" xr:uid="{7774AE5E-F5CF-46EA-9F45-139DBE36EE3A}"/>
    <cellStyle name="Normal 8 5 2 6 2 3" xfId="15388" xr:uid="{AC1352BF-FE19-40E6-8017-2E28238FB55D}"/>
    <cellStyle name="Normal 8 5 2 6 3" xfId="19618" xr:uid="{1598ABC3-700B-4FC4-BDA9-F24D50013492}"/>
    <cellStyle name="Normal 8 5 2 6 4" xfId="11170" xr:uid="{C478AC49-21CC-4C16-9173-EBF130D43F89}"/>
    <cellStyle name="Normal 8 5 2 7" xfId="4873" xr:uid="{00000000-0005-0000-0000-0000331E0000}"/>
    <cellStyle name="Normal 8 5 2 7 2" xfId="21771" xr:uid="{92484853-F378-4BE7-8017-5AFADCCA7868}"/>
    <cellStyle name="Normal 8 5 2 7 3" xfId="13323" xr:uid="{D692F7F7-AF8E-4DF8-98D6-CB2D59AD70E7}"/>
    <cellStyle name="Normal 8 5 2 8" xfId="17553" xr:uid="{90A7C57C-71E2-4B09-98D2-CB03BA7FF910}"/>
    <cellStyle name="Normal 8 5 2 9" xfId="9105" xr:uid="{59C01953-5800-4CF6-89B2-BAFE8296EC11}"/>
    <cellStyle name="Normal 8 5 3" xfId="974" xr:uid="{00000000-0005-0000-0000-0000341E0000}"/>
    <cellStyle name="Normal 8 5 3 2" xfId="3208" xr:uid="{00000000-0005-0000-0000-0000351E0000}"/>
    <cellStyle name="Normal 8 5 3 2 2" xfId="7430" xr:uid="{00000000-0005-0000-0000-0000361E0000}"/>
    <cellStyle name="Normal 8 5 3 2 2 2" xfId="24328" xr:uid="{9AFABFC9-ADE8-49F3-9E45-E0C058EDAA90}"/>
    <cellStyle name="Normal 8 5 3 2 2 3" xfId="15880" xr:uid="{FADE1354-5582-493C-A87D-EA94B47DD542}"/>
    <cellStyle name="Normal 8 5 3 2 3" xfId="20110" xr:uid="{2991C070-BA7F-451A-A833-EA71E05D65C7}"/>
    <cellStyle name="Normal 8 5 3 2 4" xfId="11662" xr:uid="{4DA70340-BFBD-4471-968B-7103F50CEDA8}"/>
    <cellStyle name="Normal 8 5 3 3" xfId="5285" xr:uid="{00000000-0005-0000-0000-0000371E0000}"/>
    <cellStyle name="Normal 8 5 3 3 2" xfId="22183" xr:uid="{31301724-B079-47A3-99C0-848BEDD0FFF2}"/>
    <cellStyle name="Normal 8 5 3 3 3" xfId="13735" xr:uid="{9734CF63-BA72-4587-8D65-3D7D75B5F938}"/>
    <cellStyle name="Normal 8 5 3 4" xfId="17965" xr:uid="{1F8C9BB5-1614-4543-A2F6-2FF74F0D67CA}"/>
    <cellStyle name="Normal 8 5 3 5" xfId="9517" xr:uid="{D3115144-EABF-434F-96B1-DB7C252A0190}"/>
    <cellStyle name="Normal 8 5 4" xfId="1391" xr:uid="{00000000-0005-0000-0000-0000381E0000}"/>
    <cellStyle name="Normal 8 5 4 2" xfId="3621" xr:uid="{00000000-0005-0000-0000-0000391E0000}"/>
    <cellStyle name="Normal 8 5 4 2 2" xfId="7843" xr:uid="{00000000-0005-0000-0000-00003A1E0000}"/>
    <cellStyle name="Normal 8 5 4 2 2 2" xfId="24741" xr:uid="{2E69EC02-5C4E-4A09-AA9A-6ED871F44A63}"/>
    <cellStyle name="Normal 8 5 4 2 2 3" xfId="16293" xr:uid="{F194CDF8-36A1-4691-A464-5FD27F6B12A7}"/>
    <cellStyle name="Normal 8 5 4 2 3" xfId="20523" xr:uid="{EF1B93AC-D7F9-44AA-835A-D1D1D9FF54BE}"/>
    <cellStyle name="Normal 8 5 4 2 4" xfId="12075" xr:uid="{84B24467-A253-45E9-854E-436B41D782BA}"/>
    <cellStyle name="Normal 8 5 4 3" xfId="5698" xr:uid="{00000000-0005-0000-0000-00003B1E0000}"/>
    <cellStyle name="Normal 8 5 4 3 2" xfId="22596" xr:uid="{B92162F0-FF14-4F27-8363-13391A3E98A2}"/>
    <cellStyle name="Normal 8 5 4 3 3" xfId="14148" xr:uid="{6CB8B7DE-A5AF-4982-BAF6-8F43CD807C31}"/>
    <cellStyle name="Normal 8 5 4 4" xfId="18378" xr:uid="{5F887A3B-F9D1-4F81-9767-CD698D6C0B70}"/>
    <cellStyle name="Normal 8 5 4 5" xfId="9930" xr:uid="{404490EA-178B-4175-A1C3-DA70B76883A7}"/>
    <cellStyle name="Normal 8 5 5" xfId="1804" xr:uid="{00000000-0005-0000-0000-00003C1E0000}"/>
    <cellStyle name="Normal 8 5 5 2" xfId="4034" xr:uid="{00000000-0005-0000-0000-00003D1E0000}"/>
    <cellStyle name="Normal 8 5 5 2 2" xfId="8256" xr:uid="{00000000-0005-0000-0000-00003E1E0000}"/>
    <cellStyle name="Normal 8 5 5 2 2 2" xfId="25154" xr:uid="{F05D8FFC-8EB8-4A38-8820-6E7EC5A598E4}"/>
    <cellStyle name="Normal 8 5 5 2 2 3" xfId="16706" xr:uid="{F92A823E-6616-4FA5-82BD-E17CEDF5D981}"/>
    <cellStyle name="Normal 8 5 5 2 3" xfId="20936" xr:uid="{6ADD0116-0C75-48B9-B92C-18C2BA86A1CB}"/>
    <cellStyle name="Normal 8 5 5 2 4" xfId="12488" xr:uid="{B5E7511E-ADB9-4911-B328-1B6B526669B6}"/>
    <cellStyle name="Normal 8 5 5 3" xfId="6111" xr:uid="{00000000-0005-0000-0000-00003F1E0000}"/>
    <cellStyle name="Normal 8 5 5 3 2" xfId="23009" xr:uid="{FFAA6701-122B-4555-A2CA-490845E9C24C}"/>
    <cellStyle name="Normal 8 5 5 3 3" xfId="14561" xr:uid="{62AE2701-1F02-4DDC-B505-42965268BC30}"/>
    <cellStyle name="Normal 8 5 5 4" xfId="18791" xr:uid="{DFAF0208-DE78-4F0D-ADCA-6C369EFD4B90}"/>
    <cellStyle name="Normal 8 5 5 5" xfId="10343" xr:uid="{4D9A80B1-3876-475C-947D-8D5EEE079AA4}"/>
    <cellStyle name="Normal 8 5 6" xfId="2218" xr:uid="{00000000-0005-0000-0000-0000401E0000}"/>
    <cellStyle name="Normal 8 5 6 2" xfId="4447" xr:uid="{00000000-0005-0000-0000-0000411E0000}"/>
    <cellStyle name="Normal 8 5 6 2 2" xfId="8669" xr:uid="{00000000-0005-0000-0000-0000421E0000}"/>
    <cellStyle name="Normal 8 5 6 2 2 2" xfId="25567" xr:uid="{8489E72A-913B-485C-A314-28280848525D}"/>
    <cellStyle name="Normal 8 5 6 2 2 3" xfId="17119" xr:uid="{B08E4D2B-626E-4FC0-8807-0A907D09D272}"/>
    <cellStyle name="Normal 8 5 6 2 3" xfId="21349" xr:uid="{BBEE99EC-D033-431C-9F9F-DF2ED0E95D74}"/>
    <cellStyle name="Normal 8 5 6 2 4" xfId="12901" xr:uid="{EE45333E-03DE-409E-9DF5-3DAFDDDB4BCE}"/>
    <cellStyle name="Normal 8 5 6 3" xfId="6524" xr:uid="{00000000-0005-0000-0000-0000431E0000}"/>
    <cellStyle name="Normal 8 5 6 3 2" xfId="23422" xr:uid="{21522457-BE89-411A-85B1-C8373EAD5C12}"/>
    <cellStyle name="Normal 8 5 6 3 3" xfId="14974" xr:uid="{C946D558-9747-4BB1-AA34-D236815DB327}"/>
    <cellStyle name="Normal 8 5 6 4" xfId="19204" xr:uid="{7CACEC5D-A68D-41C5-8C09-F11ABE03259D}"/>
    <cellStyle name="Normal 8 5 6 5" xfId="10756" xr:uid="{F528A824-48FE-4F9E-BA7F-E0D52BF3FD9D}"/>
    <cellStyle name="Normal 8 5 7" xfId="2654" xr:uid="{00000000-0005-0000-0000-0000441E0000}"/>
    <cellStyle name="Normal 8 5 7 2" xfId="6937" xr:uid="{00000000-0005-0000-0000-0000451E0000}"/>
    <cellStyle name="Normal 8 5 7 2 2" xfId="23835" xr:uid="{1CFF76C1-E571-4A92-AA43-9D4B3674A04E}"/>
    <cellStyle name="Normal 8 5 7 2 3" xfId="15387" xr:uid="{27D4F6B1-F9A1-4190-91DE-C764B8B52FDE}"/>
    <cellStyle name="Normal 8 5 7 3" xfId="19617" xr:uid="{55790D84-3313-44CD-9B02-FF19D51C933E}"/>
    <cellStyle name="Normal 8 5 7 4" xfId="11169" xr:uid="{8DF9EC19-D92F-49A5-B445-87C0E51EFE98}"/>
    <cellStyle name="Normal 8 5 8" xfId="4872" xr:uid="{00000000-0005-0000-0000-0000461E0000}"/>
    <cellStyle name="Normal 8 5 8 2" xfId="21770" xr:uid="{E395903E-DAD6-4EAE-9DAA-1D5921B570FF}"/>
    <cellStyle name="Normal 8 5 8 3" xfId="13322" xr:uid="{DDF03B30-B13C-4141-A53B-ED5A9B487E82}"/>
    <cellStyle name="Normal 8 5 9" xfId="17552" xr:uid="{82C77E1C-7191-482C-90C7-0469A294C638}"/>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2 2 2" xfId="24330" xr:uid="{742447C1-749A-45FE-8214-7D0E53308E74}"/>
    <cellStyle name="Normal 8 6 2 2 2 3" xfId="15882" xr:uid="{6409ADB7-657A-4652-BFF3-6CCA0FF11CCA}"/>
    <cellStyle name="Normal 8 6 2 2 3" xfId="20112" xr:uid="{5391E8D7-0C1B-4A2A-99A2-F6DD395995AE}"/>
    <cellStyle name="Normal 8 6 2 2 4" xfId="11664" xr:uid="{69A26632-DAC3-4DA1-A187-A27132B126D9}"/>
    <cellStyle name="Normal 8 6 2 3" xfId="5287" xr:uid="{00000000-0005-0000-0000-00004B1E0000}"/>
    <cellStyle name="Normal 8 6 2 3 2" xfId="22185" xr:uid="{C4C9A814-C0C2-4900-940E-3FFF37962439}"/>
    <cellStyle name="Normal 8 6 2 3 3" xfId="13737" xr:uid="{E532E14F-AB13-467C-9419-1E6EA6BB9CBF}"/>
    <cellStyle name="Normal 8 6 2 4" xfId="17967" xr:uid="{2360D6C5-357A-45EC-82F0-42D492AE1A19}"/>
    <cellStyle name="Normal 8 6 2 5" xfId="9519" xr:uid="{3CB7E3D0-3366-454D-854A-910CF5B3598F}"/>
    <cellStyle name="Normal 8 6 3" xfId="1393" xr:uid="{00000000-0005-0000-0000-00004C1E0000}"/>
    <cellStyle name="Normal 8 6 3 2" xfId="3623" xr:uid="{00000000-0005-0000-0000-00004D1E0000}"/>
    <cellStyle name="Normal 8 6 3 2 2" xfId="7845" xr:uid="{00000000-0005-0000-0000-00004E1E0000}"/>
    <cellStyle name="Normal 8 6 3 2 2 2" xfId="24743" xr:uid="{CAF0C95F-DA8B-4D60-9693-7F24C36A6751}"/>
    <cellStyle name="Normal 8 6 3 2 2 3" xfId="16295" xr:uid="{E553994B-5B94-43AC-A52C-6BF22ED9D218}"/>
    <cellStyle name="Normal 8 6 3 2 3" xfId="20525" xr:uid="{AE97115E-BC61-43C7-9936-EED87E8A2C45}"/>
    <cellStyle name="Normal 8 6 3 2 4" xfId="12077" xr:uid="{308B3C88-ED2B-483C-8CC2-595D23CB7C97}"/>
    <cellStyle name="Normal 8 6 3 3" xfId="5700" xr:uid="{00000000-0005-0000-0000-00004F1E0000}"/>
    <cellStyle name="Normal 8 6 3 3 2" xfId="22598" xr:uid="{CB562312-E89B-4865-BBAF-1E7C2CE4266C}"/>
    <cellStyle name="Normal 8 6 3 3 3" xfId="14150" xr:uid="{AAA42488-8673-4BA7-A956-00C104AF7339}"/>
    <cellStyle name="Normal 8 6 3 4" xfId="18380" xr:uid="{60CC6775-B877-4F87-BFA8-988167775D0B}"/>
    <cellStyle name="Normal 8 6 3 5" xfId="9932" xr:uid="{66407C73-6667-4055-8310-37E497569D41}"/>
    <cellStyle name="Normal 8 6 4" xfId="1806" xr:uid="{00000000-0005-0000-0000-0000501E0000}"/>
    <cellStyle name="Normal 8 6 4 2" xfId="4036" xr:uid="{00000000-0005-0000-0000-0000511E0000}"/>
    <cellStyle name="Normal 8 6 4 2 2" xfId="8258" xr:uid="{00000000-0005-0000-0000-0000521E0000}"/>
    <cellStyle name="Normal 8 6 4 2 2 2" xfId="25156" xr:uid="{2CE14A16-23BB-4A8E-B28E-0965F75D5C71}"/>
    <cellStyle name="Normal 8 6 4 2 2 3" xfId="16708" xr:uid="{09714D4B-92B5-4915-A424-86C3A2CD22BA}"/>
    <cellStyle name="Normal 8 6 4 2 3" xfId="20938" xr:uid="{2EABDD01-EA49-4B26-9387-5BAE6D7E42E6}"/>
    <cellStyle name="Normal 8 6 4 2 4" xfId="12490" xr:uid="{8195AB56-3DFD-44A9-A948-D3F1F627B3F2}"/>
    <cellStyle name="Normal 8 6 4 3" xfId="6113" xr:uid="{00000000-0005-0000-0000-0000531E0000}"/>
    <cellStyle name="Normal 8 6 4 3 2" xfId="23011" xr:uid="{D2F8B824-011F-4E8F-8253-9FD38F713BC2}"/>
    <cellStyle name="Normal 8 6 4 3 3" xfId="14563" xr:uid="{9E1CCDA6-7CDE-4829-8D39-AFD516AC98F7}"/>
    <cellStyle name="Normal 8 6 4 4" xfId="18793" xr:uid="{B75D9027-69BD-4467-90F8-524B3E75B54F}"/>
    <cellStyle name="Normal 8 6 4 5" xfId="10345" xr:uid="{5C77A062-2407-43D4-81BE-89C02EF142D8}"/>
    <cellStyle name="Normal 8 6 5" xfId="2220" xr:uid="{00000000-0005-0000-0000-0000541E0000}"/>
    <cellStyle name="Normal 8 6 5 2" xfId="4449" xr:uid="{00000000-0005-0000-0000-0000551E0000}"/>
    <cellStyle name="Normal 8 6 5 2 2" xfId="8671" xr:uid="{00000000-0005-0000-0000-0000561E0000}"/>
    <cellStyle name="Normal 8 6 5 2 2 2" xfId="25569" xr:uid="{809B76A1-4443-47CD-90A6-20515A15BAD7}"/>
    <cellStyle name="Normal 8 6 5 2 2 3" xfId="17121" xr:uid="{BBF640D1-1ED5-44B5-84C3-9885A003EF79}"/>
    <cellStyle name="Normal 8 6 5 2 3" xfId="21351" xr:uid="{BF0F023F-D0BF-4E0E-B5C5-4F951B9CAB7C}"/>
    <cellStyle name="Normal 8 6 5 2 4" xfId="12903" xr:uid="{0C1A1E59-CC5E-463A-B75D-97B0F49DDB1B}"/>
    <cellStyle name="Normal 8 6 5 3" xfId="6526" xr:uid="{00000000-0005-0000-0000-0000571E0000}"/>
    <cellStyle name="Normal 8 6 5 3 2" xfId="23424" xr:uid="{1C15E0DC-1F90-4B42-8F6E-64EDD6BBDA99}"/>
    <cellStyle name="Normal 8 6 5 3 3" xfId="14976" xr:uid="{07E536D9-35B0-4D35-86B7-98E807E25D47}"/>
    <cellStyle name="Normal 8 6 5 4" xfId="19206" xr:uid="{A245540A-1654-4F02-B483-694326CF173A}"/>
    <cellStyle name="Normal 8 6 5 5" xfId="10758" xr:uid="{CEB0A447-8077-44F7-A7EC-2B5DBA450CB1}"/>
    <cellStyle name="Normal 8 6 6" xfId="2656" xr:uid="{00000000-0005-0000-0000-0000581E0000}"/>
    <cellStyle name="Normal 8 6 6 2" xfId="6939" xr:uid="{00000000-0005-0000-0000-0000591E0000}"/>
    <cellStyle name="Normal 8 6 6 2 2" xfId="23837" xr:uid="{7EEACECC-415D-4A7E-8FFD-0D891D079B49}"/>
    <cellStyle name="Normal 8 6 6 2 3" xfId="15389" xr:uid="{0C5D91EE-AE8C-48CE-93B7-670310E7ECB7}"/>
    <cellStyle name="Normal 8 6 6 3" xfId="19619" xr:uid="{DC8EA156-6DD3-4427-971E-A8F0E491234D}"/>
    <cellStyle name="Normal 8 6 6 4" xfId="11171" xr:uid="{EF5AB633-AA23-471A-B594-7ADFDDB6DD2E}"/>
    <cellStyle name="Normal 8 6 7" xfId="4874" xr:uid="{00000000-0005-0000-0000-00005A1E0000}"/>
    <cellStyle name="Normal 8 6 7 2" xfId="21772" xr:uid="{5D58E573-1351-4A5B-8DCF-E049127EE673}"/>
    <cellStyle name="Normal 8 6 7 3" xfId="13324" xr:uid="{23778968-8A0C-48DC-A7E4-3E50D6791F71}"/>
    <cellStyle name="Normal 8 6 8" xfId="17554" xr:uid="{FEAE0027-42EB-4CCF-ADB8-312DEE999CB9}"/>
    <cellStyle name="Normal 8 6 9" xfId="9106" xr:uid="{58A50337-A35D-423D-83A4-48B9B2645E45}"/>
    <cellStyle name="Normal 8 7" xfId="945" xr:uid="{00000000-0005-0000-0000-00005B1E0000}"/>
    <cellStyle name="Normal 8 7 2" xfId="3179" xr:uid="{00000000-0005-0000-0000-00005C1E0000}"/>
    <cellStyle name="Normal 8 7 2 2" xfId="7401" xr:uid="{00000000-0005-0000-0000-00005D1E0000}"/>
    <cellStyle name="Normal 8 7 2 2 2" xfId="24299" xr:uid="{EAAD6CEE-792B-4846-8C48-A5FFC37AFC9A}"/>
    <cellStyle name="Normal 8 7 2 2 3" xfId="15851" xr:uid="{0CCCA937-2CDB-479F-9218-8CEB9885180A}"/>
    <cellStyle name="Normal 8 7 2 3" xfId="20081" xr:uid="{B2087084-A352-43CB-A68B-A864081204D9}"/>
    <cellStyle name="Normal 8 7 2 4" xfId="11633" xr:uid="{95681CCD-D956-4FA3-B022-B255A015877E}"/>
    <cellStyle name="Normal 8 7 3" xfId="5256" xr:uid="{00000000-0005-0000-0000-00005E1E0000}"/>
    <cellStyle name="Normal 8 7 3 2" xfId="22154" xr:uid="{DE03D682-BB93-4B8D-9DDA-380F95CC5073}"/>
    <cellStyle name="Normal 8 7 3 3" xfId="13706" xr:uid="{6044CE96-CC1D-4C32-85FE-945236D5475E}"/>
    <cellStyle name="Normal 8 7 4" xfId="17936" xr:uid="{5C7632D9-9595-4001-A4AB-13125B60B521}"/>
    <cellStyle name="Normal 8 7 5" xfId="9488" xr:uid="{513C5D46-5BD6-4C55-9296-D8187F19CB23}"/>
    <cellStyle name="Normal 8 8" xfId="1362" xr:uid="{00000000-0005-0000-0000-00005F1E0000}"/>
    <cellStyle name="Normal 8 8 2" xfId="3592" xr:uid="{00000000-0005-0000-0000-0000601E0000}"/>
    <cellStyle name="Normal 8 8 2 2" xfId="7814" xr:uid="{00000000-0005-0000-0000-0000611E0000}"/>
    <cellStyle name="Normal 8 8 2 2 2" xfId="24712" xr:uid="{5A615CE9-60A0-4881-81EC-EB5D3B1C7F1B}"/>
    <cellStyle name="Normal 8 8 2 2 3" xfId="16264" xr:uid="{404EA51B-0280-4564-9B86-A1D8AEC81B91}"/>
    <cellStyle name="Normal 8 8 2 3" xfId="20494" xr:uid="{1FA53C06-772F-4F45-8692-AE4F0607E3C8}"/>
    <cellStyle name="Normal 8 8 2 4" xfId="12046" xr:uid="{2DB96657-3CD4-4673-B73D-6E31D60B3217}"/>
    <cellStyle name="Normal 8 8 3" xfId="5669" xr:uid="{00000000-0005-0000-0000-0000621E0000}"/>
    <cellStyle name="Normal 8 8 3 2" xfId="22567" xr:uid="{9FBA6842-6F36-49EB-9953-89E3A4FFC136}"/>
    <cellStyle name="Normal 8 8 3 3" xfId="14119" xr:uid="{92C490E7-8580-42E2-8E25-D6440AD4FE2E}"/>
    <cellStyle name="Normal 8 8 4" xfId="18349" xr:uid="{07F86897-DF57-4637-8641-F2209BEAF029}"/>
    <cellStyle name="Normal 8 8 5" xfId="9901" xr:uid="{18738C1A-1057-4F07-A859-9395BDDBE138}"/>
    <cellStyle name="Normal 8 9" xfId="1775" xr:uid="{00000000-0005-0000-0000-0000631E0000}"/>
    <cellStyle name="Normal 8 9 2" xfId="4005" xr:uid="{00000000-0005-0000-0000-0000641E0000}"/>
    <cellStyle name="Normal 8 9 2 2" xfId="8227" xr:uid="{00000000-0005-0000-0000-0000651E0000}"/>
    <cellStyle name="Normal 8 9 2 2 2" xfId="25125" xr:uid="{6330482E-5278-42D9-9837-0D5727B4C66C}"/>
    <cellStyle name="Normal 8 9 2 2 3" xfId="16677" xr:uid="{450C7B2F-FD63-495C-A77A-0CE8900A5EA8}"/>
    <cellStyle name="Normal 8 9 2 3" xfId="20907" xr:uid="{33FF1C55-27EC-4D01-83F1-471CBF3C71AF}"/>
    <cellStyle name="Normal 8 9 2 4" xfId="12459" xr:uid="{8CCEA78C-E996-43F9-8EE4-234A84FC2A42}"/>
    <cellStyle name="Normal 8 9 3" xfId="6082" xr:uid="{00000000-0005-0000-0000-0000661E0000}"/>
    <cellStyle name="Normal 8 9 3 2" xfId="22980" xr:uid="{761CBA93-51B6-480B-BAB3-1E81DB5295DB}"/>
    <cellStyle name="Normal 8 9 3 3" xfId="14532" xr:uid="{74B0EA07-1E61-4D5F-BE7A-031E6DBC83EB}"/>
    <cellStyle name="Normal 8 9 4" xfId="18762" xr:uid="{129BC435-19B5-42D1-8389-25DC075EE291}"/>
    <cellStyle name="Normal 8 9 5" xfId="10314" xr:uid="{E84EA3F7-E891-48A9-8590-1058097A04FD}"/>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23838" xr:uid="{E0C8515C-20D2-4FF6-A65F-B82CD7A62728}"/>
    <cellStyle name="Normal 9 2 10 2 3" xfId="15390" xr:uid="{A455CCC8-0414-474D-9008-3DC2A7B38C72}"/>
    <cellStyle name="Normal 9 2 10 3" xfId="19620" xr:uid="{A0D66C1D-B89B-4040-883A-53D86A590D77}"/>
    <cellStyle name="Normal 9 2 10 4" xfId="11172" xr:uid="{7A6A0BAB-6CDB-47AA-B9DD-586A045F03EF}"/>
    <cellStyle name="Normal 9 2 11" xfId="4875" xr:uid="{00000000-0005-0000-0000-00006B1E0000}"/>
    <cellStyle name="Normal 9 2 11 2" xfId="21773" xr:uid="{BAB5CCAE-6AA8-478B-8558-A273BFE7D35F}"/>
    <cellStyle name="Normal 9 2 11 3" xfId="13325" xr:uid="{390D2408-A88A-40EC-A1D0-8CD03B25FB11}"/>
    <cellStyle name="Normal 9 2 12" xfId="17555" xr:uid="{B20A5E4E-5F74-4300-BBC0-4D555D6043CA}"/>
    <cellStyle name="Normal 9 2 13" xfId="9107" xr:uid="{A924C3A0-F8C1-43CD-AADE-F2C279BED47D}"/>
    <cellStyle name="Normal 9 2 2" xfId="512" xr:uid="{00000000-0005-0000-0000-00006C1E0000}"/>
    <cellStyle name="Normal 9 2 2 10" xfId="4876" xr:uid="{00000000-0005-0000-0000-00006D1E0000}"/>
    <cellStyle name="Normal 9 2 2 10 2" xfId="21774" xr:uid="{9D7AD35E-EB8D-49AB-9877-ECA06BE5828A}"/>
    <cellStyle name="Normal 9 2 2 10 3" xfId="13326" xr:uid="{0B2383E0-8B30-4FD9-B705-A2F1AFC8ADE7}"/>
    <cellStyle name="Normal 9 2 2 11" xfId="17556" xr:uid="{C0137224-F88F-4BF2-8601-FE12E36FA80E}"/>
    <cellStyle name="Normal 9 2 2 12" xfId="9108" xr:uid="{4EC16794-81AA-44CF-9D8B-058C2B6A8D9A}"/>
    <cellStyle name="Normal 9 2 2 2" xfId="513" xr:uid="{00000000-0005-0000-0000-00006E1E0000}"/>
    <cellStyle name="Normal 9 2 2 2 10" xfId="17557" xr:uid="{2EE9DA3A-EE05-41B4-B629-007706EE2A4A}"/>
    <cellStyle name="Normal 9 2 2 2 11" xfId="9109" xr:uid="{A45DB6B8-F09A-41D2-B9CB-90FE7C2602C4}"/>
    <cellStyle name="Normal 9 2 2 2 2" xfId="514" xr:uid="{00000000-0005-0000-0000-00006F1E0000}"/>
    <cellStyle name="Normal 9 2 2 2 2 10" xfId="9110" xr:uid="{E3B394CC-B687-4379-A88B-18EB00D79F9E}"/>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24335" xr:uid="{6BF38FF0-D172-4BB3-963B-20317B32F533}"/>
    <cellStyle name="Normal 9 2 2 2 2 2 2 2 2 3" xfId="15887" xr:uid="{0A2807C6-672F-46B5-AB50-CC73CCA3BC2F}"/>
    <cellStyle name="Normal 9 2 2 2 2 2 2 2 3" xfId="20117" xr:uid="{85670641-C93A-487D-A5B2-02E5C15FCBD9}"/>
    <cellStyle name="Normal 9 2 2 2 2 2 2 2 4" xfId="11669" xr:uid="{AC917434-BA83-46D4-81F7-B201BE6B130D}"/>
    <cellStyle name="Normal 9 2 2 2 2 2 2 3" xfId="5292" xr:uid="{00000000-0005-0000-0000-0000741E0000}"/>
    <cellStyle name="Normal 9 2 2 2 2 2 2 3 2" xfId="22190" xr:uid="{FDC0E979-B4E1-4DBD-ABAD-1C50805A1234}"/>
    <cellStyle name="Normal 9 2 2 2 2 2 2 3 3" xfId="13742" xr:uid="{DB43F0AE-1A42-463D-8CF6-F1A7A477DC8E}"/>
    <cellStyle name="Normal 9 2 2 2 2 2 2 4" xfId="17972" xr:uid="{6AE7D222-B05C-4805-A717-BF5A3005443F}"/>
    <cellStyle name="Normal 9 2 2 2 2 2 2 5" xfId="9524" xr:uid="{3E64C7DD-0E9B-4C13-9134-16B50FCDC6A6}"/>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24748" xr:uid="{5EA37C26-B33E-4CE2-8D19-55EBFBBE5845}"/>
    <cellStyle name="Normal 9 2 2 2 2 2 3 2 2 3" xfId="16300" xr:uid="{BBA3EED9-55BB-44AF-8E48-43A3329E016A}"/>
    <cellStyle name="Normal 9 2 2 2 2 2 3 2 3" xfId="20530" xr:uid="{7CA97B5A-477E-4394-BE2B-5077FEA404B6}"/>
    <cellStyle name="Normal 9 2 2 2 2 2 3 2 4" xfId="12082" xr:uid="{B0CB128E-2488-4468-8598-9B45743F548B}"/>
    <cellStyle name="Normal 9 2 2 2 2 2 3 3" xfId="5705" xr:uid="{00000000-0005-0000-0000-0000781E0000}"/>
    <cellStyle name="Normal 9 2 2 2 2 2 3 3 2" xfId="22603" xr:uid="{3C66F8EC-786E-49F7-A549-F02949EEDCE5}"/>
    <cellStyle name="Normal 9 2 2 2 2 2 3 3 3" xfId="14155" xr:uid="{EE7E0D89-7B14-40ED-A0DB-41B373516D5D}"/>
    <cellStyle name="Normal 9 2 2 2 2 2 3 4" xfId="18385" xr:uid="{AB1FABA1-32A7-453D-9C51-0F6A6042D534}"/>
    <cellStyle name="Normal 9 2 2 2 2 2 3 5" xfId="9937" xr:uid="{7210F2E0-D43A-43CC-B600-DB6D2741BEDA}"/>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25161" xr:uid="{3AD13E8D-F7F5-451D-B928-8FA9E9A30E8B}"/>
    <cellStyle name="Normal 9 2 2 2 2 2 4 2 2 3" xfId="16713" xr:uid="{4BC7B574-CC0B-4AB2-B334-4D412E0DDB3F}"/>
    <cellStyle name="Normal 9 2 2 2 2 2 4 2 3" xfId="20943" xr:uid="{E927170C-E196-413D-9BF0-479EF0A81487}"/>
    <cellStyle name="Normal 9 2 2 2 2 2 4 2 4" xfId="12495" xr:uid="{F861D9C4-0533-407E-8527-5286EB128F51}"/>
    <cellStyle name="Normal 9 2 2 2 2 2 4 3" xfId="6118" xr:uid="{00000000-0005-0000-0000-00007C1E0000}"/>
    <cellStyle name="Normal 9 2 2 2 2 2 4 3 2" xfId="23016" xr:uid="{0B43CFA8-C361-404C-93D0-F4278A416ED8}"/>
    <cellStyle name="Normal 9 2 2 2 2 2 4 3 3" xfId="14568" xr:uid="{0D72A385-6BC7-400D-AA70-29A4A8CE17DB}"/>
    <cellStyle name="Normal 9 2 2 2 2 2 4 4" xfId="18798" xr:uid="{34B13B34-A75D-4247-AB07-38531D6A0DD4}"/>
    <cellStyle name="Normal 9 2 2 2 2 2 4 5" xfId="10350" xr:uid="{10188A22-8FDC-40A9-93B6-9584D3FF7A45}"/>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25574" xr:uid="{9ADA46AE-DC5B-4646-886F-033E664FD4E5}"/>
    <cellStyle name="Normal 9 2 2 2 2 2 5 2 2 3" xfId="17126" xr:uid="{A316068E-7D8D-43A9-8754-4297BDBC38BF}"/>
    <cellStyle name="Normal 9 2 2 2 2 2 5 2 3" xfId="21356" xr:uid="{9822711E-1076-4D5B-88B5-A98F3E34FD6E}"/>
    <cellStyle name="Normal 9 2 2 2 2 2 5 2 4" xfId="12908" xr:uid="{AB633221-7FDB-4689-86DC-45B2B3F20EDA}"/>
    <cellStyle name="Normal 9 2 2 2 2 2 5 3" xfId="6531" xr:uid="{00000000-0005-0000-0000-0000801E0000}"/>
    <cellStyle name="Normal 9 2 2 2 2 2 5 3 2" xfId="23429" xr:uid="{36DBC0EC-2483-4D9C-9B1D-6B7FD44BF57F}"/>
    <cellStyle name="Normal 9 2 2 2 2 2 5 3 3" xfId="14981" xr:uid="{FAF22F4B-F788-472B-B514-258495C7B98A}"/>
    <cellStyle name="Normal 9 2 2 2 2 2 5 4" xfId="19211" xr:uid="{B3CBC4D8-C716-4076-B46B-5D491E8C4F0A}"/>
    <cellStyle name="Normal 9 2 2 2 2 2 5 5" xfId="10763" xr:uid="{73B85099-C053-443E-8EAC-054851F0D13D}"/>
    <cellStyle name="Normal 9 2 2 2 2 2 6" xfId="2661" xr:uid="{00000000-0005-0000-0000-0000811E0000}"/>
    <cellStyle name="Normal 9 2 2 2 2 2 6 2" xfId="6944" xr:uid="{00000000-0005-0000-0000-0000821E0000}"/>
    <cellStyle name="Normal 9 2 2 2 2 2 6 2 2" xfId="23842" xr:uid="{3954C11C-29CC-48DE-A988-B17CCEBD76F9}"/>
    <cellStyle name="Normal 9 2 2 2 2 2 6 2 3" xfId="15394" xr:uid="{AB536CAA-E2E7-4EAC-8372-1ABFFA11C253}"/>
    <cellStyle name="Normal 9 2 2 2 2 2 6 3" xfId="19624" xr:uid="{A33E4654-48B3-46B9-837A-BEEAA681C542}"/>
    <cellStyle name="Normal 9 2 2 2 2 2 6 4" xfId="11176" xr:uid="{4D20ED12-3FF5-4C3E-8257-A2DD9687671E}"/>
    <cellStyle name="Normal 9 2 2 2 2 2 7" xfId="4879" xr:uid="{00000000-0005-0000-0000-0000831E0000}"/>
    <cellStyle name="Normal 9 2 2 2 2 2 7 2" xfId="21777" xr:uid="{9ACDFC8F-128A-44CD-B24F-0014CA0E6306}"/>
    <cellStyle name="Normal 9 2 2 2 2 2 7 3" xfId="13329" xr:uid="{C1BFDDFB-689A-4954-833D-2D7AB0868B68}"/>
    <cellStyle name="Normal 9 2 2 2 2 2 8" xfId="17559" xr:uid="{C62FE7F9-6492-4A90-AF70-6A6E75E9D6F8}"/>
    <cellStyle name="Normal 9 2 2 2 2 2 9" xfId="9111" xr:uid="{B373291A-F725-4706-965B-C91129C38641}"/>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24334" xr:uid="{048AE105-0B95-4196-A5C9-A7DBC3D837B6}"/>
    <cellStyle name="Normal 9 2 2 2 2 3 2 2 3" xfId="15886" xr:uid="{1D495191-B67A-4778-B179-F3A69F7BA59A}"/>
    <cellStyle name="Normal 9 2 2 2 2 3 2 3" xfId="20116" xr:uid="{5067B930-22FF-4A85-A244-D49B72BEDF08}"/>
    <cellStyle name="Normal 9 2 2 2 2 3 2 4" xfId="11668" xr:uid="{4220E8E6-FA39-4911-8616-4C1DA5115353}"/>
    <cellStyle name="Normal 9 2 2 2 2 3 3" xfId="5291" xr:uid="{00000000-0005-0000-0000-0000871E0000}"/>
    <cellStyle name="Normal 9 2 2 2 2 3 3 2" xfId="22189" xr:uid="{5EF7B0CC-C5C5-4B7F-992C-DBF3518EEC31}"/>
    <cellStyle name="Normal 9 2 2 2 2 3 3 3" xfId="13741" xr:uid="{3506E0CF-CE29-4C25-A91E-96A0AC31406B}"/>
    <cellStyle name="Normal 9 2 2 2 2 3 4" xfId="17971" xr:uid="{041D6EB9-3462-4C88-9CB4-2403054521C3}"/>
    <cellStyle name="Normal 9 2 2 2 2 3 5" xfId="9523" xr:uid="{37855DEF-9366-4E86-A481-55357C17C51F}"/>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24747" xr:uid="{1B343F0C-ED97-4614-9FB8-0D925336EA23}"/>
    <cellStyle name="Normal 9 2 2 2 2 4 2 2 3" xfId="16299" xr:uid="{CF9E5324-BFF1-475B-AD59-6DCA2B0FEF7E}"/>
    <cellStyle name="Normal 9 2 2 2 2 4 2 3" xfId="20529" xr:uid="{C33A8BA1-A3ED-43B5-9C8D-9C04C7DFE9BF}"/>
    <cellStyle name="Normal 9 2 2 2 2 4 2 4" xfId="12081" xr:uid="{8120868F-C485-4157-987C-7FA871908622}"/>
    <cellStyle name="Normal 9 2 2 2 2 4 3" xfId="5704" xr:uid="{00000000-0005-0000-0000-00008B1E0000}"/>
    <cellStyle name="Normal 9 2 2 2 2 4 3 2" xfId="22602" xr:uid="{B7A4B314-D606-4567-AD1D-04C53AA6EC5D}"/>
    <cellStyle name="Normal 9 2 2 2 2 4 3 3" xfId="14154" xr:uid="{4C1355DA-74ED-4B9A-AF45-A333065227D0}"/>
    <cellStyle name="Normal 9 2 2 2 2 4 4" xfId="18384" xr:uid="{692FD341-E2A1-4395-A092-B77250547D91}"/>
    <cellStyle name="Normal 9 2 2 2 2 4 5" xfId="9936" xr:uid="{AAB7D305-D4BA-46E4-BFB3-009ADCDF7C89}"/>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25160" xr:uid="{E53CE71D-3D08-4017-A980-D057F3906F05}"/>
    <cellStyle name="Normal 9 2 2 2 2 5 2 2 3" xfId="16712" xr:uid="{68009100-F737-4E13-8A63-8937A82F799C}"/>
    <cellStyle name="Normal 9 2 2 2 2 5 2 3" xfId="20942" xr:uid="{793ABDA2-5916-41E9-95BE-F56AA93F532F}"/>
    <cellStyle name="Normal 9 2 2 2 2 5 2 4" xfId="12494" xr:uid="{B826EB4A-562C-41E5-B4B0-3E3A46652ECB}"/>
    <cellStyle name="Normal 9 2 2 2 2 5 3" xfId="6117" xr:uid="{00000000-0005-0000-0000-00008F1E0000}"/>
    <cellStyle name="Normal 9 2 2 2 2 5 3 2" xfId="23015" xr:uid="{2E4A29EB-B414-43E9-92BD-5195895AAEBF}"/>
    <cellStyle name="Normal 9 2 2 2 2 5 3 3" xfId="14567" xr:uid="{AE1709E2-2428-42CC-92EF-36E3FA2A1443}"/>
    <cellStyle name="Normal 9 2 2 2 2 5 4" xfId="18797" xr:uid="{CD64867F-320F-4865-ADBC-4C461B51851D}"/>
    <cellStyle name="Normal 9 2 2 2 2 5 5" xfId="10349" xr:uid="{14908BEA-D702-4D56-AFB6-2ECE9569ABEA}"/>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25573" xr:uid="{C1103C89-83F0-491C-86A0-B9E677A09386}"/>
    <cellStyle name="Normal 9 2 2 2 2 6 2 2 3" xfId="17125" xr:uid="{B5EA58B4-8E07-43B3-A17E-3E12D883D86E}"/>
    <cellStyle name="Normal 9 2 2 2 2 6 2 3" xfId="21355" xr:uid="{5702FB20-DFC5-4BDC-8EDB-0C7A2A20EE29}"/>
    <cellStyle name="Normal 9 2 2 2 2 6 2 4" xfId="12907" xr:uid="{DFFF95EA-C5A5-4E0B-B311-4F4F5024D5C9}"/>
    <cellStyle name="Normal 9 2 2 2 2 6 3" xfId="6530" xr:uid="{00000000-0005-0000-0000-0000931E0000}"/>
    <cellStyle name="Normal 9 2 2 2 2 6 3 2" xfId="23428" xr:uid="{7F5D3E51-F065-4A89-85F1-166F6807C541}"/>
    <cellStyle name="Normal 9 2 2 2 2 6 3 3" xfId="14980" xr:uid="{091F7660-0D93-4AB6-BBD3-1726C5052C90}"/>
    <cellStyle name="Normal 9 2 2 2 2 6 4" xfId="19210" xr:uid="{867CB34A-CE63-473E-ACC1-D0972F3B799A}"/>
    <cellStyle name="Normal 9 2 2 2 2 6 5" xfId="10762" xr:uid="{5011900D-DE39-442A-9CB5-96C0954B6B38}"/>
    <cellStyle name="Normal 9 2 2 2 2 7" xfId="2660" xr:uid="{00000000-0005-0000-0000-0000941E0000}"/>
    <cellStyle name="Normal 9 2 2 2 2 7 2" xfId="6943" xr:uid="{00000000-0005-0000-0000-0000951E0000}"/>
    <cellStyle name="Normal 9 2 2 2 2 7 2 2" xfId="23841" xr:uid="{92F23C9E-9E3D-4815-A1D2-D3E9DF05BF77}"/>
    <cellStyle name="Normal 9 2 2 2 2 7 2 3" xfId="15393" xr:uid="{C43974A7-583F-4F86-A8E5-3EF7653D0CA6}"/>
    <cellStyle name="Normal 9 2 2 2 2 7 3" xfId="19623" xr:uid="{04C76FC1-DB23-4510-AAC6-34CB6DD1FA4E}"/>
    <cellStyle name="Normal 9 2 2 2 2 7 4" xfId="11175" xr:uid="{37975286-A2A2-40E7-9B39-B27295689611}"/>
    <cellStyle name="Normal 9 2 2 2 2 8" xfId="4878" xr:uid="{00000000-0005-0000-0000-0000961E0000}"/>
    <cellStyle name="Normal 9 2 2 2 2 8 2" xfId="21776" xr:uid="{FC121EB7-3081-474C-9338-5DA18047099A}"/>
    <cellStyle name="Normal 9 2 2 2 2 8 3" xfId="13328" xr:uid="{B4E4C72B-D75A-42FF-939E-02A9975C1459}"/>
    <cellStyle name="Normal 9 2 2 2 2 9" xfId="17558" xr:uid="{7B9A0D41-D2B6-43B4-BA2D-D489CC761599}"/>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24336" xr:uid="{EFC6BBEE-12C8-444D-B3DF-92F19CCD555D}"/>
    <cellStyle name="Normal 9 2 2 2 3 2 2 2 3" xfId="15888" xr:uid="{4AC85545-0FFA-4AC1-AFFE-B2AAD203BB92}"/>
    <cellStyle name="Normal 9 2 2 2 3 2 2 3" xfId="20118" xr:uid="{4C97D4BC-A3A4-4CEA-B213-C12655ABCD3D}"/>
    <cellStyle name="Normal 9 2 2 2 3 2 2 4" xfId="11670" xr:uid="{18DDD573-F71B-498B-B072-6BB7B0EE17EB}"/>
    <cellStyle name="Normal 9 2 2 2 3 2 3" xfId="5293" xr:uid="{00000000-0005-0000-0000-00009B1E0000}"/>
    <cellStyle name="Normal 9 2 2 2 3 2 3 2" xfId="22191" xr:uid="{E4EFCE64-7BE7-4426-A13D-62310EC95092}"/>
    <cellStyle name="Normal 9 2 2 2 3 2 3 3" xfId="13743" xr:uid="{C93F6328-5B63-4B1A-A0F8-E4B19CDD6520}"/>
    <cellStyle name="Normal 9 2 2 2 3 2 4" xfId="17973" xr:uid="{63F4C8A1-C526-4661-A55F-4A25911FF834}"/>
    <cellStyle name="Normal 9 2 2 2 3 2 5" xfId="9525" xr:uid="{12DE7326-431C-4406-AF28-831C3518A2B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24749" xr:uid="{2A3085FB-A3E4-43E5-9BEC-748C02762736}"/>
    <cellStyle name="Normal 9 2 2 2 3 3 2 2 3" xfId="16301" xr:uid="{C0A57100-ACF3-40C9-93D2-770C99724B43}"/>
    <cellStyle name="Normal 9 2 2 2 3 3 2 3" xfId="20531" xr:uid="{4DD670BB-8508-43D0-9110-D02D33C5F10F}"/>
    <cellStyle name="Normal 9 2 2 2 3 3 2 4" xfId="12083" xr:uid="{A7F236C8-A59C-4EC8-B130-4DFE7A68779E}"/>
    <cellStyle name="Normal 9 2 2 2 3 3 3" xfId="5706" xr:uid="{00000000-0005-0000-0000-00009F1E0000}"/>
    <cellStyle name="Normal 9 2 2 2 3 3 3 2" xfId="22604" xr:uid="{CCFFE4C3-ACED-4279-AD72-698006AF481A}"/>
    <cellStyle name="Normal 9 2 2 2 3 3 3 3" xfId="14156" xr:uid="{EB641894-92F1-4ADA-8BF1-764C7CDD1B37}"/>
    <cellStyle name="Normal 9 2 2 2 3 3 4" xfId="18386" xr:uid="{8EF89681-BE03-4F60-9C22-48877A78B33C}"/>
    <cellStyle name="Normal 9 2 2 2 3 3 5" xfId="9938" xr:uid="{70E2554E-493A-442E-8F79-C991EBAD21A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25162" xr:uid="{703580DC-0D24-4BD4-AE5A-04E335A34B64}"/>
    <cellStyle name="Normal 9 2 2 2 3 4 2 2 3" xfId="16714" xr:uid="{AAE3D590-2B72-4245-A426-11F00B43FEAF}"/>
    <cellStyle name="Normal 9 2 2 2 3 4 2 3" xfId="20944" xr:uid="{D80F22FE-F7BA-48C4-8C5D-81CFC6549BD8}"/>
    <cellStyle name="Normal 9 2 2 2 3 4 2 4" xfId="12496" xr:uid="{D5D50C09-6E67-491A-857A-CF224A643454}"/>
    <cellStyle name="Normal 9 2 2 2 3 4 3" xfId="6119" xr:uid="{00000000-0005-0000-0000-0000A31E0000}"/>
    <cellStyle name="Normal 9 2 2 2 3 4 3 2" xfId="23017" xr:uid="{CD23A5D5-44DB-4FD8-98BB-0AEB492154CF}"/>
    <cellStyle name="Normal 9 2 2 2 3 4 3 3" xfId="14569" xr:uid="{E34454EE-ECD9-42D8-BE68-25E8435A95C2}"/>
    <cellStyle name="Normal 9 2 2 2 3 4 4" xfId="18799" xr:uid="{3AFE8177-5204-4828-9664-16359A3DB285}"/>
    <cellStyle name="Normal 9 2 2 2 3 4 5" xfId="10351" xr:uid="{1E584985-DE35-47F2-9B56-B38BFBDD791A}"/>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25575" xr:uid="{9F06F10A-BDDF-4A5B-89EF-AF1770270D3C}"/>
    <cellStyle name="Normal 9 2 2 2 3 5 2 2 3" xfId="17127" xr:uid="{FA013458-7B8C-4546-A1EB-590370319859}"/>
    <cellStyle name="Normal 9 2 2 2 3 5 2 3" xfId="21357" xr:uid="{B447E781-51C2-4517-8C54-32BF802970FB}"/>
    <cellStyle name="Normal 9 2 2 2 3 5 2 4" xfId="12909" xr:uid="{6EF31C72-404E-47B3-AEF0-42C41F439409}"/>
    <cellStyle name="Normal 9 2 2 2 3 5 3" xfId="6532" xr:uid="{00000000-0005-0000-0000-0000A71E0000}"/>
    <cellStyle name="Normal 9 2 2 2 3 5 3 2" xfId="23430" xr:uid="{5C846684-B236-4996-B56A-A45F34ED10F1}"/>
    <cellStyle name="Normal 9 2 2 2 3 5 3 3" xfId="14982" xr:uid="{8529B208-D599-495A-8ADF-6383E978C3B2}"/>
    <cellStyle name="Normal 9 2 2 2 3 5 4" xfId="19212" xr:uid="{2F2D73D6-1472-4EF2-AE47-65E861B5BC41}"/>
    <cellStyle name="Normal 9 2 2 2 3 5 5" xfId="10764" xr:uid="{0F1334B0-53BF-4E2B-BDDA-E1E59B23043C}"/>
    <cellStyle name="Normal 9 2 2 2 3 6" xfId="2662" xr:uid="{00000000-0005-0000-0000-0000A81E0000}"/>
    <cellStyle name="Normal 9 2 2 2 3 6 2" xfId="6945" xr:uid="{00000000-0005-0000-0000-0000A91E0000}"/>
    <cellStyle name="Normal 9 2 2 2 3 6 2 2" xfId="23843" xr:uid="{FE321EE8-D165-4E4B-B227-DB4B3BF1F2B1}"/>
    <cellStyle name="Normal 9 2 2 2 3 6 2 3" xfId="15395" xr:uid="{EEB7DEC1-1B68-4685-B61C-1D8F388EE9B2}"/>
    <cellStyle name="Normal 9 2 2 2 3 6 3" xfId="19625" xr:uid="{428032A4-8188-47C5-8D1A-B17CDB52B7C6}"/>
    <cellStyle name="Normal 9 2 2 2 3 6 4" xfId="11177" xr:uid="{21240655-FD5B-4C2A-B124-AAD20291D482}"/>
    <cellStyle name="Normal 9 2 2 2 3 7" xfId="4880" xr:uid="{00000000-0005-0000-0000-0000AA1E0000}"/>
    <cellStyle name="Normal 9 2 2 2 3 7 2" xfId="21778" xr:uid="{5BE3E087-8A88-4A7B-B753-EFA092C9C571}"/>
    <cellStyle name="Normal 9 2 2 2 3 7 3" xfId="13330" xr:uid="{30FF8125-A6DF-48AF-B42E-3E4661C7C9FC}"/>
    <cellStyle name="Normal 9 2 2 2 3 8" xfId="17560" xr:uid="{F97DB7C3-D253-4F34-AFBB-88744A44F6A0}"/>
    <cellStyle name="Normal 9 2 2 2 3 9" xfId="9112" xr:uid="{C472ECB2-D0D1-487D-859C-FE26E86A31C3}"/>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24333" xr:uid="{F8C3FFDC-5DB8-470E-96BC-6C2A50A39568}"/>
    <cellStyle name="Normal 9 2 2 2 4 2 2 3" xfId="15885" xr:uid="{A2392AD4-CE1B-4D2C-8805-FB028DFE3260}"/>
    <cellStyle name="Normal 9 2 2 2 4 2 3" xfId="20115" xr:uid="{C890A52B-D37B-4D67-99A7-6553310C66A0}"/>
    <cellStyle name="Normal 9 2 2 2 4 2 4" xfId="11667" xr:uid="{D8CCF2BF-736C-4F0C-A687-3BD7BEBF103A}"/>
    <cellStyle name="Normal 9 2 2 2 4 3" xfId="5290" xr:uid="{00000000-0005-0000-0000-0000AE1E0000}"/>
    <cellStyle name="Normal 9 2 2 2 4 3 2" xfId="22188" xr:uid="{1B869413-BC39-49F9-8AF3-399966109EFA}"/>
    <cellStyle name="Normal 9 2 2 2 4 3 3" xfId="13740" xr:uid="{4198C766-66FE-4E39-9141-75D59D9F6199}"/>
    <cellStyle name="Normal 9 2 2 2 4 4" xfId="17970" xr:uid="{DDD62972-0A32-4076-9E65-F22879BD4C6D}"/>
    <cellStyle name="Normal 9 2 2 2 4 5" xfId="9522" xr:uid="{2F5A3329-8C74-4395-969C-59059ABC435D}"/>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24746" xr:uid="{055CF565-1545-4CAE-8A61-F6C4B90568B2}"/>
    <cellStyle name="Normal 9 2 2 2 5 2 2 3" xfId="16298" xr:uid="{CB8A1BFC-B809-4A08-ABEB-EAFFC995485C}"/>
    <cellStyle name="Normal 9 2 2 2 5 2 3" xfId="20528" xr:uid="{D2805330-C778-4977-AD50-CA0C39034DF0}"/>
    <cellStyle name="Normal 9 2 2 2 5 2 4" xfId="12080" xr:uid="{D8AED8F9-61DF-4079-9D38-A3905F83E384}"/>
    <cellStyle name="Normal 9 2 2 2 5 3" xfId="5703" xr:uid="{00000000-0005-0000-0000-0000B21E0000}"/>
    <cellStyle name="Normal 9 2 2 2 5 3 2" xfId="22601" xr:uid="{E5C5338B-A5E8-4181-B140-31B07E24E406}"/>
    <cellStyle name="Normal 9 2 2 2 5 3 3" xfId="14153" xr:uid="{5DC7D50E-012D-4612-B460-C0B5EC12DB6E}"/>
    <cellStyle name="Normal 9 2 2 2 5 4" xfId="18383" xr:uid="{1ABAAF29-F75E-4DCF-BFB3-858F81E5F88E}"/>
    <cellStyle name="Normal 9 2 2 2 5 5" xfId="9935" xr:uid="{A88B8DEA-8799-4D6D-83FD-781F2BEB2B3F}"/>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25159" xr:uid="{45A8082C-32CA-4409-BCA3-CAF60A547B8B}"/>
    <cellStyle name="Normal 9 2 2 2 6 2 2 3" xfId="16711" xr:uid="{F9DAA578-955D-4C56-9732-B994640F9660}"/>
    <cellStyle name="Normal 9 2 2 2 6 2 3" xfId="20941" xr:uid="{B6C5375C-17E4-4E72-AEAB-80A6876D39C7}"/>
    <cellStyle name="Normal 9 2 2 2 6 2 4" xfId="12493" xr:uid="{37333F4B-48DE-4C25-9E8F-3B0C99DAD693}"/>
    <cellStyle name="Normal 9 2 2 2 6 3" xfId="6116" xr:uid="{00000000-0005-0000-0000-0000B61E0000}"/>
    <cellStyle name="Normal 9 2 2 2 6 3 2" xfId="23014" xr:uid="{EB428648-9BB9-40C1-9437-3C2487D9214B}"/>
    <cellStyle name="Normal 9 2 2 2 6 3 3" xfId="14566" xr:uid="{DD7A72ED-F737-4220-86C2-A45BBEBCD023}"/>
    <cellStyle name="Normal 9 2 2 2 6 4" xfId="18796" xr:uid="{3AB376E4-D4A6-4620-846F-279D91DDDDA8}"/>
    <cellStyle name="Normal 9 2 2 2 6 5" xfId="10348" xr:uid="{6FCAE642-8162-4CCE-BAB5-DB7A2869D65F}"/>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25572" xr:uid="{CEC79E90-3996-4D08-85EE-F13170BDC9F8}"/>
    <cellStyle name="Normal 9 2 2 2 7 2 2 3" xfId="17124" xr:uid="{E757FF46-C04A-486D-83B5-E2D98D3C4DAE}"/>
    <cellStyle name="Normal 9 2 2 2 7 2 3" xfId="21354" xr:uid="{8A7417C8-445F-4C5D-93B8-4E4AF3646949}"/>
    <cellStyle name="Normal 9 2 2 2 7 2 4" xfId="12906" xr:uid="{40B1BF31-FDF6-4325-994E-B9F5C7814AE8}"/>
    <cellStyle name="Normal 9 2 2 2 7 3" xfId="6529" xr:uid="{00000000-0005-0000-0000-0000BA1E0000}"/>
    <cellStyle name="Normal 9 2 2 2 7 3 2" xfId="23427" xr:uid="{C71B90E8-23BA-4444-A961-7D4A86F79BE0}"/>
    <cellStyle name="Normal 9 2 2 2 7 3 3" xfId="14979" xr:uid="{86CFFB2F-DC95-4F65-90E9-CBD9E8999111}"/>
    <cellStyle name="Normal 9 2 2 2 7 4" xfId="19209" xr:uid="{EABD0DD5-03B2-4D9A-8EAF-9F9CE0866B8D}"/>
    <cellStyle name="Normal 9 2 2 2 7 5" xfId="10761" xr:uid="{8D1FF1FB-40BD-48C3-A3AB-0BBE6C3A1502}"/>
    <cellStyle name="Normal 9 2 2 2 8" xfId="2659" xr:uid="{00000000-0005-0000-0000-0000BB1E0000}"/>
    <cellStyle name="Normal 9 2 2 2 8 2" xfId="6942" xr:uid="{00000000-0005-0000-0000-0000BC1E0000}"/>
    <cellStyle name="Normal 9 2 2 2 8 2 2" xfId="23840" xr:uid="{90D8DBB5-4DDD-4D87-9544-5BBF7829D3C4}"/>
    <cellStyle name="Normal 9 2 2 2 8 2 3" xfId="15392" xr:uid="{D7AD42E8-8D09-4C45-BD67-83F7101CCFA8}"/>
    <cellStyle name="Normal 9 2 2 2 8 3" xfId="19622" xr:uid="{07123008-3506-455E-99E7-B59FE696C6E8}"/>
    <cellStyle name="Normal 9 2 2 2 8 4" xfId="11174" xr:uid="{3EBA3C5C-1D77-4D8E-8A5A-F7BF827CEE43}"/>
    <cellStyle name="Normal 9 2 2 2 9" xfId="4877" xr:uid="{00000000-0005-0000-0000-0000BD1E0000}"/>
    <cellStyle name="Normal 9 2 2 2 9 2" xfId="21775" xr:uid="{6F93E2BD-8026-4B9B-AB2E-E755C6650E19}"/>
    <cellStyle name="Normal 9 2 2 2 9 3" xfId="13327" xr:uid="{2101FDF0-1C0F-400C-B916-655C19127204}"/>
    <cellStyle name="Normal 9 2 2 3" xfId="517" xr:uid="{00000000-0005-0000-0000-0000BE1E0000}"/>
    <cellStyle name="Normal 9 2 2 3 10" xfId="9113" xr:uid="{EE9C4D2C-E3D2-40D0-8369-04694CF947BD}"/>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24338" xr:uid="{85BE4D7A-6FCC-4ED3-A86B-CFA152A1318F}"/>
    <cellStyle name="Normal 9 2 2 3 2 2 2 2 3" xfId="15890" xr:uid="{3B849277-BFBC-4F53-8A91-CEBD7C059D36}"/>
    <cellStyle name="Normal 9 2 2 3 2 2 2 3" xfId="20120" xr:uid="{87A488CD-8287-418F-A7F0-D8D976F64498}"/>
    <cellStyle name="Normal 9 2 2 3 2 2 2 4" xfId="11672" xr:uid="{FEC39E71-655E-4D71-ACF4-03A90AFD34C6}"/>
    <cellStyle name="Normal 9 2 2 3 2 2 3" xfId="5295" xr:uid="{00000000-0005-0000-0000-0000C31E0000}"/>
    <cellStyle name="Normal 9 2 2 3 2 2 3 2" xfId="22193" xr:uid="{4232BE8E-C234-40E1-90EA-2A10E484B16D}"/>
    <cellStyle name="Normal 9 2 2 3 2 2 3 3" xfId="13745" xr:uid="{C1FB5B2F-5B13-4689-A190-501EA65808A9}"/>
    <cellStyle name="Normal 9 2 2 3 2 2 4" xfId="17975" xr:uid="{DB73FA89-0D1D-46F7-ABF4-9F2DE3E36494}"/>
    <cellStyle name="Normal 9 2 2 3 2 2 5" xfId="9527" xr:uid="{A0CCE8C1-4418-4B5A-93E0-6E11354C185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24751" xr:uid="{D5C9BA7F-5618-4362-8C2D-709DFFE6A34A}"/>
    <cellStyle name="Normal 9 2 2 3 2 3 2 2 3" xfId="16303" xr:uid="{658FC18C-8BCF-4302-8FC5-59142764A978}"/>
    <cellStyle name="Normal 9 2 2 3 2 3 2 3" xfId="20533" xr:uid="{D0593040-489F-433F-9D42-0A44587A1614}"/>
    <cellStyle name="Normal 9 2 2 3 2 3 2 4" xfId="12085" xr:uid="{64BBCBA3-F40E-4188-B3C0-0E7904AE9B8C}"/>
    <cellStyle name="Normal 9 2 2 3 2 3 3" xfId="5708" xr:uid="{00000000-0005-0000-0000-0000C71E0000}"/>
    <cellStyle name="Normal 9 2 2 3 2 3 3 2" xfId="22606" xr:uid="{E02A5DF1-706B-4C85-99A5-82199C3091CA}"/>
    <cellStyle name="Normal 9 2 2 3 2 3 3 3" xfId="14158" xr:uid="{39D62CE6-CB94-4F3E-84C0-438C1B9D757B}"/>
    <cellStyle name="Normal 9 2 2 3 2 3 4" xfId="18388" xr:uid="{AB0D50A2-96E0-4D32-BB5A-39A597E8D26C}"/>
    <cellStyle name="Normal 9 2 2 3 2 3 5" xfId="9940" xr:uid="{0860A5EE-2C9A-4506-BF5C-F9D27B45234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25164" xr:uid="{B69BC4EA-4846-4B87-B2AB-E0548A85B6F4}"/>
    <cellStyle name="Normal 9 2 2 3 2 4 2 2 3" xfId="16716" xr:uid="{DAA40F7E-0936-4D24-AE31-EC27A260814E}"/>
    <cellStyle name="Normal 9 2 2 3 2 4 2 3" xfId="20946" xr:uid="{C6F816E2-41AF-4143-B95F-238054A4EA14}"/>
    <cellStyle name="Normal 9 2 2 3 2 4 2 4" xfId="12498" xr:uid="{2569515D-A0A4-4DE0-A599-4ECD7A5EDE6D}"/>
    <cellStyle name="Normal 9 2 2 3 2 4 3" xfId="6121" xr:uid="{00000000-0005-0000-0000-0000CB1E0000}"/>
    <cellStyle name="Normal 9 2 2 3 2 4 3 2" xfId="23019" xr:uid="{06B4DBC4-8E1F-45EE-95A6-72CC5653897F}"/>
    <cellStyle name="Normal 9 2 2 3 2 4 3 3" xfId="14571" xr:uid="{398A6613-3C65-4464-AB8A-95015DD822B5}"/>
    <cellStyle name="Normal 9 2 2 3 2 4 4" xfId="18801" xr:uid="{F6CD32EB-914C-4AF5-A3A1-AA44F6152FB8}"/>
    <cellStyle name="Normal 9 2 2 3 2 4 5" xfId="10353" xr:uid="{40B913A3-72AB-4B58-AD33-BD63CD468FCC}"/>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25577" xr:uid="{74EA9251-6EE3-4CA3-81A6-BE22412E9223}"/>
    <cellStyle name="Normal 9 2 2 3 2 5 2 2 3" xfId="17129" xr:uid="{A87344F1-50E8-494C-9E54-A62B741ACEEE}"/>
    <cellStyle name="Normal 9 2 2 3 2 5 2 3" xfId="21359" xr:uid="{28B7E4AD-936F-400E-8046-E3BED55E9649}"/>
    <cellStyle name="Normal 9 2 2 3 2 5 2 4" xfId="12911" xr:uid="{3013B01C-0523-4908-8598-E485311BD17A}"/>
    <cellStyle name="Normal 9 2 2 3 2 5 3" xfId="6534" xr:uid="{00000000-0005-0000-0000-0000CF1E0000}"/>
    <cellStyle name="Normal 9 2 2 3 2 5 3 2" xfId="23432" xr:uid="{5E627CC3-7153-471B-A3F4-B194F8DB75C4}"/>
    <cellStyle name="Normal 9 2 2 3 2 5 3 3" xfId="14984" xr:uid="{20F1165D-8DBD-42D6-8C33-FB6A43042E64}"/>
    <cellStyle name="Normal 9 2 2 3 2 5 4" xfId="19214" xr:uid="{4420C055-B8E3-4C43-9D52-9DDE08D71DFF}"/>
    <cellStyle name="Normal 9 2 2 3 2 5 5" xfId="10766" xr:uid="{C8D3AEC2-625A-457C-9B06-4F5C8ED44CC2}"/>
    <cellStyle name="Normal 9 2 2 3 2 6" xfId="2664" xr:uid="{00000000-0005-0000-0000-0000D01E0000}"/>
    <cellStyle name="Normal 9 2 2 3 2 6 2" xfId="6947" xr:uid="{00000000-0005-0000-0000-0000D11E0000}"/>
    <cellStyle name="Normal 9 2 2 3 2 6 2 2" xfId="23845" xr:uid="{8724386F-112A-4078-8852-F5D54B2C9826}"/>
    <cellStyle name="Normal 9 2 2 3 2 6 2 3" xfId="15397" xr:uid="{3B5CE1E1-1597-4A83-BC83-6230405EFA1D}"/>
    <cellStyle name="Normal 9 2 2 3 2 6 3" xfId="19627" xr:uid="{913F090C-D0C0-4C70-B957-C35EF56433F9}"/>
    <cellStyle name="Normal 9 2 2 3 2 6 4" xfId="11179" xr:uid="{692739FD-880C-43A2-A838-81FB61B85558}"/>
    <cellStyle name="Normal 9 2 2 3 2 7" xfId="4882" xr:uid="{00000000-0005-0000-0000-0000D21E0000}"/>
    <cellStyle name="Normal 9 2 2 3 2 7 2" xfId="21780" xr:uid="{047786DF-D491-4AE3-9581-34DF2B3772F2}"/>
    <cellStyle name="Normal 9 2 2 3 2 7 3" xfId="13332" xr:uid="{90CC4685-967D-46C8-A95D-B6FB0E8581CE}"/>
    <cellStyle name="Normal 9 2 2 3 2 8" xfId="17562" xr:uid="{590BFD5E-0EAF-4FD4-A022-D962642905EC}"/>
    <cellStyle name="Normal 9 2 2 3 2 9" xfId="9114" xr:uid="{20342568-7BCD-4C6D-99F6-3A7EBACC2842}"/>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24337" xr:uid="{4732F8EA-E999-497C-8CC5-CDC294446836}"/>
    <cellStyle name="Normal 9 2 2 3 3 2 2 3" xfId="15889" xr:uid="{3DBA1A46-AF21-443E-95C8-B86C769DCAAE}"/>
    <cellStyle name="Normal 9 2 2 3 3 2 3" xfId="20119" xr:uid="{C269B856-F54C-4AAC-AF0A-6984626C340A}"/>
    <cellStyle name="Normal 9 2 2 3 3 2 4" xfId="11671" xr:uid="{94D374F1-BB37-4C2D-8930-2C6BE4B6F26E}"/>
    <cellStyle name="Normal 9 2 2 3 3 3" xfId="5294" xr:uid="{00000000-0005-0000-0000-0000D61E0000}"/>
    <cellStyle name="Normal 9 2 2 3 3 3 2" xfId="22192" xr:uid="{B6C2DF31-71CA-4B25-9070-BCB9E5DE8C97}"/>
    <cellStyle name="Normal 9 2 2 3 3 3 3" xfId="13744" xr:uid="{24F08DC7-5B41-4591-BCF8-488371E93537}"/>
    <cellStyle name="Normal 9 2 2 3 3 4" xfId="17974" xr:uid="{7EC5DBDE-4190-4142-853A-36ECBC7D3A1B}"/>
    <cellStyle name="Normal 9 2 2 3 3 5" xfId="9526" xr:uid="{055EA11B-4E87-482B-AF31-36DDF356F45C}"/>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24750" xr:uid="{2101BB47-BD1D-441C-9826-BDC706DE832C}"/>
    <cellStyle name="Normal 9 2 2 3 4 2 2 3" xfId="16302" xr:uid="{9C7AB1CD-B527-477B-BACA-E5C924EFC614}"/>
    <cellStyle name="Normal 9 2 2 3 4 2 3" xfId="20532" xr:uid="{CA069A39-F147-4B5A-9D7C-B4839D7DF180}"/>
    <cellStyle name="Normal 9 2 2 3 4 2 4" xfId="12084" xr:uid="{342AC8EF-F3D0-4D46-99A9-820AE4FF0549}"/>
    <cellStyle name="Normal 9 2 2 3 4 3" xfId="5707" xr:uid="{00000000-0005-0000-0000-0000DA1E0000}"/>
    <cellStyle name="Normal 9 2 2 3 4 3 2" xfId="22605" xr:uid="{A8A09643-CD59-47DF-AFBE-390B358172EB}"/>
    <cellStyle name="Normal 9 2 2 3 4 3 3" xfId="14157" xr:uid="{6ECFE750-87A2-4BD9-BD26-DB2528C8EC3B}"/>
    <cellStyle name="Normal 9 2 2 3 4 4" xfId="18387" xr:uid="{DEA31D51-5A99-432C-9EFE-B4FFD278AA2B}"/>
    <cellStyle name="Normal 9 2 2 3 4 5" xfId="9939" xr:uid="{8107D423-C568-41B2-A419-7B7627CC32F4}"/>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25163" xr:uid="{5F6710B2-E329-4B06-B761-11593F463355}"/>
    <cellStyle name="Normal 9 2 2 3 5 2 2 3" xfId="16715" xr:uid="{A22F192F-9845-4B55-9464-C8F00F6C931A}"/>
    <cellStyle name="Normal 9 2 2 3 5 2 3" xfId="20945" xr:uid="{93D2BFA0-5253-44F2-95EA-792A73B44F1D}"/>
    <cellStyle name="Normal 9 2 2 3 5 2 4" xfId="12497" xr:uid="{4251EC54-F3DC-43EC-BCCD-58DFF7C67B97}"/>
    <cellStyle name="Normal 9 2 2 3 5 3" xfId="6120" xr:uid="{00000000-0005-0000-0000-0000DE1E0000}"/>
    <cellStyle name="Normal 9 2 2 3 5 3 2" xfId="23018" xr:uid="{BF445694-5810-443E-B6A1-AA3A8A41E340}"/>
    <cellStyle name="Normal 9 2 2 3 5 3 3" xfId="14570" xr:uid="{EA9D42A4-A71A-485A-9306-CA75B2ADACC5}"/>
    <cellStyle name="Normal 9 2 2 3 5 4" xfId="18800" xr:uid="{3278E005-BAFF-4283-876A-4D041BA8244B}"/>
    <cellStyle name="Normal 9 2 2 3 5 5" xfId="10352" xr:uid="{4FBCB05D-8A95-458A-93F6-FFC6DDD57110}"/>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25576" xr:uid="{662DC86C-9EF5-4983-9542-9896B7ED6D87}"/>
    <cellStyle name="Normal 9 2 2 3 6 2 2 3" xfId="17128" xr:uid="{C70DB9F4-6079-478B-BAB7-F0B7129679AE}"/>
    <cellStyle name="Normal 9 2 2 3 6 2 3" xfId="21358" xr:uid="{8DF69218-B966-44B4-BF60-1231A7696DB3}"/>
    <cellStyle name="Normal 9 2 2 3 6 2 4" xfId="12910" xr:uid="{DCB5FC81-E975-4D5B-89C4-6A01608E6911}"/>
    <cellStyle name="Normal 9 2 2 3 6 3" xfId="6533" xr:uid="{00000000-0005-0000-0000-0000E21E0000}"/>
    <cellStyle name="Normal 9 2 2 3 6 3 2" xfId="23431" xr:uid="{9534FBF0-5C87-49BD-9527-414B3FBDBCD4}"/>
    <cellStyle name="Normal 9 2 2 3 6 3 3" xfId="14983" xr:uid="{91C6839C-36A3-4117-A2C1-81CF461F357E}"/>
    <cellStyle name="Normal 9 2 2 3 6 4" xfId="19213" xr:uid="{946FDF75-0EE9-47AF-AA16-F1BABB69135B}"/>
    <cellStyle name="Normal 9 2 2 3 6 5" xfId="10765" xr:uid="{E41EA871-6C8F-46DA-B97C-7CF22EFA1C12}"/>
    <cellStyle name="Normal 9 2 2 3 7" xfId="2663" xr:uid="{00000000-0005-0000-0000-0000E31E0000}"/>
    <cellStyle name="Normal 9 2 2 3 7 2" xfId="6946" xr:uid="{00000000-0005-0000-0000-0000E41E0000}"/>
    <cellStyle name="Normal 9 2 2 3 7 2 2" xfId="23844" xr:uid="{B4A57F52-52E1-4F92-A910-CBF70E1C6186}"/>
    <cellStyle name="Normal 9 2 2 3 7 2 3" xfId="15396" xr:uid="{5691E497-6296-4D57-9690-45FA52277F4B}"/>
    <cellStyle name="Normal 9 2 2 3 7 3" xfId="19626" xr:uid="{037FC64A-6DB2-4B74-B829-1BCC6E04A076}"/>
    <cellStyle name="Normal 9 2 2 3 7 4" xfId="11178" xr:uid="{94A62D2F-D4F3-47CC-AC24-07ECFBEF0E14}"/>
    <cellStyle name="Normal 9 2 2 3 8" xfId="4881" xr:uid="{00000000-0005-0000-0000-0000E51E0000}"/>
    <cellStyle name="Normal 9 2 2 3 8 2" xfId="21779" xr:uid="{7DC4A888-C400-4F1D-9F4E-C340E703C27E}"/>
    <cellStyle name="Normal 9 2 2 3 8 3" xfId="13331" xr:uid="{CE17E845-51B5-4616-A6EF-08CD7DA1C644}"/>
    <cellStyle name="Normal 9 2 2 3 9" xfId="17561" xr:uid="{B8554A54-11FE-4B1F-AD57-64894FF44D13}"/>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24339" xr:uid="{01AEB6BB-6F1B-4B16-8216-B9B529534568}"/>
    <cellStyle name="Normal 9 2 2 4 2 2 2 3" xfId="15891" xr:uid="{B2B6EB5B-A2C5-44BF-B8D7-C44BEFBB5099}"/>
    <cellStyle name="Normal 9 2 2 4 2 2 3" xfId="20121" xr:uid="{29A3160A-DDD1-429E-ACFC-7D4626FF201B}"/>
    <cellStyle name="Normal 9 2 2 4 2 2 4" xfId="11673" xr:uid="{432244A1-6E7F-4AB0-B343-5DB86282C00C}"/>
    <cellStyle name="Normal 9 2 2 4 2 3" xfId="5296" xr:uid="{00000000-0005-0000-0000-0000EA1E0000}"/>
    <cellStyle name="Normal 9 2 2 4 2 3 2" xfId="22194" xr:uid="{D9FD980D-638D-4CCE-B986-C232D2C012ED}"/>
    <cellStyle name="Normal 9 2 2 4 2 3 3" xfId="13746" xr:uid="{5F134D52-6BD4-4A8D-9318-C8822E8AE6A3}"/>
    <cellStyle name="Normal 9 2 2 4 2 4" xfId="17976" xr:uid="{EBC0D550-FFEF-482E-9A4C-C242BD9D0F4A}"/>
    <cellStyle name="Normal 9 2 2 4 2 5" xfId="9528" xr:uid="{0B23A6CC-9E4C-4573-A40F-0F322772E435}"/>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24752" xr:uid="{AEEDDDFE-7E35-449D-AEF5-9EB12EF706DB}"/>
    <cellStyle name="Normal 9 2 2 4 3 2 2 3" xfId="16304" xr:uid="{8EC49F38-1704-460D-8209-0F89A9F2AB9D}"/>
    <cellStyle name="Normal 9 2 2 4 3 2 3" xfId="20534" xr:uid="{B1BB41A1-C18C-4AD3-9E57-EF639184048E}"/>
    <cellStyle name="Normal 9 2 2 4 3 2 4" xfId="12086" xr:uid="{E512F033-E973-40BC-BF29-C03B2DC9587A}"/>
    <cellStyle name="Normal 9 2 2 4 3 3" xfId="5709" xr:uid="{00000000-0005-0000-0000-0000EE1E0000}"/>
    <cellStyle name="Normal 9 2 2 4 3 3 2" xfId="22607" xr:uid="{5D47AA63-9689-41DC-B669-D02FD68DBE17}"/>
    <cellStyle name="Normal 9 2 2 4 3 3 3" xfId="14159" xr:uid="{3A204B12-A2DF-4CD8-8E01-BED250FBCEB0}"/>
    <cellStyle name="Normal 9 2 2 4 3 4" xfId="18389" xr:uid="{535C7134-C345-43EB-A9F4-01947F25191B}"/>
    <cellStyle name="Normal 9 2 2 4 3 5" xfId="9941" xr:uid="{348F2568-FD14-46C4-AD76-B6A35D8481D3}"/>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25165" xr:uid="{C4218BA7-843F-4E98-A8F3-07D232208AC8}"/>
    <cellStyle name="Normal 9 2 2 4 4 2 2 3" xfId="16717" xr:uid="{3AB0ED04-9941-4E92-A355-9F5F495607E3}"/>
    <cellStyle name="Normal 9 2 2 4 4 2 3" xfId="20947" xr:uid="{40F1C468-7481-462F-A062-A2E600FA4C3E}"/>
    <cellStyle name="Normal 9 2 2 4 4 2 4" xfId="12499" xr:uid="{7B961E62-6757-4B94-99C3-D256E116B5C1}"/>
    <cellStyle name="Normal 9 2 2 4 4 3" xfId="6122" xr:uid="{00000000-0005-0000-0000-0000F21E0000}"/>
    <cellStyle name="Normal 9 2 2 4 4 3 2" xfId="23020" xr:uid="{84BDD511-FA47-4DD7-82BA-22CE19511F68}"/>
    <cellStyle name="Normal 9 2 2 4 4 3 3" xfId="14572" xr:uid="{D6595142-95FC-4CF3-95C3-60090AC6E894}"/>
    <cellStyle name="Normal 9 2 2 4 4 4" xfId="18802" xr:uid="{1BAFA9C1-5357-45D8-936F-4F06E1FDCE4C}"/>
    <cellStyle name="Normal 9 2 2 4 4 5" xfId="10354" xr:uid="{BA65F23F-43BB-49A2-BF60-285E9EC23348}"/>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25578" xr:uid="{AE5757AD-27D9-4806-AD50-623E483315C6}"/>
    <cellStyle name="Normal 9 2 2 4 5 2 2 3" xfId="17130" xr:uid="{2AC9F7F1-99BD-43BB-8421-D22073B44090}"/>
    <cellStyle name="Normal 9 2 2 4 5 2 3" xfId="21360" xr:uid="{BC54C422-C0E9-49B5-A97E-BC1C63E58C4E}"/>
    <cellStyle name="Normal 9 2 2 4 5 2 4" xfId="12912" xr:uid="{6D708B72-08DB-4429-B20A-0F27DFA704E1}"/>
    <cellStyle name="Normal 9 2 2 4 5 3" xfId="6535" xr:uid="{00000000-0005-0000-0000-0000F61E0000}"/>
    <cellStyle name="Normal 9 2 2 4 5 3 2" xfId="23433" xr:uid="{8B7298F6-042C-41C6-89B4-52EF2AF661BD}"/>
    <cellStyle name="Normal 9 2 2 4 5 3 3" xfId="14985" xr:uid="{4A515597-3CC1-4C3B-AA7E-67CA5B2E5818}"/>
    <cellStyle name="Normal 9 2 2 4 5 4" xfId="19215" xr:uid="{85D5181D-5A9A-49E8-83E7-3118E23DF293}"/>
    <cellStyle name="Normal 9 2 2 4 5 5" xfId="10767" xr:uid="{864CC211-715C-45F9-A651-36BAEC64B6C1}"/>
    <cellStyle name="Normal 9 2 2 4 6" xfId="2665" xr:uid="{00000000-0005-0000-0000-0000F71E0000}"/>
    <cellStyle name="Normal 9 2 2 4 6 2" xfId="6948" xr:uid="{00000000-0005-0000-0000-0000F81E0000}"/>
    <cellStyle name="Normal 9 2 2 4 6 2 2" xfId="23846" xr:uid="{0D481772-3447-44DB-80BB-CC6B1EB41C1E}"/>
    <cellStyle name="Normal 9 2 2 4 6 2 3" xfId="15398" xr:uid="{16901F34-4EC6-40D8-BFC8-02F75CC2F0F0}"/>
    <cellStyle name="Normal 9 2 2 4 6 3" xfId="19628" xr:uid="{F9154855-4628-40A0-89C4-0BB61591EFC5}"/>
    <cellStyle name="Normal 9 2 2 4 6 4" xfId="11180" xr:uid="{2FA10333-49BE-4112-9504-251B97F6097A}"/>
    <cellStyle name="Normal 9 2 2 4 7" xfId="4883" xr:uid="{00000000-0005-0000-0000-0000F91E0000}"/>
    <cellStyle name="Normal 9 2 2 4 7 2" xfId="21781" xr:uid="{4B9CDBA7-66E8-488E-9A57-9031BFE46945}"/>
    <cellStyle name="Normal 9 2 2 4 7 3" xfId="13333" xr:uid="{16F9CC82-D431-4FC1-9FC1-BC7CA619DEA2}"/>
    <cellStyle name="Normal 9 2 2 4 8" xfId="17563" xr:uid="{BED77003-AF7B-470F-9A13-33C4FD25D35D}"/>
    <cellStyle name="Normal 9 2 2 4 9" xfId="9115" xr:uid="{E8C4A6B2-5D23-4A49-AF1D-E1DE8E9EFB1B}"/>
    <cellStyle name="Normal 9 2 2 5" xfId="979" xr:uid="{00000000-0005-0000-0000-0000FA1E0000}"/>
    <cellStyle name="Normal 9 2 2 5 2" xfId="3212" xr:uid="{00000000-0005-0000-0000-0000FB1E0000}"/>
    <cellStyle name="Normal 9 2 2 5 2 2" xfId="7434" xr:uid="{00000000-0005-0000-0000-0000FC1E0000}"/>
    <cellStyle name="Normal 9 2 2 5 2 2 2" xfId="24332" xr:uid="{1CA55A5C-8B29-4BD2-A2F6-655D01C19EFD}"/>
    <cellStyle name="Normal 9 2 2 5 2 2 3" xfId="15884" xr:uid="{BE669EAA-9D56-4369-BF3E-F1179F1E39F6}"/>
    <cellStyle name="Normal 9 2 2 5 2 3" xfId="20114" xr:uid="{805B7ECE-274A-497D-AA40-EC57E6B2108B}"/>
    <cellStyle name="Normal 9 2 2 5 2 4" xfId="11666" xr:uid="{F832833D-826B-4DF8-A7E9-30EAD474634A}"/>
    <cellStyle name="Normal 9 2 2 5 3" xfId="5289" xr:uid="{00000000-0005-0000-0000-0000FD1E0000}"/>
    <cellStyle name="Normal 9 2 2 5 3 2" xfId="22187" xr:uid="{27931722-A80F-4403-916D-497F4EFC1CBE}"/>
    <cellStyle name="Normal 9 2 2 5 3 3" xfId="13739" xr:uid="{82B92675-65A8-4D8B-8917-40584BE5D561}"/>
    <cellStyle name="Normal 9 2 2 5 4" xfId="17969" xr:uid="{C21886CF-6BD4-4B4D-85A5-798153DBEA04}"/>
    <cellStyle name="Normal 9 2 2 5 5" xfId="9521" xr:uid="{6B1A1D90-1113-4342-9D05-BF2C984E4801}"/>
    <cellStyle name="Normal 9 2 2 6" xfId="1395" xr:uid="{00000000-0005-0000-0000-0000FE1E0000}"/>
    <cellStyle name="Normal 9 2 2 6 2" xfId="3625" xr:uid="{00000000-0005-0000-0000-0000FF1E0000}"/>
    <cellStyle name="Normal 9 2 2 6 2 2" xfId="7847" xr:uid="{00000000-0005-0000-0000-0000001F0000}"/>
    <cellStyle name="Normal 9 2 2 6 2 2 2" xfId="24745" xr:uid="{A7A95336-80D2-48A0-942E-1E916F9A0319}"/>
    <cellStyle name="Normal 9 2 2 6 2 2 3" xfId="16297" xr:uid="{3764C429-5DA8-4351-84F9-CE3CC7C980CB}"/>
    <cellStyle name="Normal 9 2 2 6 2 3" xfId="20527" xr:uid="{E0B2B6E5-A8D4-4643-882A-DB84BA486B5F}"/>
    <cellStyle name="Normal 9 2 2 6 2 4" xfId="12079" xr:uid="{3738464F-7D2E-4851-8735-FDA4F7B6E116}"/>
    <cellStyle name="Normal 9 2 2 6 3" xfId="5702" xr:uid="{00000000-0005-0000-0000-0000011F0000}"/>
    <cellStyle name="Normal 9 2 2 6 3 2" xfId="22600" xr:uid="{6EF4D855-A96C-4B43-8F7C-6FA04A70F6F3}"/>
    <cellStyle name="Normal 9 2 2 6 3 3" xfId="14152" xr:uid="{656D4D05-F8A7-4F15-819E-962F539F6956}"/>
    <cellStyle name="Normal 9 2 2 6 4" xfId="18382" xr:uid="{71C400BB-E289-421D-8D26-E5EC37F1C132}"/>
    <cellStyle name="Normal 9 2 2 6 5" xfId="9934" xr:uid="{4A688B55-1A0F-4EA0-BF36-A9796971C380}"/>
    <cellStyle name="Normal 9 2 2 7" xfId="1808" xr:uid="{00000000-0005-0000-0000-0000021F0000}"/>
    <cellStyle name="Normal 9 2 2 7 2" xfId="4038" xr:uid="{00000000-0005-0000-0000-0000031F0000}"/>
    <cellStyle name="Normal 9 2 2 7 2 2" xfId="8260" xr:uid="{00000000-0005-0000-0000-0000041F0000}"/>
    <cellStyle name="Normal 9 2 2 7 2 2 2" xfId="25158" xr:uid="{D1738D7C-541C-47C2-8D69-5B029678D026}"/>
    <cellStyle name="Normal 9 2 2 7 2 2 3" xfId="16710" xr:uid="{DDD64631-800F-4C11-9FEE-D6483A0F3976}"/>
    <cellStyle name="Normal 9 2 2 7 2 3" xfId="20940" xr:uid="{849E1B27-BCCA-44BB-9D61-05A73557CA00}"/>
    <cellStyle name="Normal 9 2 2 7 2 4" xfId="12492" xr:uid="{70393D70-F1F7-4999-9DC8-342F109859E9}"/>
    <cellStyle name="Normal 9 2 2 7 3" xfId="6115" xr:uid="{00000000-0005-0000-0000-0000051F0000}"/>
    <cellStyle name="Normal 9 2 2 7 3 2" xfId="23013" xr:uid="{6A36B57F-F360-453D-AEB9-FD8FAB8E1AE4}"/>
    <cellStyle name="Normal 9 2 2 7 3 3" xfId="14565" xr:uid="{F0A71C1D-0F34-488C-A2A4-5BDFE7900D88}"/>
    <cellStyle name="Normal 9 2 2 7 4" xfId="18795" xr:uid="{3B303368-6573-4D37-B684-6783D406360B}"/>
    <cellStyle name="Normal 9 2 2 7 5" xfId="10347" xr:uid="{ED9120FF-CD54-4A49-8440-6BCC307D00D7}"/>
    <cellStyle name="Normal 9 2 2 8" xfId="2222" xr:uid="{00000000-0005-0000-0000-0000061F0000}"/>
    <cellStyle name="Normal 9 2 2 8 2" xfId="4451" xr:uid="{00000000-0005-0000-0000-0000071F0000}"/>
    <cellStyle name="Normal 9 2 2 8 2 2" xfId="8673" xr:uid="{00000000-0005-0000-0000-0000081F0000}"/>
    <cellStyle name="Normal 9 2 2 8 2 2 2" xfId="25571" xr:uid="{B5996300-FB53-44CE-90B4-8B8B5FDDF867}"/>
    <cellStyle name="Normal 9 2 2 8 2 2 3" xfId="17123" xr:uid="{E4642B11-2F96-48D5-8001-9630FC5838E9}"/>
    <cellStyle name="Normal 9 2 2 8 2 3" xfId="21353" xr:uid="{4A575641-5B30-4A62-AC6E-1763BA5C220F}"/>
    <cellStyle name="Normal 9 2 2 8 2 4" xfId="12905" xr:uid="{707ED7A7-E57D-4511-987D-7C2DE80B4C3D}"/>
    <cellStyle name="Normal 9 2 2 8 3" xfId="6528" xr:uid="{00000000-0005-0000-0000-0000091F0000}"/>
    <cellStyle name="Normal 9 2 2 8 3 2" xfId="23426" xr:uid="{A536CFAA-11BC-4B60-B56D-6454FAE1F9B8}"/>
    <cellStyle name="Normal 9 2 2 8 3 3" xfId="14978" xr:uid="{700D6F5C-D61F-46FC-90E3-FF11EC615995}"/>
    <cellStyle name="Normal 9 2 2 8 4" xfId="19208" xr:uid="{B656071A-0D7E-405C-A0D4-7A91DFD9AC61}"/>
    <cellStyle name="Normal 9 2 2 8 5" xfId="10760" xr:uid="{6713B773-E498-47C8-8AC0-F4BE84AD1B4B}"/>
    <cellStyle name="Normal 9 2 2 9" xfId="2658" xr:uid="{00000000-0005-0000-0000-00000A1F0000}"/>
    <cellStyle name="Normal 9 2 2 9 2" xfId="6941" xr:uid="{00000000-0005-0000-0000-00000B1F0000}"/>
    <cellStyle name="Normal 9 2 2 9 2 2" xfId="23839" xr:uid="{EB8BB7B3-5D7D-4266-B81D-6C8C5FB61806}"/>
    <cellStyle name="Normal 9 2 2 9 2 3" xfId="15391" xr:uid="{227FDCD1-A17F-4EA3-A626-7C686E46CC31}"/>
    <cellStyle name="Normal 9 2 2 9 3" xfId="19621" xr:uid="{1B2D6C99-57C7-4876-8141-807FDB1164EA}"/>
    <cellStyle name="Normal 9 2 2 9 4" xfId="11173" xr:uid="{01A1195F-75C5-4F2B-ABDA-3CA155F5B825}"/>
    <cellStyle name="Normal 9 2 3" xfId="520" xr:uid="{00000000-0005-0000-0000-00000C1F0000}"/>
    <cellStyle name="Normal 9 2 3 10" xfId="17564" xr:uid="{18599A58-ADDB-41D4-9341-116D9454E837}"/>
    <cellStyle name="Normal 9 2 3 11" xfId="9116" xr:uid="{2726499A-7DBA-4433-B85B-A615D63866D0}"/>
    <cellStyle name="Normal 9 2 3 2" xfId="521" xr:uid="{00000000-0005-0000-0000-00000D1F0000}"/>
    <cellStyle name="Normal 9 2 3 2 10" xfId="9117" xr:uid="{ACEC6D67-2BDC-4D89-BBDC-A26414E4B2F1}"/>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24342" xr:uid="{06890B4B-1566-4D4C-BD9B-E8690A565C55}"/>
    <cellStyle name="Normal 9 2 3 2 2 2 2 2 3" xfId="15894" xr:uid="{DD556D74-83C6-4850-8EF1-7CBEDD6D3BDA}"/>
    <cellStyle name="Normal 9 2 3 2 2 2 2 3" xfId="20124" xr:uid="{A70B0C9A-58FA-4F34-92EC-398059277EEB}"/>
    <cellStyle name="Normal 9 2 3 2 2 2 2 4" xfId="11676" xr:uid="{F8848C1A-DEFA-487F-BFB9-7B4928CE7674}"/>
    <cellStyle name="Normal 9 2 3 2 2 2 3" xfId="5299" xr:uid="{00000000-0005-0000-0000-0000121F0000}"/>
    <cellStyle name="Normal 9 2 3 2 2 2 3 2" xfId="22197" xr:uid="{3ADD94F6-D32E-4A1E-AE24-74880F834934}"/>
    <cellStyle name="Normal 9 2 3 2 2 2 3 3" xfId="13749" xr:uid="{32136533-4B40-498C-B6F4-9BD8AC72D204}"/>
    <cellStyle name="Normal 9 2 3 2 2 2 4" xfId="17979" xr:uid="{9BC5080C-ED11-42D0-9BD0-765800AB1B20}"/>
    <cellStyle name="Normal 9 2 3 2 2 2 5" xfId="9531" xr:uid="{DDE86F4E-7DFE-4551-9E95-22517E404D02}"/>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24755" xr:uid="{F3B4499B-380F-43F1-AE15-BA4BFDDFFDB5}"/>
    <cellStyle name="Normal 9 2 3 2 2 3 2 2 3" xfId="16307" xr:uid="{C858C6FF-AEDA-4F06-8FEA-FD0B1EFCBDBB}"/>
    <cellStyle name="Normal 9 2 3 2 2 3 2 3" xfId="20537" xr:uid="{811FD7E3-66C4-41FF-9EE4-1F309E89C9F9}"/>
    <cellStyle name="Normal 9 2 3 2 2 3 2 4" xfId="12089" xr:uid="{535107DE-A23B-499D-8A8E-25EF83BE8718}"/>
    <cellStyle name="Normal 9 2 3 2 2 3 3" xfId="5712" xr:uid="{00000000-0005-0000-0000-0000161F0000}"/>
    <cellStyle name="Normal 9 2 3 2 2 3 3 2" xfId="22610" xr:uid="{E1026F8E-204F-4270-9F48-FCE42D0DAF23}"/>
    <cellStyle name="Normal 9 2 3 2 2 3 3 3" xfId="14162" xr:uid="{CAD0B4EC-C023-47A8-AD2A-BC2ED211476C}"/>
    <cellStyle name="Normal 9 2 3 2 2 3 4" xfId="18392" xr:uid="{24AE940B-CDA7-4679-998F-1A756AA5F0EF}"/>
    <cellStyle name="Normal 9 2 3 2 2 3 5" xfId="9944" xr:uid="{3D9E295A-6700-403E-B4A2-F238542AFE4F}"/>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25168" xr:uid="{E52A9A1D-238B-4F56-96F0-E5E275682D36}"/>
    <cellStyle name="Normal 9 2 3 2 2 4 2 2 3" xfId="16720" xr:uid="{BDE9CC30-71ED-4D9A-8766-958223527530}"/>
    <cellStyle name="Normal 9 2 3 2 2 4 2 3" xfId="20950" xr:uid="{3576A5E0-8D78-4835-AC1F-808581932485}"/>
    <cellStyle name="Normal 9 2 3 2 2 4 2 4" xfId="12502" xr:uid="{87D3E60A-B1E3-4427-95CB-0A26207A86DF}"/>
    <cellStyle name="Normal 9 2 3 2 2 4 3" xfId="6125" xr:uid="{00000000-0005-0000-0000-00001A1F0000}"/>
    <cellStyle name="Normal 9 2 3 2 2 4 3 2" xfId="23023" xr:uid="{FA882604-692F-4A3F-9305-4DB0F9CCDAD7}"/>
    <cellStyle name="Normal 9 2 3 2 2 4 3 3" xfId="14575" xr:uid="{8AACDADC-C6C4-4407-99E7-BB6B14D4D489}"/>
    <cellStyle name="Normal 9 2 3 2 2 4 4" xfId="18805" xr:uid="{50E5D58E-F979-4E6B-AAE9-864E3F908A1D}"/>
    <cellStyle name="Normal 9 2 3 2 2 4 5" xfId="10357" xr:uid="{7AF389BB-ED63-4EF7-BACC-848507C4E75C}"/>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25581" xr:uid="{67F3BEDC-DC2F-40FE-9A13-138B24BA633E}"/>
    <cellStyle name="Normal 9 2 3 2 2 5 2 2 3" xfId="17133" xr:uid="{8EDC284E-FE63-48ED-9873-71918C1C6755}"/>
    <cellStyle name="Normal 9 2 3 2 2 5 2 3" xfId="21363" xr:uid="{72B9C97C-FC39-4D4D-8056-9C3740D183C0}"/>
    <cellStyle name="Normal 9 2 3 2 2 5 2 4" xfId="12915" xr:uid="{8EBA85A2-0D8D-4A7C-9F84-9C65E91EFBDB}"/>
    <cellStyle name="Normal 9 2 3 2 2 5 3" xfId="6538" xr:uid="{00000000-0005-0000-0000-00001E1F0000}"/>
    <cellStyle name="Normal 9 2 3 2 2 5 3 2" xfId="23436" xr:uid="{54389899-D0BA-48CE-8560-FF5454E4DD5A}"/>
    <cellStyle name="Normal 9 2 3 2 2 5 3 3" xfId="14988" xr:uid="{BEBA4732-E692-4A8C-8D81-F8A5419CC4BC}"/>
    <cellStyle name="Normal 9 2 3 2 2 5 4" xfId="19218" xr:uid="{3D17788A-254B-4EDF-B441-DD5DBBEC882C}"/>
    <cellStyle name="Normal 9 2 3 2 2 5 5" xfId="10770" xr:uid="{40C287B2-268E-4511-8B31-5CB0DC4F1EF2}"/>
    <cellStyle name="Normal 9 2 3 2 2 6" xfId="2668" xr:uid="{00000000-0005-0000-0000-00001F1F0000}"/>
    <cellStyle name="Normal 9 2 3 2 2 6 2" xfId="6951" xr:uid="{00000000-0005-0000-0000-0000201F0000}"/>
    <cellStyle name="Normal 9 2 3 2 2 6 2 2" xfId="23849" xr:uid="{18ABA6DB-E2AD-472E-9B97-BFABAE9D6468}"/>
    <cellStyle name="Normal 9 2 3 2 2 6 2 3" xfId="15401" xr:uid="{16DE174B-6A6B-4411-8766-392CF7E706F8}"/>
    <cellStyle name="Normal 9 2 3 2 2 6 3" xfId="19631" xr:uid="{2DEB00BF-333E-455A-95A4-713DC13A3CE5}"/>
    <cellStyle name="Normal 9 2 3 2 2 6 4" xfId="11183" xr:uid="{76270EE4-0D26-4219-8C91-328F93ECA660}"/>
    <cellStyle name="Normal 9 2 3 2 2 7" xfId="4886" xr:uid="{00000000-0005-0000-0000-0000211F0000}"/>
    <cellStyle name="Normal 9 2 3 2 2 7 2" xfId="21784" xr:uid="{59E9EEDC-EEAC-4592-9EA0-6813C9F7F7BF}"/>
    <cellStyle name="Normal 9 2 3 2 2 7 3" xfId="13336" xr:uid="{00725CED-A87C-4E3F-BCEB-9614C882968A}"/>
    <cellStyle name="Normal 9 2 3 2 2 8" xfId="17566" xr:uid="{8A1FA44C-9B73-4FD7-BB65-DE0BDD4711A8}"/>
    <cellStyle name="Normal 9 2 3 2 2 9" xfId="9118" xr:uid="{EA2D173E-2F1B-4C04-A4EC-015D0AF23034}"/>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24341" xr:uid="{4BD95436-95AD-4625-B4C5-DA3B43779032}"/>
    <cellStyle name="Normal 9 2 3 2 3 2 2 3" xfId="15893" xr:uid="{1D6A8F09-EC9D-4F21-958E-96EFD54E00EA}"/>
    <cellStyle name="Normal 9 2 3 2 3 2 3" xfId="20123" xr:uid="{DD6FC2EF-3A02-4C8A-8A36-146FAFCE3E70}"/>
    <cellStyle name="Normal 9 2 3 2 3 2 4" xfId="11675" xr:uid="{8FB1E1B6-9E37-4078-97D7-B4A937E1D2D6}"/>
    <cellStyle name="Normal 9 2 3 2 3 3" xfId="5298" xr:uid="{00000000-0005-0000-0000-0000251F0000}"/>
    <cellStyle name="Normal 9 2 3 2 3 3 2" xfId="22196" xr:uid="{D44F01DD-7F7C-40DE-8171-58A50EDBA177}"/>
    <cellStyle name="Normal 9 2 3 2 3 3 3" xfId="13748" xr:uid="{4ED051A7-681F-461C-B044-BBFE7A799248}"/>
    <cellStyle name="Normal 9 2 3 2 3 4" xfId="17978" xr:uid="{ED98F349-89FF-46AB-92CC-A8D03B8A3BDF}"/>
    <cellStyle name="Normal 9 2 3 2 3 5" xfId="9530" xr:uid="{BB02C155-A1A2-487A-90CE-8EEC314B2CEB}"/>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24754" xr:uid="{4D8F31B7-7A86-4F72-8D59-F6C93BC48E04}"/>
    <cellStyle name="Normal 9 2 3 2 4 2 2 3" xfId="16306" xr:uid="{3CA1E83A-EA67-45ED-B8C1-72DB2BC901C0}"/>
    <cellStyle name="Normal 9 2 3 2 4 2 3" xfId="20536" xr:uid="{00BFBDE5-4A23-4156-93C5-4984DD0821AD}"/>
    <cellStyle name="Normal 9 2 3 2 4 2 4" xfId="12088" xr:uid="{C8BB3B27-A36D-494F-98E4-674D527FE1D6}"/>
    <cellStyle name="Normal 9 2 3 2 4 3" xfId="5711" xr:uid="{00000000-0005-0000-0000-0000291F0000}"/>
    <cellStyle name="Normal 9 2 3 2 4 3 2" xfId="22609" xr:uid="{A35989E0-D983-414A-9178-F76908038E45}"/>
    <cellStyle name="Normal 9 2 3 2 4 3 3" xfId="14161" xr:uid="{72893F7A-209E-4EB1-B0FB-5FF25D0BF20D}"/>
    <cellStyle name="Normal 9 2 3 2 4 4" xfId="18391" xr:uid="{1C701574-1FEC-4757-9E9D-8A934A3FB21A}"/>
    <cellStyle name="Normal 9 2 3 2 4 5" xfId="9943" xr:uid="{4C18E9BB-26FF-4816-B8EF-C82BB0D3A40E}"/>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25167" xr:uid="{3342F06B-760B-4419-9320-617C4BB0299F}"/>
    <cellStyle name="Normal 9 2 3 2 5 2 2 3" xfId="16719" xr:uid="{0BE43BC1-0803-47D8-B115-454C10F199F6}"/>
    <cellStyle name="Normal 9 2 3 2 5 2 3" xfId="20949" xr:uid="{D0CD05D2-0D45-49BF-AD6F-899D0A18F0F9}"/>
    <cellStyle name="Normal 9 2 3 2 5 2 4" xfId="12501" xr:uid="{6F95B576-739F-4C03-9B9D-4E1322A840FF}"/>
    <cellStyle name="Normal 9 2 3 2 5 3" xfId="6124" xr:uid="{00000000-0005-0000-0000-00002D1F0000}"/>
    <cellStyle name="Normal 9 2 3 2 5 3 2" xfId="23022" xr:uid="{6CFC0AC5-6DEE-42A1-B366-10E81E6504B2}"/>
    <cellStyle name="Normal 9 2 3 2 5 3 3" xfId="14574" xr:uid="{948DC702-C28C-4437-B9F1-E4C57BA248BE}"/>
    <cellStyle name="Normal 9 2 3 2 5 4" xfId="18804" xr:uid="{AE45CEFB-6F6A-4A32-A506-3C6F428376D9}"/>
    <cellStyle name="Normal 9 2 3 2 5 5" xfId="10356" xr:uid="{16205C94-4F42-4ED7-AD7A-BF57D592B9C9}"/>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25580" xr:uid="{0AE056AF-2EFF-4FCF-937D-EC066041953E}"/>
    <cellStyle name="Normal 9 2 3 2 6 2 2 3" xfId="17132" xr:uid="{6320DB71-272E-4D6C-95E3-8B5F57FCAD2A}"/>
    <cellStyle name="Normal 9 2 3 2 6 2 3" xfId="21362" xr:uid="{EC94ABB3-02EE-431F-A189-D37F3CE5E9A5}"/>
    <cellStyle name="Normal 9 2 3 2 6 2 4" xfId="12914" xr:uid="{F8E75D83-1B7E-412E-9744-9AF492902C63}"/>
    <cellStyle name="Normal 9 2 3 2 6 3" xfId="6537" xr:uid="{00000000-0005-0000-0000-0000311F0000}"/>
    <cellStyle name="Normal 9 2 3 2 6 3 2" xfId="23435" xr:uid="{7FF95B31-71AD-4BE5-A2A6-654B2A7764A9}"/>
    <cellStyle name="Normal 9 2 3 2 6 3 3" xfId="14987" xr:uid="{AEA92611-C4BC-494B-8682-FDF630500CA7}"/>
    <cellStyle name="Normal 9 2 3 2 6 4" xfId="19217" xr:uid="{67EB3FFD-559B-46D1-BE03-63BBA0442D42}"/>
    <cellStyle name="Normal 9 2 3 2 6 5" xfId="10769" xr:uid="{D3DC13CD-F21D-4DF6-851C-E0E59A955566}"/>
    <cellStyle name="Normal 9 2 3 2 7" xfId="2667" xr:uid="{00000000-0005-0000-0000-0000321F0000}"/>
    <cellStyle name="Normal 9 2 3 2 7 2" xfId="6950" xr:uid="{00000000-0005-0000-0000-0000331F0000}"/>
    <cellStyle name="Normal 9 2 3 2 7 2 2" xfId="23848" xr:uid="{50BB8063-0E83-412B-8095-0BB2B689BB04}"/>
    <cellStyle name="Normal 9 2 3 2 7 2 3" xfId="15400" xr:uid="{CF4AAC8B-B393-4BAF-B257-970EBBE18265}"/>
    <cellStyle name="Normal 9 2 3 2 7 3" xfId="19630" xr:uid="{D9B0C4FE-E0D1-4C96-9F17-4F895C7E57FA}"/>
    <cellStyle name="Normal 9 2 3 2 7 4" xfId="11182" xr:uid="{0B51711B-FC7B-42C4-BDCE-B3707F6C67D9}"/>
    <cellStyle name="Normal 9 2 3 2 8" xfId="4885" xr:uid="{00000000-0005-0000-0000-0000341F0000}"/>
    <cellStyle name="Normal 9 2 3 2 8 2" xfId="21783" xr:uid="{E9DDEE81-78A3-4258-9501-015E936420AE}"/>
    <cellStyle name="Normal 9 2 3 2 8 3" xfId="13335" xr:uid="{EE88C685-27F9-4C56-ADCD-2C56F58AA051}"/>
    <cellStyle name="Normal 9 2 3 2 9" xfId="17565" xr:uid="{C45D1E79-6D11-4085-9E5E-6D2AAA9B037C}"/>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24343" xr:uid="{2499CFA1-C1A2-4E82-9C50-A6C77131E126}"/>
    <cellStyle name="Normal 9 2 3 3 2 2 2 3" xfId="15895" xr:uid="{E7DC8401-766D-466F-935F-605434561D30}"/>
    <cellStyle name="Normal 9 2 3 3 2 2 3" xfId="20125" xr:uid="{FB2ECE1B-11E9-492A-869C-68D25878DFE8}"/>
    <cellStyle name="Normal 9 2 3 3 2 2 4" xfId="11677" xr:uid="{C7587A90-98C7-4C89-8483-FA04ED41326B}"/>
    <cellStyle name="Normal 9 2 3 3 2 3" xfId="5300" xr:uid="{00000000-0005-0000-0000-0000391F0000}"/>
    <cellStyle name="Normal 9 2 3 3 2 3 2" xfId="22198" xr:uid="{18253F34-5061-421E-BEEB-EF700F408704}"/>
    <cellStyle name="Normal 9 2 3 3 2 3 3" xfId="13750" xr:uid="{C2759B7F-FA44-4AE2-BBFF-F19B6419AF3B}"/>
    <cellStyle name="Normal 9 2 3 3 2 4" xfId="17980" xr:uid="{79CF4DC8-D33B-4F66-B188-6D2DBBABA059}"/>
    <cellStyle name="Normal 9 2 3 3 2 5" xfId="9532" xr:uid="{328382FF-1B60-4863-8E2E-DF905B49D146}"/>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24756" xr:uid="{A5402412-B5F5-4F66-ABFB-7F61286DEECA}"/>
    <cellStyle name="Normal 9 2 3 3 3 2 2 3" xfId="16308" xr:uid="{F3D4A193-6A15-434C-AA60-0C06DEB2FC62}"/>
    <cellStyle name="Normal 9 2 3 3 3 2 3" xfId="20538" xr:uid="{6E93B452-6476-43CF-B5E3-E15F58291337}"/>
    <cellStyle name="Normal 9 2 3 3 3 2 4" xfId="12090" xr:uid="{60484F40-F742-4C80-BFAF-756FF610DDDA}"/>
    <cellStyle name="Normal 9 2 3 3 3 3" xfId="5713" xr:uid="{00000000-0005-0000-0000-00003D1F0000}"/>
    <cellStyle name="Normal 9 2 3 3 3 3 2" xfId="22611" xr:uid="{2D68197E-8734-4C7B-8FB1-79F4EB9A495C}"/>
    <cellStyle name="Normal 9 2 3 3 3 3 3" xfId="14163" xr:uid="{41899E4F-E843-4ABC-AAD1-B42FFB534573}"/>
    <cellStyle name="Normal 9 2 3 3 3 4" xfId="18393" xr:uid="{3CD2236E-3EB2-43D0-8F92-0550F7122372}"/>
    <cellStyle name="Normal 9 2 3 3 3 5" xfId="9945" xr:uid="{7B26C02E-F3DE-4734-9F2A-A88D205F7288}"/>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25169" xr:uid="{93C0252F-EF6C-447A-99E2-BD3286C390E9}"/>
    <cellStyle name="Normal 9 2 3 3 4 2 2 3" xfId="16721" xr:uid="{627B2BE7-3E7E-4962-923C-209F0CE7549A}"/>
    <cellStyle name="Normal 9 2 3 3 4 2 3" xfId="20951" xr:uid="{E4866668-10A1-439C-934A-B8DE03EB14F6}"/>
    <cellStyle name="Normal 9 2 3 3 4 2 4" xfId="12503" xr:uid="{2C843BAA-AE54-4538-94A9-B783FBEC086D}"/>
    <cellStyle name="Normal 9 2 3 3 4 3" xfId="6126" xr:uid="{00000000-0005-0000-0000-0000411F0000}"/>
    <cellStyle name="Normal 9 2 3 3 4 3 2" xfId="23024" xr:uid="{E677B303-B5BD-4036-9530-92CDAEE0F278}"/>
    <cellStyle name="Normal 9 2 3 3 4 3 3" xfId="14576" xr:uid="{A30BA4BB-E5C8-4944-8F0C-B1BD2A75087A}"/>
    <cellStyle name="Normal 9 2 3 3 4 4" xfId="18806" xr:uid="{4BA78A16-7DA7-40F1-9D0C-2BAC2FD1E86F}"/>
    <cellStyle name="Normal 9 2 3 3 4 5" xfId="10358" xr:uid="{CFCD9EF7-B74A-4F58-8699-65190AB2F561}"/>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25582" xr:uid="{37A144AC-DA0F-45BC-9451-1474CF5A28BF}"/>
    <cellStyle name="Normal 9 2 3 3 5 2 2 3" xfId="17134" xr:uid="{54890B56-04B4-4B4F-872D-2CB43706B30D}"/>
    <cellStyle name="Normal 9 2 3 3 5 2 3" xfId="21364" xr:uid="{AF3331CB-B344-46BB-93A2-904C1687E907}"/>
    <cellStyle name="Normal 9 2 3 3 5 2 4" xfId="12916" xr:uid="{E84F7F68-A3AE-46B4-B9A2-CFDC34283749}"/>
    <cellStyle name="Normal 9 2 3 3 5 3" xfId="6539" xr:uid="{00000000-0005-0000-0000-0000451F0000}"/>
    <cellStyle name="Normal 9 2 3 3 5 3 2" xfId="23437" xr:uid="{8776CF0A-0923-4E7E-97DC-E2118A93A0BE}"/>
    <cellStyle name="Normal 9 2 3 3 5 3 3" xfId="14989" xr:uid="{6FC2BEF2-1215-45E9-B8ED-7115BC6584DF}"/>
    <cellStyle name="Normal 9 2 3 3 5 4" xfId="19219" xr:uid="{192313BA-AC6F-4F5C-A936-E2BF6FD01822}"/>
    <cellStyle name="Normal 9 2 3 3 5 5" xfId="10771" xr:uid="{962FD353-AAE7-428B-B618-44A9C0E6E251}"/>
    <cellStyle name="Normal 9 2 3 3 6" xfId="2669" xr:uid="{00000000-0005-0000-0000-0000461F0000}"/>
    <cellStyle name="Normal 9 2 3 3 6 2" xfId="6952" xr:uid="{00000000-0005-0000-0000-0000471F0000}"/>
    <cellStyle name="Normal 9 2 3 3 6 2 2" xfId="23850" xr:uid="{99B8A8E3-93A2-4529-824D-858ECD32E23D}"/>
    <cellStyle name="Normal 9 2 3 3 6 2 3" xfId="15402" xr:uid="{6EB81669-93DF-4287-8798-C4649833F28C}"/>
    <cellStyle name="Normal 9 2 3 3 6 3" xfId="19632" xr:uid="{5CB431C3-7685-4926-BED7-AB22DCE1CEA9}"/>
    <cellStyle name="Normal 9 2 3 3 6 4" xfId="11184" xr:uid="{417DB49B-6F87-4EB7-A04E-601773B49B45}"/>
    <cellStyle name="Normal 9 2 3 3 7" xfId="4887" xr:uid="{00000000-0005-0000-0000-0000481F0000}"/>
    <cellStyle name="Normal 9 2 3 3 7 2" xfId="21785" xr:uid="{7E231B6A-6B26-4952-8CE9-C14055EF38DB}"/>
    <cellStyle name="Normal 9 2 3 3 7 3" xfId="13337" xr:uid="{600AAE94-866F-4945-9D9D-AC24E8EBB76C}"/>
    <cellStyle name="Normal 9 2 3 3 8" xfId="17567" xr:uid="{5DB43C04-5991-4B0D-ACD5-6E663F72394C}"/>
    <cellStyle name="Normal 9 2 3 3 9" xfId="9119" xr:uid="{A5F9C625-8518-4D2C-A567-823640EDB308}"/>
    <cellStyle name="Normal 9 2 3 4" xfId="987" xr:uid="{00000000-0005-0000-0000-0000491F0000}"/>
    <cellStyle name="Normal 9 2 3 4 2" xfId="3220" xr:uid="{00000000-0005-0000-0000-00004A1F0000}"/>
    <cellStyle name="Normal 9 2 3 4 2 2" xfId="7442" xr:uid="{00000000-0005-0000-0000-00004B1F0000}"/>
    <cellStyle name="Normal 9 2 3 4 2 2 2" xfId="24340" xr:uid="{C4349E33-C1AD-4E47-84B0-A6AA6866C86A}"/>
    <cellStyle name="Normal 9 2 3 4 2 2 3" xfId="15892" xr:uid="{124CE281-6DA1-4486-A35D-C9D7D783181A}"/>
    <cellStyle name="Normal 9 2 3 4 2 3" xfId="20122" xr:uid="{FD738DA1-F5C5-4B38-A9C6-FA2523C5F960}"/>
    <cellStyle name="Normal 9 2 3 4 2 4" xfId="11674" xr:uid="{A326BB4A-0561-42EB-B487-9FCC150AEDAD}"/>
    <cellStyle name="Normal 9 2 3 4 3" xfId="5297" xr:uid="{00000000-0005-0000-0000-00004C1F0000}"/>
    <cellStyle name="Normal 9 2 3 4 3 2" xfId="22195" xr:uid="{C63181BD-1E56-4947-B3B8-02756A3E7C50}"/>
    <cellStyle name="Normal 9 2 3 4 3 3" xfId="13747" xr:uid="{4CC87904-0EAC-4639-BAF2-9D15AD136166}"/>
    <cellStyle name="Normal 9 2 3 4 4" xfId="17977" xr:uid="{DE4F28DE-CEC7-4CAB-BFE3-C123B138EAAD}"/>
    <cellStyle name="Normal 9 2 3 4 5" xfId="9529" xr:uid="{2E803F23-DCD8-4480-A7B6-8C90CD50FF2E}"/>
    <cellStyle name="Normal 9 2 3 5" xfId="1403" xr:uid="{00000000-0005-0000-0000-00004D1F0000}"/>
    <cellStyle name="Normal 9 2 3 5 2" xfId="3633" xr:uid="{00000000-0005-0000-0000-00004E1F0000}"/>
    <cellStyle name="Normal 9 2 3 5 2 2" xfId="7855" xr:uid="{00000000-0005-0000-0000-00004F1F0000}"/>
    <cellStyle name="Normal 9 2 3 5 2 2 2" xfId="24753" xr:uid="{DF403516-F2A8-45CA-9E8C-E33E58B6A5A6}"/>
    <cellStyle name="Normal 9 2 3 5 2 2 3" xfId="16305" xr:uid="{2E5B8B30-CB83-4723-87EA-00E67DD8FC85}"/>
    <cellStyle name="Normal 9 2 3 5 2 3" xfId="20535" xr:uid="{A9306007-49B8-4A3E-9A28-C1E7CFBFC601}"/>
    <cellStyle name="Normal 9 2 3 5 2 4" xfId="12087" xr:uid="{EF74CEB2-8321-40E8-BC5B-3CB0430E9D92}"/>
    <cellStyle name="Normal 9 2 3 5 3" xfId="5710" xr:uid="{00000000-0005-0000-0000-0000501F0000}"/>
    <cellStyle name="Normal 9 2 3 5 3 2" xfId="22608" xr:uid="{5FA960F0-D11B-4896-87B3-A42FCA99F521}"/>
    <cellStyle name="Normal 9 2 3 5 3 3" xfId="14160" xr:uid="{80224DFE-08F4-47F3-B9A6-D0E07269EA43}"/>
    <cellStyle name="Normal 9 2 3 5 4" xfId="18390" xr:uid="{6726CF7B-3304-43C9-B3D4-172F2D98EB1A}"/>
    <cellStyle name="Normal 9 2 3 5 5" xfId="9942" xr:uid="{CE317E7F-D959-4F0B-ACD6-99A5024B9549}"/>
    <cellStyle name="Normal 9 2 3 6" xfId="1816" xr:uid="{00000000-0005-0000-0000-0000511F0000}"/>
    <cellStyle name="Normal 9 2 3 6 2" xfId="4046" xr:uid="{00000000-0005-0000-0000-0000521F0000}"/>
    <cellStyle name="Normal 9 2 3 6 2 2" xfId="8268" xr:uid="{00000000-0005-0000-0000-0000531F0000}"/>
    <cellStyle name="Normal 9 2 3 6 2 2 2" xfId="25166" xr:uid="{3A3B7C55-6B5C-4700-9E3A-831C867056FC}"/>
    <cellStyle name="Normal 9 2 3 6 2 2 3" xfId="16718" xr:uid="{121B2286-E8F8-4D9B-B1F7-5FCC012F16DC}"/>
    <cellStyle name="Normal 9 2 3 6 2 3" xfId="20948" xr:uid="{09A22E27-C6EE-4920-B2F6-34C0EBBD31CC}"/>
    <cellStyle name="Normal 9 2 3 6 2 4" xfId="12500" xr:uid="{1C388810-55A4-4252-992B-17C188F07FB5}"/>
    <cellStyle name="Normal 9 2 3 6 3" xfId="6123" xr:uid="{00000000-0005-0000-0000-0000541F0000}"/>
    <cellStyle name="Normal 9 2 3 6 3 2" xfId="23021" xr:uid="{98739AEF-AFF9-4155-84B9-DE33EE324EF2}"/>
    <cellStyle name="Normal 9 2 3 6 3 3" xfId="14573" xr:uid="{82FF590C-92B9-4FDA-B1EB-A2D60709434C}"/>
    <cellStyle name="Normal 9 2 3 6 4" xfId="18803" xr:uid="{3985F1E4-AC67-410C-B0CB-397C3E60A78A}"/>
    <cellStyle name="Normal 9 2 3 6 5" xfId="10355" xr:uid="{4E21232C-9CDE-4FBE-A6DE-2652FBBBE8E1}"/>
    <cellStyle name="Normal 9 2 3 7" xfId="2230" xr:uid="{00000000-0005-0000-0000-0000551F0000}"/>
    <cellStyle name="Normal 9 2 3 7 2" xfId="4459" xr:uid="{00000000-0005-0000-0000-0000561F0000}"/>
    <cellStyle name="Normal 9 2 3 7 2 2" xfId="8681" xr:uid="{00000000-0005-0000-0000-0000571F0000}"/>
    <cellStyle name="Normal 9 2 3 7 2 2 2" xfId="25579" xr:uid="{223B527A-21FE-479F-81F8-F9D05EB0C9FE}"/>
    <cellStyle name="Normal 9 2 3 7 2 2 3" xfId="17131" xr:uid="{2784660E-8B74-4E95-867F-E750BD353089}"/>
    <cellStyle name="Normal 9 2 3 7 2 3" xfId="21361" xr:uid="{D3E19817-C000-4013-8ACB-4FD879DBF0D9}"/>
    <cellStyle name="Normal 9 2 3 7 2 4" xfId="12913" xr:uid="{629D83E0-C405-4CBF-8FDF-59727783F2D2}"/>
    <cellStyle name="Normal 9 2 3 7 3" xfId="6536" xr:uid="{00000000-0005-0000-0000-0000581F0000}"/>
    <cellStyle name="Normal 9 2 3 7 3 2" xfId="23434" xr:uid="{15F0D392-4349-43B8-BCE8-E555520F266C}"/>
    <cellStyle name="Normal 9 2 3 7 3 3" xfId="14986" xr:uid="{5CA01226-B52E-4E37-9E65-1E2F6AF477AA}"/>
    <cellStyle name="Normal 9 2 3 7 4" xfId="19216" xr:uid="{BF6965D4-5685-47ED-A6E7-E56A7122EF1B}"/>
    <cellStyle name="Normal 9 2 3 7 5" xfId="10768" xr:uid="{A1C2BDEC-AB1C-4AD5-83C4-330903A98EE4}"/>
    <cellStyle name="Normal 9 2 3 8" xfId="2666" xr:uid="{00000000-0005-0000-0000-0000591F0000}"/>
    <cellStyle name="Normal 9 2 3 8 2" xfId="6949" xr:uid="{00000000-0005-0000-0000-00005A1F0000}"/>
    <cellStyle name="Normal 9 2 3 8 2 2" xfId="23847" xr:uid="{7F3D4753-9496-4024-B6FF-DBDA34C736D0}"/>
    <cellStyle name="Normal 9 2 3 8 2 3" xfId="15399" xr:uid="{04EA6A90-3B33-44FF-B42C-056A80CB1C9C}"/>
    <cellStyle name="Normal 9 2 3 8 3" xfId="19629" xr:uid="{9E672CF4-21C8-42B3-B558-028213BE8E3B}"/>
    <cellStyle name="Normal 9 2 3 8 4" xfId="11181" xr:uid="{B511D64C-6950-4A3D-8EC9-71D727646000}"/>
    <cellStyle name="Normal 9 2 3 9" xfId="4884" xr:uid="{00000000-0005-0000-0000-00005B1F0000}"/>
    <cellStyle name="Normal 9 2 3 9 2" xfId="21782" xr:uid="{AB8C095C-01E3-4E70-9589-654C74169598}"/>
    <cellStyle name="Normal 9 2 3 9 3" xfId="13334" xr:uid="{8D6AEBA0-B509-47CC-8821-C8EE74C9A493}"/>
    <cellStyle name="Normal 9 2 4" xfId="524" xr:uid="{00000000-0005-0000-0000-00005C1F0000}"/>
    <cellStyle name="Normal 9 2 4 10" xfId="9120" xr:uid="{8560BA93-28BE-41C1-B076-63A18B31E129}"/>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24345" xr:uid="{0744462C-2317-430F-8F56-60E24061F8CC}"/>
    <cellStyle name="Normal 9 2 4 2 2 2 2 3" xfId="15897" xr:uid="{185BD492-04DD-44C7-AA64-9C3963D4874C}"/>
    <cellStyle name="Normal 9 2 4 2 2 2 3" xfId="20127" xr:uid="{1A0D166D-3D33-4B9E-A2BB-33D0E7E66E44}"/>
    <cellStyle name="Normal 9 2 4 2 2 2 4" xfId="11679" xr:uid="{CF3C7689-5DB5-457A-ACC5-DCEA680BE583}"/>
    <cellStyle name="Normal 9 2 4 2 2 3" xfId="5302" xr:uid="{00000000-0005-0000-0000-0000611F0000}"/>
    <cellStyle name="Normal 9 2 4 2 2 3 2" xfId="22200" xr:uid="{3076948C-DA14-4FEC-AB5A-2677555D1E01}"/>
    <cellStyle name="Normal 9 2 4 2 2 3 3" xfId="13752" xr:uid="{42DF356C-B146-4D79-93CE-11AE1532DAE4}"/>
    <cellStyle name="Normal 9 2 4 2 2 4" xfId="17982" xr:uid="{807F31DC-0DA9-4003-B912-57213380030C}"/>
    <cellStyle name="Normal 9 2 4 2 2 5" xfId="9534" xr:uid="{5D3C7196-5710-43A2-8758-2719A46DD250}"/>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24758" xr:uid="{E13509E6-0666-4531-9042-BA227CF7443E}"/>
    <cellStyle name="Normal 9 2 4 2 3 2 2 3" xfId="16310" xr:uid="{004621EE-2E74-4037-9602-56EA7C1B6AFB}"/>
    <cellStyle name="Normal 9 2 4 2 3 2 3" xfId="20540" xr:uid="{EDF0F918-DEA2-4D7E-B8C4-9507AC739763}"/>
    <cellStyle name="Normal 9 2 4 2 3 2 4" xfId="12092" xr:uid="{33C4EE02-582C-4CBB-850E-1C9244D069F5}"/>
    <cellStyle name="Normal 9 2 4 2 3 3" xfId="5715" xr:uid="{00000000-0005-0000-0000-0000651F0000}"/>
    <cellStyle name="Normal 9 2 4 2 3 3 2" xfId="22613" xr:uid="{53152CCB-B8A5-4210-B71F-20704365C90C}"/>
    <cellStyle name="Normal 9 2 4 2 3 3 3" xfId="14165" xr:uid="{9E36AFA8-F553-4E21-ACF3-353A14C147DA}"/>
    <cellStyle name="Normal 9 2 4 2 3 4" xfId="18395" xr:uid="{31C7D551-3E75-4D3F-A7AF-58DBDC20E61D}"/>
    <cellStyle name="Normal 9 2 4 2 3 5" xfId="9947" xr:uid="{C1223B84-6B07-4493-95F3-3595935CD771}"/>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25171" xr:uid="{873C1A4F-2D72-4F49-A84B-F5850D60B4F7}"/>
    <cellStyle name="Normal 9 2 4 2 4 2 2 3" xfId="16723" xr:uid="{1DB15E78-D026-4D78-916B-5E7668634FDA}"/>
    <cellStyle name="Normal 9 2 4 2 4 2 3" xfId="20953" xr:uid="{1DE6CA53-83CC-46BE-A93D-FD95DAF1487B}"/>
    <cellStyle name="Normal 9 2 4 2 4 2 4" xfId="12505" xr:uid="{82E0328C-599F-49F2-88D0-69275AAA8191}"/>
    <cellStyle name="Normal 9 2 4 2 4 3" xfId="6128" xr:uid="{00000000-0005-0000-0000-0000691F0000}"/>
    <cellStyle name="Normal 9 2 4 2 4 3 2" xfId="23026" xr:uid="{6A06EB3C-C1C2-4B71-9E83-78C2A86ACDC5}"/>
    <cellStyle name="Normal 9 2 4 2 4 3 3" xfId="14578" xr:uid="{2C8CC06D-DC51-44B2-998B-4BEE42F8300E}"/>
    <cellStyle name="Normal 9 2 4 2 4 4" xfId="18808" xr:uid="{694D5880-5088-4308-A228-7A14A2ECE5F4}"/>
    <cellStyle name="Normal 9 2 4 2 4 5" xfId="10360" xr:uid="{55B2F189-0B6D-42C2-ACA5-11C65586DAA8}"/>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25584" xr:uid="{096305A4-A793-4DB7-ADE9-69008281D198}"/>
    <cellStyle name="Normal 9 2 4 2 5 2 2 3" xfId="17136" xr:uid="{9E83E5B1-916D-40B9-8F72-CBB494B3584A}"/>
    <cellStyle name="Normal 9 2 4 2 5 2 3" xfId="21366" xr:uid="{E5063C91-E413-4B19-998F-32D3488DF708}"/>
    <cellStyle name="Normal 9 2 4 2 5 2 4" xfId="12918" xr:uid="{78E080B1-D88D-42E2-A310-5ED0736B5AFE}"/>
    <cellStyle name="Normal 9 2 4 2 5 3" xfId="6541" xr:uid="{00000000-0005-0000-0000-00006D1F0000}"/>
    <cellStyle name="Normal 9 2 4 2 5 3 2" xfId="23439" xr:uid="{6456F2A4-B844-4DC7-945F-87976E123ACB}"/>
    <cellStyle name="Normal 9 2 4 2 5 3 3" xfId="14991" xr:uid="{9AD8210B-7ACE-44C5-9E50-E046063A3234}"/>
    <cellStyle name="Normal 9 2 4 2 5 4" xfId="19221" xr:uid="{4A30F8E0-EA7C-4B29-ACCF-D9A55B659D1C}"/>
    <cellStyle name="Normal 9 2 4 2 5 5" xfId="10773" xr:uid="{76A16B6D-4B41-4BB6-BC8D-ADD5B86A2457}"/>
    <cellStyle name="Normal 9 2 4 2 6" xfId="2671" xr:uid="{00000000-0005-0000-0000-00006E1F0000}"/>
    <cellStyle name="Normal 9 2 4 2 6 2" xfId="6954" xr:uid="{00000000-0005-0000-0000-00006F1F0000}"/>
    <cellStyle name="Normal 9 2 4 2 6 2 2" xfId="23852" xr:uid="{6BF92DAF-C6F4-4BA5-AC02-8B72A917605F}"/>
    <cellStyle name="Normal 9 2 4 2 6 2 3" xfId="15404" xr:uid="{36ED5709-8FF1-4E52-8426-3BD099AF6C96}"/>
    <cellStyle name="Normal 9 2 4 2 6 3" xfId="19634" xr:uid="{4E512241-A531-440A-ACB2-0B803DE7BBF1}"/>
    <cellStyle name="Normal 9 2 4 2 6 4" xfId="11186" xr:uid="{FE243C24-EDB4-4A19-AE5E-DEED10BAA4A8}"/>
    <cellStyle name="Normal 9 2 4 2 7" xfId="4889" xr:uid="{00000000-0005-0000-0000-0000701F0000}"/>
    <cellStyle name="Normal 9 2 4 2 7 2" xfId="21787" xr:uid="{0241E46F-3A58-4FF1-BB33-CE0019DBAE07}"/>
    <cellStyle name="Normal 9 2 4 2 7 3" xfId="13339" xr:uid="{62A4403E-37EE-4A61-B7F3-AD7D1E3C75EB}"/>
    <cellStyle name="Normal 9 2 4 2 8" xfId="17569" xr:uid="{E5DE6821-6FA6-4039-BEDD-F10952B10C43}"/>
    <cellStyle name="Normal 9 2 4 2 9" xfId="9121" xr:uid="{7EB68706-5269-411A-A7EF-468274CD1B89}"/>
    <cellStyle name="Normal 9 2 4 3" xfId="991" xr:uid="{00000000-0005-0000-0000-0000711F0000}"/>
    <cellStyle name="Normal 9 2 4 3 2" xfId="3224" xr:uid="{00000000-0005-0000-0000-0000721F0000}"/>
    <cellStyle name="Normal 9 2 4 3 2 2" xfId="7446" xr:uid="{00000000-0005-0000-0000-0000731F0000}"/>
    <cellStyle name="Normal 9 2 4 3 2 2 2" xfId="24344" xr:uid="{66D4CB25-4745-4E2A-A7D6-EF82C7CE0CF6}"/>
    <cellStyle name="Normal 9 2 4 3 2 2 3" xfId="15896" xr:uid="{FA174FFD-937E-4A68-8BB7-A037D4A8E5E7}"/>
    <cellStyle name="Normal 9 2 4 3 2 3" xfId="20126" xr:uid="{C126D693-6F47-42E3-804B-C43BBFFA5E97}"/>
    <cellStyle name="Normal 9 2 4 3 2 4" xfId="11678" xr:uid="{6B9CC8E9-4ABC-49F1-AE28-4ACA23B26465}"/>
    <cellStyle name="Normal 9 2 4 3 3" xfId="5301" xr:uid="{00000000-0005-0000-0000-0000741F0000}"/>
    <cellStyle name="Normal 9 2 4 3 3 2" xfId="22199" xr:uid="{3AE7ABCA-5B75-4362-82DE-9DF6CB0AE544}"/>
    <cellStyle name="Normal 9 2 4 3 3 3" xfId="13751" xr:uid="{3AD4A51D-0F7C-4336-BB76-DA96454104CE}"/>
    <cellStyle name="Normal 9 2 4 3 4" xfId="17981" xr:uid="{DDC928B8-0141-4F74-B97A-798B8C572829}"/>
    <cellStyle name="Normal 9 2 4 3 5" xfId="9533" xr:uid="{F42341E1-56B7-4D7B-BB41-7DB3CBF0BC32}"/>
    <cellStyle name="Normal 9 2 4 4" xfId="1407" xr:uid="{00000000-0005-0000-0000-0000751F0000}"/>
    <cellStyle name="Normal 9 2 4 4 2" xfId="3637" xr:uid="{00000000-0005-0000-0000-0000761F0000}"/>
    <cellStyle name="Normal 9 2 4 4 2 2" xfId="7859" xr:uid="{00000000-0005-0000-0000-0000771F0000}"/>
    <cellStyle name="Normal 9 2 4 4 2 2 2" xfId="24757" xr:uid="{A5FF10A0-E2DC-490E-A812-93757B21F937}"/>
    <cellStyle name="Normal 9 2 4 4 2 2 3" xfId="16309" xr:uid="{37128F73-5D75-4EDE-AEAF-34057256D2E1}"/>
    <cellStyle name="Normal 9 2 4 4 2 3" xfId="20539" xr:uid="{3D47950F-17B2-4392-AF93-B362A786A888}"/>
    <cellStyle name="Normal 9 2 4 4 2 4" xfId="12091" xr:uid="{8558D1CA-52A1-4468-A064-3BE202321D39}"/>
    <cellStyle name="Normal 9 2 4 4 3" xfId="5714" xr:uid="{00000000-0005-0000-0000-0000781F0000}"/>
    <cellStyle name="Normal 9 2 4 4 3 2" xfId="22612" xr:uid="{B422A492-B457-4E17-A252-507ED5E6B7C5}"/>
    <cellStyle name="Normal 9 2 4 4 3 3" xfId="14164" xr:uid="{B2A74ED8-F4DB-426D-A55F-7C225D1BCD9F}"/>
    <cellStyle name="Normal 9 2 4 4 4" xfId="18394" xr:uid="{E6BD8BA2-3C9F-47A9-B55D-1BCC92CD4449}"/>
    <cellStyle name="Normal 9 2 4 4 5" xfId="9946" xr:uid="{F11FDD9A-B435-481F-BC23-779A514944DF}"/>
    <cellStyle name="Normal 9 2 4 5" xfId="1820" xr:uid="{00000000-0005-0000-0000-0000791F0000}"/>
    <cellStyle name="Normal 9 2 4 5 2" xfId="4050" xr:uid="{00000000-0005-0000-0000-00007A1F0000}"/>
    <cellStyle name="Normal 9 2 4 5 2 2" xfId="8272" xr:uid="{00000000-0005-0000-0000-00007B1F0000}"/>
    <cellStyle name="Normal 9 2 4 5 2 2 2" xfId="25170" xr:uid="{493C0C00-F501-4D14-8E7E-905F961FF91E}"/>
    <cellStyle name="Normal 9 2 4 5 2 2 3" xfId="16722" xr:uid="{D85124E5-AE07-4319-BA78-908D2D602CC0}"/>
    <cellStyle name="Normal 9 2 4 5 2 3" xfId="20952" xr:uid="{D8635D12-3F59-4577-A5DD-CDEE802D2259}"/>
    <cellStyle name="Normal 9 2 4 5 2 4" xfId="12504" xr:uid="{AD66F7DF-FD93-4575-86E7-864040F226AC}"/>
    <cellStyle name="Normal 9 2 4 5 3" xfId="6127" xr:uid="{00000000-0005-0000-0000-00007C1F0000}"/>
    <cellStyle name="Normal 9 2 4 5 3 2" xfId="23025" xr:uid="{DE9D8051-80A3-40DA-AFFF-C04F97E6E244}"/>
    <cellStyle name="Normal 9 2 4 5 3 3" xfId="14577" xr:uid="{DE4076AE-0579-4DB6-9A7D-ED2C6B0267AA}"/>
    <cellStyle name="Normal 9 2 4 5 4" xfId="18807" xr:uid="{5161345D-EE4F-44DA-B1C6-7628512D2BAC}"/>
    <cellStyle name="Normal 9 2 4 5 5" xfId="10359" xr:uid="{2ADF063E-790E-42CC-AC9E-DC1CBD4ECA77}"/>
    <cellStyle name="Normal 9 2 4 6" xfId="2234" xr:uid="{00000000-0005-0000-0000-00007D1F0000}"/>
    <cellStyle name="Normal 9 2 4 6 2" xfId="4463" xr:uid="{00000000-0005-0000-0000-00007E1F0000}"/>
    <cellStyle name="Normal 9 2 4 6 2 2" xfId="8685" xr:uid="{00000000-0005-0000-0000-00007F1F0000}"/>
    <cellStyle name="Normal 9 2 4 6 2 2 2" xfId="25583" xr:uid="{2272891A-EF82-44A3-A393-849915193BD9}"/>
    <cellStyle name="Normal 9 2 4 6 2 2 3" xfId="17135" xr:uid="{028BA4A5-AC0D-45A8-AC6F-D64F7825F9AC}"/>
    <cellStyle name="Normal 9 2 4 6 2 3" xfId="21365" xr:uid="{D2FAA03E-377E-49B0-A7C4-30BBE46AC405}"/>
    <cellStyle name="Normal 9 2 4 6 2 4" xfId="12917" xr:uid="{B489BE63-7FD3-430F-B627-1A86DDCE3D4F}"/>
    <cellStyle name="Normal 9 2 4 6 3" xfId="6540" xr:uid="{00000000-0005-0000-0000-0000801F0000}"/>
    <cellStyle name="Normal 9 2 4 6 3 2" xfId="23438" xr:uid="{4F2D3191-FA40-47EF-BCF5-65AB5F42B86A}"/>
    <cellStyle name="Normal 9 2 4 6 3 3" xfId="14990" xr:uid="{83484EC6-8EDF-4FBE-92D6-65813916C409}"/>
    <cellStyle name="Normal 9 2 4 6 4" xfId="19220" xr:uid="{8F14CF1C-0A5B-4B1A-AADE-FEF6CA881495}"/>
    <cellStyle name="Normal 9 2 4 6 5" xfId="10772" xr:uid="{BA32262D-2755-42EB-8924-7149D9E920EA}"/>
    <cellStyle name="Normal 9 2 4 7" xfId="2670" xr:uid="{00000000-0005-0000-0000-0000811F0000}"/>
    <cellStyle name="Normal 9 2 4 7 2" xfId="6953" xr:uid="{00000000-0005-0000-0000-0000821F0000}"/>
    <cellStyle name="Normal 9 2 4 7 2 2" xfId="23851" xr:uid="{AEB2FBAF-FD06-49DD-9B08-33D8618B00F3}"/>
    <cellStyle name="Normal 9 2 4 7 2 3" xfId="15403" xr:uid="{4F45285E-F203-49F8-8D17-04AE786842FF}"/>
    <cellStyle name="Normal 9 2 4 7 3" xfId="19633" xr:uid="{F614D34E-30B5-4F24-82C5-0F9FAD6E2310}"/>
    <cellStyle name="Normal 9 2 4 7 4" xfId="11185" xr:uid="{EE9F9658-2782-46B3-8B6E-441839D8896D}"/>
    <cellStyle name="Normal 9 2 4 8" xfId="4888" xr:uid="{00000000-0005-0000-0000-0000831F0000}"/>
    <cellStyle name="Normal 9 2 4 8 2" xfId="21786" xr:uid="{D62DD299-C332-426B-BAF5-C4BBB9FAF421}"/>
    <cellStyle name="Normal 9 2 4 8 3" xfId="13338" xr:uid="{3AF3A83A-1645-4A4C-91B0-2595C0296124}"/>
    <cellStyle name="Normal 9 2 4 9" xfId="17568" xr:uid="{B2360A9B-44F6-46DA-B9C4-F01191ABD719}"/>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2 2 2" xfId="24346" xr:uid="{407D3623-512D-4B87-BC52-D2645E3B9325}"/>
    <cellStyle name="Normal 9 2 5 2 2 2 3" xfId="15898" xr:uid="{AAE000AA-FCF7-4EAE-B913-EDDFA493BE66}"/>
    <cellStyle name="Normal 9 2 5 2 2 3" xfId="20128" xr:uid="{CD1D8D47-BD98-4CE0-A022-26E08CA25719}"/>
    <cellStyle name="Normal 9 2 5 2 2 4" xfId="11680" xr:uid="{E18C6608-86B5-4C08-B56F-4B1993A38E10}"/>
    <cellStyle name="Normal 9 2 5 2 3" xfId="5303" xr:uid="{00000000-0005-0000-0000-0000881F0000}"/>
    <cellStyle name="Normal 9 2 5 2 3 2" xfId="22201" xr:uid="{516CFC95-97A3-4436-B8AE-8684A25A6A3D}"/>
    <cellStyle name="Normal 9 2 5 2 3 3" xfId="13753" xr:uid="{F050EDF3-A8CA-412C-857E-363F9F9B55DF}"/>
    <cellStyle name="Normal 9 2 5 2 4" xfId="17983" xr:uid="{F065859A-CE4F-43EC-BC6B-A4298FD09968}"/>
    <cellStyle name="Normal 9 2 5 2 5" xfId="9535" xr:uid="{15162E4A-1E00-4786-8C13-5B407955FE2E}"/>
    <cellStyle name="Normal 9 2 5 3" xfId="1409" xr:uid="{00000000-0005-0000-0000-0000891F0000}"/>
    <cellStyle name="Normal 9 2 5 3 2" xfId="3639" xr:uid="{00000000-0005-0000-0000-00008A1F0000}"/>
    <cellStyle name="Normal 9 2 5 3 2 2" xfId="7861" xr:uid="{00000000-0005-0000-0000-00008B1F0000}"/>
    <cellStyle name="Normal 9 2 5 3 2 2 2" xfId="24759" xr:uid="{FFCADF5D-CAF2-4B88-AFB7-0073CAF89F0F}"/>
    <cellStyle name="Normal 9 2 5 3 2 2 3" xfId="16311" xr:uid="{283D6DAF-9406-40E7-AEAF-D53B66BE5110}"/>
    <cellStyle name="Normal 9 2 5 3 2 3" xfId="20541" xr:uid="{3A53E68C-5D70-4BA9-B202-936C97A35AB9}"/>
    <cellStyle name="Normal 9 2 5 3 2 4" xfId="12093" xr:uid="{A574FC95-1AEB-40BA-BF39-CEA80B6E3FE5}"/>
    <cellStyle name="Normal 9 2 5 3 3" xfId="5716" xr:uid="{00000000-0005-0000-0000-00008C1F0000}"/>
    <cellStyle name="Normal 9 2 5 3 3 2" xfId="22614" xr:uid="{1CE38873-D005-40C5-AC53-178619A5FAC1}"/>
    <cellStyle name="Normal 9 2 5 3 3 3" xfId="14166" xr:uid="{0FDE33FD-8282-49C9-A546-59800640738C}"/>
    <cellStyle name="Normal 9 2 5 3 4" xfId="18396" xr:uid="{7C623618-0F31-4E42-AD6B-8C0E6244FDEA}"/>
    <cellStyle name="Normal 9 2 5 3 5" xfId="9948" xr:uid="{DA288402-FA8F-4071-8B39-559283E4649E}"/>
    <cellStyle name="Normal 9 2 5 4" xfId="1822" xr:uid="{00000000-0005-0000-0000-00008D1F0000}"/>
    <cellStyle name="Normal 9 2 5 4 2" xfId="4052" xr:uid="{00000000-0005-0000-0000-00008E1F0000}"/>
    <cellStyle name="Normal 9 2 5 4 2 2" xfId="8274" xr:uid="{00000000-0005-0000-0000-00008F1F0000}"/>
    <cellStyle name="Normal 9 2 5 4 2 2 2" xfId="25172" xr:uid="{675F3A90-4B36-4C4A-A51F-ABEBF5F8D82F}"/>
    <cellStyle name="Normal 9 2 5 4 2 2 3" xfId="16724" xr:uid="{A9E3D34C-F3EE-4D1F-A5A2-BB2634AC5EF6}"/>
    <cellStyle name="Normal 9 2 5 4 2 3" xfId="20954" xr:uid="{11DE96BF-100F-4A5D-993A-4B6EDB666DF2}"/>
    <cellStyle name="Normal 9 2 5 4 2 4" xfId="12506" xr:uid="{B744EA99-C577-48B7-BBBF-18073F531C97}"/>
    <cellStyle name="Normal 9 2 5 4 3" xfId="6129" xr:uid="{00000000-0005-0000-0000-0000901F0000}"/>
    <cellStyle name="Normal 9 2 5 4 3 2" xfId="23027" xr:uid="{51E35797-EA3B-4EFE-A31F-25B8F17C2863}"/>
    <cellStyle name="Normal 9 2 5 4 3 3" xfId="14579" xr:uid="{1B43D3CE-78BF-45A8-BCBE-70E64CD4742A}"/>
    <cellStyle name="Normal 9 2 5 4 4" xfId="18809" xr:uid="{2CFCFFE0-D578-40B2-9806-E97E2863131A}"/>
    <cellStyle name="Normal 9 2 5 4 5" xfId="10361" xr:uid="{94104469-D05D-43F1-A210-B783FECCAA3E}"/>
    <cellStyle name="Normal 9 2 5 5" xfId="2236" xr:uid="{00000000-0005-0000-0000-0000911F0000}"/>
    <cellStyle name="Normal 9 2 5 5 2" xfId="4465" xr:uid="{00000000-0005-0000-0000-0000921F0000}"/>
    <cellStyle name="Normal 9 2 5 5 2 2" xfId="8687" xr:uid="{00000000-0005-0000-0000-0000931F0000}"/>
    <cellStyle name="Normal 9 2 5 5 2 2 2" xfId="25585" xr:uid="{E3554AF3-365E-41AC-9952-4E93C4909755}"/>
    <cellStyle name="Normal 9 2 5 5 2 2 3" xfId="17137" xr:uid="{BA5EA90C-3786-4A3C-B4FF-232871D21833}"/>
    <cellStyle name="Normal 9 2 5 5 2 3" xfId="21367" xr:uid="{F5F8F161-5E0E-4400-9AAF-0DD5F8BCE977}"/>
    <cellStyle name="Normal 9 2 5 5 2 4" xfId="12919" xr:uid="{93CB945A-A318-4FC1-B74B-4E3505A04A25}"/>
    <cellStyle name="Normal 9 2 5 5 3" xfId="6542" xr:uid="{00000000-0005-0000-0000-0000941F0000}"/>
    <cellStyle name="Normal 9 2 5 5 3 2" xfId="23440" xr:uid="{5A5A61FF-05C3-4817-AF57-4DC72F0FB8B9}"/>
    <cellStyle name="Normal 9 2 5 5 3 3" xfId="14992" xr:uid="{DBF5CC1F-944A-4763-98EE-250800FA7538}"/>
    <cellStyle name="Normal 9 2 5 5 4" xfId="19222" xr:uid="{B8710D38-5029-414D-B0E5-2AA021D76101}"/>
    <cellStyle name="Normal 9 2 5 5 5" xfId="10774" xr:uid="{501D29D4-6455-4713-93D6-52F8479D58ED}"/>
    <cellStyle name="Normal 9 2 5 6" xfId="2672" xr:uid="{00000000-0005-0000-0000-0000951F0000}"/>
    <cellStyle name="Normal 9 2 5 6 2" xfId="6955" xr:uid="{00000000-0005-0000-0000-0000961F0000}"/>
    <cellStyle name="Normal 9 2 5 6 2 2" xfId="23853" xr:uid="{A44EDB95-52B9-4B49-8F61-30CA0AA31C5D}"/>
    <cellStyle name="Normal 9 2 5 6 2 3" xfId="15405" xr:uid="{F90BE1BB-27BA-45AE-B8E4-1296B2346967}"/>
    <cellStyle name="Normal 9 2 5 6 3" xfId="19635" xr:uid="{A9424B36-B6F7-41DF-873D-B0F769A8ECE1}"/>
    <cellStyle name="Normal 9 2 5 6 4" xfId="11187" xr:uid="{5EF353E7-CF33-45F0-99C9-0CDBE017CAA2}"/>
    <cellStyle name="Normal 9 2 5 7" xfId="4890" xr:uid="{00000000-0005-0000-0000-0000971F0000}"/>
    <cellStyle name="Normal 9 2 5 7 2" xfId="21788" xr:uid="{2E12204D-1C66-4C1A-B222-6FF2BA2630DF}"/>
    <cellStyle name="Normal 9 2 5 7 3" xfId="13340" xr:uid="{B640196C-8D33-49DC-A019-99E694253EE0}"/>
    <cellStyle name="Normal 9 2 5 8" xfId="17570" xr:uid="{AE9A81CE-FBC1-4D08-8A41-3C9C6E2ECD48}"/>
    <cellStyle name="Normal 9 2 5 9" xfId="9122" xr:uid="{E57A526F-C361-4C76-8E83-14B97795FA77}"/>
    <cellStyle name="Normal 9 2 6" xfId="978" xr:uid="{00000000-0005-0000-0000-0000981F0000}"/>
    <cellStyle name="Normal 9 2 6 2" xfId="3211" xr:uid="{00000000-0005-0000-0000-0000991F0000}"/>
    <cellStyle name="Normal 9 2 6 2 2" xfId="7433" xr:uid="{00000000-0005-0000-0000-00009A1F0000}"/>
    <cellStyle name="Normal 9 2 6 2 2 2" xfId="24331" xr:uid="{F0CBCE25-9578-4DB5-8435-A7FF38B22C3F}"/>
    <cellStyle name="Normal 9 2 6 2 2 3" xfId="15883" xr:uid="{E8B050EA-4680-42D5-94FE-F12010763331}"/>
    <cellStyle name="Normal 9 2 6 2 3" xfId="20113" xr:uid="{666273EB-9745-4390-B321-F9BFB23A7EC2}"/>
    <cellStyle name="Normal 9 2 6 2 4" xfId="11665" xr:uid="{E123A7A6-E721-441A-B210-866C7B773A02}"/>
    <cellStyle name="Normal 9 2 6 3" xfId="5288" xr:uid="{00000000-0005-0000-0000-00009B1F0000}"/>
    <cellStyle name="Normal 9 2 6 3 2" xfId="22186" xr:uid="{1368B2AC-922F-43F9-B366-908C55256176}"/>
    <cellStyle name="Normal 9 2 6 3 3" xfId="13738" xr:uid="{31384BB0-D890-475F-A3AB-E1D13CE1B9E6}"/>
    <cellStyle name="Normal 9 2 6 4" xfId="17968" xr:uid="{9E5DB7DF-D280-41F2-84E2-D1E9BFB1680A}"/>
    <cellStyle name="Normal 9 2 6 5" xfId="9520" xr:uid="{8AAB2207-4143-4E10-9E16-5D6E90EF77B5}"/>
    <cellStyle name="Normal 9 2 7" xfId="1394" xr:uid="{00000000-0005-0000-0000-00009C1F0000}"/>
    <cellStyle name="Normal 9 2 7 2" xfId="3624" xr:uid="{00000000-0005-0000-0000-00009D1F0000}"/>
    <cellStyle name="Normal 9 2 7 2 2" xfId="7846" xr:uid="{00000000-0005-0000-0000-00009E1F0000}"/>
    <cellStyle name="Normal 9 2 7 2 2 2" xfId="24744" xr:uid="{6B80F753-F56D-4C5C-A448-C9F520E22868}"/>
    <cellStyle name="Normal 9 2 7 2 2 3" xfId="16296" xr:uid="{AE4B0F49-E91B-464E-9BA8-103D5FE19448}"/>
    <cellStyle name="Normal 9 2 7 2 3" xfId="20526" xr:uid="{C07ED66F-CFC3-4DDB-BC9F-F9919234298C}"/>
    <cellStyle name="Normal 9 2 7 2 4" xfId="12078" xr:uid="{DD2D0C6A-2F09-4B9D-AA6C-6D3BD3858501}"/>
    <cellStyle name="Normal 9 2 7 3" xfId="5701" xr:uid="{00000000-0005-0000-0000-00009F1F0000}"/>
    <cellStyle name="Normal 9 2 7 3 2" xfId="22599" xr:uid="{46F0980A-F462-463B-8018-D04285470354}"/>
    <cellStyle name="Normal 9 2 7 3 3" xfId="14151" xr:uid="{C9ADD70D-C884-4000-9851-CCB7E912E267}"/>
    <cellStyle name="Normal 9 2 7 4" xfId="18381" xr:uid="{B5D57575-598F-4373-B448-2DBA22E0B755}"/>
    <cellStyle name="Normal 9 2 7 5" xfId="9933" xr:uid="{400094C4-5E69-447D-A756-3A0EE6075EA7}"/>
    <cellStyle name="Normal 9 2 8" xfId="1807" xr:uid="{00000000-0005-0000-0000-0000A01F0000}"/>
    <cellStyle name="Normal 9 2 8 2" xfId="4037" xr:uid="{00000000-0005-0000-0000-0000A11F0000}"/>
    <cellStyle name="Normal 9 2 8 2 2" xfId="8259" xr:uid="{00000000-0005-0000-0000-0000A21F0000}"/>
    <cellStyle name="Normal 9 2 8 2 2 2" xfId="25157" xr:uid="{8827A894-EEDD-4737-B0A8-83BDED07C452}"/>
    <cellStyle name="Normal 9 2 8 2 2 3" xfId="16709" xr:uid="{D9A99D2A-5FCA-4B17-85FD-E04C18D9AB31}"/>
    <cellStyle name="Normal 9 2 8 2 3" xfId="20939" xr:uid="{E829B5EA-0E3D-41B4-A2C3-0BDE20301352}"/>
    <cellStyle name="Normal 9 2 8 2 4" xfId="12491" xr:uid="{22032CF1-7031-4856-992A-E37DC2FDC974}"/>
    <cellStyle name="Normal 9 2 8 3" xfId="6114" xr:uid="{00000000-0005-0000-0000-0000A31F0000}"/>
    <cellStyle name="Normal 9 2 8 3 2" xfId="23012" xr:uid="{2B68D49A-1C28-4833-81AD-5C5903577232}"/>
    <cellStyle name="Normal 9 2 8 3 3" xfId="14564" xr:uid="{5B8E1CC8-C1E2-4241-8936-0CE07237E12F}"/>
    <cellStyle name="Normal 9 2 8 4" xfId="18794" xr:uid="{F8DD593F-5591-47AF-BC46-44E0269A318E}"/>
    <cellStyle name="Normal 9 2 8 5" xfId="10346" xr:uid="{62624165-009E-4F2A-AD6D-D28E0B89E3F9}"/>
    <cellStyle name="Normal 9 2 9" xfId="2221" xr:uid="{00000000-0005-0000-0000-0000A41F0000}"/>
    <cellStyle name="Normal 9 2 9 2" xfId="4450" xr:uid="{00000000-0005-0000-0000-0000A51F0000}"/>
    <cellStyle name="Normal 9 2 9 2 2" xfId="8672" xr:uid="{00000000-0005-0000-0000-0000A61F0000}"/>
    <cellStyle name="Normal 9 2 9 2 2 2" xfId="25570" xr:uid="{83948762-7495-43F2-A002-AF12B0D54BBC}"/>
    <cellStyle name="Normal 9 2 9 2 2 3" xfId="17122" xr:uid="{310AD81D-1FC2-4937-A486-E352F538BB4D}"/>
    <cellStyle name="Normal 9 2 9 2 3" xfId="21352" xr:uid="{B0C75C6E-10A0-4086-BF6C-97FF89A8FF61}"/>
    <cellStyle name="Normal 9 2 9 2 4" xfId="12904" xr:uid="{A0BFDE4C-400D-4DE7-8B60-C08E1E874306}"/>
    <cellStyle name="Normal 9 2 9 3" xfId="6527" xr:uid="{00000000-0005-0000-0000-0000A71F0000}"/>
    <cellStyle name="Normal 9 2 9 3 2" xfId="23425" xr:uid="{E03DDA71-5B77-4092-83C0-F89DAB4F6585}"/>
    <cellStyle name="Normal 9 2 9 3 3" xfId="14977" xr:uid="{30208DA7-58C1-4084-9B48-EC84495BCAD7}"/>
    <cellStyle name="Normal 9 2 9 4" xfId="19207" xr:uid="{7EF8C544-C24B-447F-9680-6666A4E5EA8D}"/>
    <cellStyle name="Normal 9 2 9 5" xfId="10759" xr:uid="{A9C38A89-ADBE-4ED9-A8D1-4404435FE067}"/>
    <cellStyle name="Normal 9 3" xfId="527" xr:uid="{00000000-0005-0000-0000-0000A81F0000}"/>
    <cellStyle name="Normal 9 3 10" xfId="4891" xr:uid="{00000000-0005-0000-0000-0000A91F0000}"/>
    <cellStyle name="Normal 9 3 10 2" xfId="21789" xr:uid="{249D1F71-E188-4E74-A556-AF6E252BC4FD}"/>
    <cellStyle name="Normal 9 3 10 3" xfId="13341" xr:uid="{DEC7B69F-3C4C-4AD5-8C16-185740BC87EC}"/>
    <cellStyle name="Normal 9 3 11" xfId="17571" xr:uid="{87A125CE-4C82-4CCD-ACAE-103C278D1081}"/>
    <cellStyle name="Normal 9 3 12" xfId="9123" xr:uid="{070989B3-754F-4B5E-8AF6-BB96CD419BBF}"/>
    <cellStyle name="Normal 9 3 2" xfId="528" xr:uid="{00000000-0005-0000-0000-0000AA1F0000}"/>
    <cellStyle name="Normal 9 3 2 10" xfId="17572" xr:uid="{EE4AFCB5-4403-450F-A447-D6B9CD4EE753}"/>
    <cellStyle name="Normal 9 3 2 11" xfId="9124" xr:uid="{4C538424-9497-4666-85B0-064ABFE0C1FE}"/>
    <cellStyle name="Normal 9 3 2 2" xfId="529" xr:uid="{00000000-0005-0000-0000-0000AB1F0000}"/>
    <cellStyle name="Normal 9 3 2 2 10" xfId="9125" xr:uid="{238407A6-30A7-42EE-B6C3-273F15D449C2}"/>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24350" xr:uid="{651DE7AE-1A71-4AAE-ABCE-FE5CF24479A4}"/>
    <cellStyle name="Normal 9 3 2 2 2 2 2 2 3" xfId="15902" xr:uid="{B35031CB-4E93-490B-A539-1E8C34D33C6D}"/>
    <cellStyle name="Normal 9 3 2 2 2 2 2 3" xfId="20132" xr:uid="{A11AA476-91B9-46C4-B92A-2FC04241B88C}"/>
    <cellStyle name="Normal 9 3 2 2 2 2 2 4" xfId="11684" xr:uid="{2B5F72DC-20C9-4B4F-A6FC-B7B85021DCB8}"/>
    <cellStyle name="Normal 9 3 2 2 2 2 3" xfId="5307" xr:uid="{00000000-0005-0000-0000-0000B01F0000}"/>
    <cellStyle name="Normal 9 3 2 2 2 2 3 2" xfId="22205" xr:uid="{C0595102-2820-45D8-9DA6-B3514CAC4C92}"/>
    <cellStyle name="Normal 9 3 2 2 2 2 3 3" xfId="13757" xr:uid="{13B18F8B-3746-49BB-8CAE-C8AD51070C9C}"/>
    <cellStyle name="Normal 9 3 2 2 2 2 4" xfId="17987" xr:uid="{109F2B08-B314-4BCD-97B2-F21B38AC93F6}"/>
    <cellStyle name="Normal 9 3 2 2 2 2 5" xfId="9539" xr:uid="{F886D241-889E-4184-BCF8-486F838505AA}"/>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24763" xr:uid="{97D5241D-D2E8-413A-BECA-BF4D8C224B21}"/>
    <cellStyle name="Normal 9 3 2 2 2 3 2 2 3" xfId="16315" xr:uid="{1BF80DF4-5BF8-4EF6-BE28-18ECF94E7A82}"/>
    <cellStyle name="Normal 9 3 2 2 2 3 2 3" xfId="20545" xr:uid="{DCF2507A-82DF-49D2-99BA-9F4FC1CD39FD}"/>
    <cellStyle name="Normal 9 3 2 2 2 3 2 4" xfId="12097" xr:uid="{0E909AC5-461B-4FA5-955F-78B2BEC61EA7}"/>
    <cellStyle name="Normal 9 3 2 2 2 3 3" xfId="5720" xr:uid="{00000000-0005-0000-0000-0000B41F0000}"/>
    <cellStyle name="Normal 9 3 2 2 2 3 3 2" xfId="22618" xr:uid="{83216077-53F9-43FD-9460-C39AFC823EC9}"/>
    <cellStyle name="Normal 9 3 2 2 2 3 3 3" xfId="14170" xr:uid="{E28E4AD5-6154-4895-9940-0ABE1A9CCFCC}"/>
    <cellStyle name="Normal 9 3 2 2 2 3 4" xfId="18400" xr:uid="{B0AB45E7-2E5F-4655-BC65-541438E56642}"/>
    <cellStyle name="Normal 9 3 2 2 2 3 5" xfId="9952" xr:uid="{73C90049-A70B-49C6-8B75-EBA1AA4CEE7D}"/>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25176" xr:uid="{DEF6E869-94B1-40A7-9F2C-8D5BD8B8784F}"/>
    <cellStyle name="Normal 9 3 2 2 2 4 2 2 3" xfId="16728" xr:uid="{871613E6-13B9-4DB1-83DA-D65B475C5C0A}"/>
    <cellStyle name="Normal 9 3 2 2 2 4 2 3" xfId="20958" xr:uid="{5FDB7DD6-633A-4F5E-A8D2-17ED7ABB7D4E}"/>
    <cellStyle name="Normal 9 3 2 2 2 4 2 4" xfId="12510" xr:uid="{F4B46E55-C6E0-4ECD-85C0-8FCEF896CF72}"/>
    <cellStyle name="Normal 9 3 2 2 2 4 3" xfId="6133" xr:uid="{00000000-0005-0000-0000-0000B81F0000}"/>
    <cellStyle name="Normal 9 3 2 2 2 4 3 2" xfId="23031" xr:uid="{E0CF7732-0643-433C-ACAF-700894E9E9F1}"/>
    <cellStyle name="Normal 9 3 2 2 2 4 3 3" xfId="14583" xr:uid="{549487F6-68CD-4678-B241-F131511C7616}"/>
    <cellStyle name="Normal 9 3 2 2 2 4 4" xfId="18813" xr:uid="{E29E9104-392E-4C57-86B5-5636F162C89F}"/>
    <cellStyle name="Normal 9 3 2 2 2 4 5" xfId="10365" xr:uid="{D2B5B2A5-703E-431E-92C9-9CD8F7493577}"/>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25589" xr:uid="{3EC37B3E-4A5A-403E-8956-9803C5A3642B}"/>
    <cellStyle name="Normal 9 3 2 2 2 5 2 2 3" xfId="17141" xr:uid="{2D8A8112-9887-484E-B948-7458891E8333}"/>
    <cellStyle name="Normal 9 3 2 2 2 5 2 3" xfId="21371" xr:uid="{8B32E986-E53F-4A81-8228-B37437AE1EE2}"/>
    <cellStyle name="Normal 9 3 2 2 2 5 2 4" xfId="12923" xr:uid="{B6C953CB-E24F-4B6B-8A9C-7705DF7EFD42}"/>
    <cellStyle name="Normal 9 3 2 2 2 5 3" xfId="6546" xr:uid="{00000000-0005-0000-0000-0000BC1F0000}"/>
    <cellStyle name="Normal 9 3 2 2 2 5 3 2" xfId="23444" xr:uid="{84553274-21DA-41AD-82AA-6F7AB23F4ABD}"/>
    <cellStyle name="Normal 9 3 2 2 2 5 3 3" xfId="14996" xr:uid="{40265958-A827-4393-8DED-7669F339568D}"/>
    <cellStyle name="Normal 9 3 2 2 2 5 4" xfId="19226" xr:uid="{4EDC0C94-81EA-4A76-9246-1B41BF2525B6}"/>
    <cellStyle name="Normal 9 3 2 2 2 5 5" xfId="10778" xr:uid="{A846EEB6-57F7-4DEC-B83B-6E3A3153E3AA}"/>
    <cellStyle name="Normal 9 3 2 2 2 6" xfId="2676" xr:uid="{00000000-0005-0000-0000-0000BD1F0000}"/>
    <cellStyle name="Normal 9 3 2 2 2 6 2" xfId="6959" xr:uid="{00000000-0005-0000-0000-0000BE1F0000}"/>
    <cellStyle name="Normal 9 3 2 2 2 6 2 2" xfId="23857" xr:uid="{B3930BEC-8F54-422E-9822-D06F8CFB7D66}"/>
    <cellStyle name="Normal 9 3 2 2 2 6 2 3" xfId="15409" xr:uid="{86368B3D-067D-42C5-965D-D2F8BE3022CD}"/>
    <cellStyle name="Normal 9 3 2 2 2 6 3" xfId="19639" xr:uid="{16683064-DA32-4A40-BF89-05B5E966F8EF}"/>
    <cellStyle name="Normal 9 3 2 2 2 6 4" xfId="11191" xr:uid="{5F3D5D3C-B760-4F82-9CCA-514393F72758}"/>
    <cellStyle name="Normal 9 3 2 2 2 7" xfId="4894" xr:uid="{00000000-0005-0000-0000-0000BF1F0000}"/>
    <cellStyle name="Normal 9 3 2 2 2 7 2" xfId="21792" xr:uid="{8D29BF10-962A-4DD5-AAD3-2105F71DE3F2}"/>
    <cellStyle name="Normal 9 3 2 2 2 7 3" xfId="13344" xr:uid="{D1590273-4513-43BE-B980-29A7CDB8A94E}"/>
    <cellStyle name="Normal 9 3 2 2 2 8" xfId="17574" xr:uid="{B9B97BBB-D1A3-469A-8219-1A048CC2FB3E}"/>
    <cellStyle name="Normal 9 3 2 2 2 9" xfId="9126" xr:uid="{8D244D8D-2D0D-406F-A4E1-83D2865E27EF}"/>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24349" xr:uid="{7B886FD7-7F4A-4C10-8B14-65C4D0F8B745}"/>
    <cellStyle name="Normal 9 3 2 2 3 2 2 3" xfId="15901" xr:uid="{B115E888-FAA8-4ABE-BBCA-ACD305469ADB}"/>
    <cellStyle name="Normal 9 3 2 2 3 2 3" xfId="20131" xr:uid="{6FEAC81F-28AE-49BF-8741-3C2235BE65FF}"/>
    <cellStyle name="Normal 9 3 2 2 3 2 4" xfId="11683" xr:uid="{846BFCC0-45A2-4AB3-A06E-0F265F348252}"/>
    <cellStyle name="Normal 9 3 2 2 3 3" xfId="5306" xr:uid="{00000000-0005-0000-0000-0000C31F0000}"/>
    <cellStyle name="Normal 9 3 2 2 3 3 2" xfId="22204" xr:uid="{E33F41EE-CCDA-435C-9E40-0CD8D26C846E}"/>
    <cellStyle name="Normal 9 3 2 2 3 3 3" xfId="13756" xr:uid="{D797880D-D874-4FBC-9578-9CE94E6DEF3D}"/>
    <cellStyle name="Normal 9 3 2 2 3 4" xfId="17986" xr:uid="{0B93DBB9-5D16-41B7-8E29-A5FA59BE76B4}"/>
    <cellStyle name="Normal 9 3 2 2 3 5" xfId="9538" xr:uid="{53526FB2-0C81-45EB-8D83-669653614BE9}"/>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24762" xr:uid="{D253B9F7-1603-4789-BEE4-32B06E16B668}"/>
    <cellStyle name="Normal 9 3 2 2 4 2 2 3" xfId="16314" xr:uid="{7134A578-8B43-484E-A364-C68D3731C032}"/>
    <cellStyle name="Normal 9 3 2 2 4 2 3" xfId="20544" xr:uid="{40D2B25B-E6B1-4B16-877D-199055F46D89}"/>
    <cellStyle name="Normal 9 3 2 2 4 2 4" xfId="12096" xr:uid="{1AFC0C5F-52A6-4785-8C83-2D86076C192C}"/>
    <cellStyle name="Normal 9 3 2 2 4 3" xfId="5719" xr:uid="{00000000-0005-0000-0000-0000C71F0000}"/>
    <cellStyle name="Normal 9 3 2 2 4 3 2" xfId="22617" xr:uid="{81473C79-CC96-4708-9376-B81E093AA64A}"/>
    <cellStyle name="Normal 9 3 2 2 4 3 3" xfId="14169" xr:uid="{21DD1A4A-B699-489C-92E5-FE9C5AAF4E35}"/>
    <cellStyle name="Normal 9 3 2 2 4 4" xfId="18399" xr:uid="{EE9E17F8-BBA5-49E8-B25C-3D0CF4602C3C}"/>
    <cellStyle name="Normal 9 3 2 2 4 5" xfId="9951" xr:uid="{46A86BB1-23C2-44B7-ADEE-1F7CC567B7FD}"/>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25175" xr:uid="{3376B803-4560-4B78-8E70-1E05632077CB}"/>
    <cellStyle name="Normal 9 3 2 2 5 2 2 3" xfId="16727" xr:uid="{D02D4770-D247-4DA5-9008-7B0F22021D1A}"/>
    <cellStyle name="Normal 9 3 2 2 5 2 3" xfId="20957" xr:uid="{85DA5D02-E33C-4E6D-A2F2-877DCBE7D868}"/>
    <cellStyle name="Normal 9 3 2 2 5 2 4" xfId="12509" xr:uid="{4FE5B01F-7E7E-4FEA-81E2-F82FA8AB8329}"/>
    <cellStyle name="Normal 9 3 2 2 5 3" xfId="6132" xr:uid="{00000000-0005-0000-0000-0000CB1F0000}"/>
    <cellStyle name="Normal 9 3 2 2 5 3 2" xfId="23030" xr:uid="{975CCADF-BDE0-4628-98AB-463E62F6D43D}"/>
    <cellStyle name="Normal 9 3 2 2 5 3 3" xfId="14582" xr:uid="{9C15722B-5B76-41EE-A045-488FF98E9C0A}"/>
    <cellStyle name="Normal 9 3 2 2 5 4" xfId="18812" xr:uid="{A9853F70-7505-4F57-B21F-EA7375BD1000}"/>
    <cellStyle name="Normal 9 3 2 2 5 5" xfId="10364" xr:uid="{0E02897A-E5AD-4BAB-AC3F-69BE05D3EBF4}"/>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25588" xr:uid="{62A99220-D3B6-48DC-A9F9-6213562B85F5}"/>
    <cellStyle name="Normal 9 3 2 2 6 2 2 3" xfId="17140" xr:uid="{E6849284-7D9D-44F7-900F-3C519AF758FE}"/>
    <cellStyle name="Normal 9 3 2 2 6 2 3" xfId="21370" xr:uid="{70EC0F33-42AF-431E-8C06-A2C37E105CC3}"/>
    <cellStyle name="Normal 9 3 2 2 6 2 4" xfId="12922" xr:uid="{E0049895-81E0-4776-AEA1-D3A864952F66}"/>
    <cellStyle name="Normal 9 3 2 2 6 3" xfId="6545" xr:uid="{00000000-0005-0000-0000-0000CF1F0000}"/>
    <cellStyle name="Normal 9 3 2 2 6 3 2" xfId="23443" xr:uid="{2043ACA8-08E6-4B5C-AEA2-D25FB05BAD31}"/>
    <cellStyle name="Normal 9 3 2 2 6 3 3" xfId="14995" xr:uid="{B520D527-7B85-4BE2-B1AE-3CF9321D0984}"/>
    <cellStyle name="Normal 9 3 2 2 6 4" xfId="19225" xr:uid="{949D5F5A-07B4-4DB8-ACC4-CD48635F3A86}"/>
    <cellStyle name="Normal 9 3 2 2 6 5" xfId="10777" xr:uid="{02C2884D-03A0-4F0E-9BCB-9C96064A264C}"/>
    <cellStyle name="Normal 9 3 2 2 7" xfId="2675" xr:uid="{00000000-0005-0000-0000-0000D01F0000}"/>
    <cellStyle name="Normal 9 3 2 2 7 2" xfId="6958" xr:uid="{00000000-0005-0000-0000-0000D11F0000}"/>
    <cellStyle name="Normal 9 3 2 2 7 2 2" xfId="23856" xr:uid="{1994C0A3-9DAE-4461-962C-FE03EC4F7B46}"/>
    <cellStyle name="Normal 9 3 2 2 7 2 3" xfId="15408" xr:uid="{BEF54943-2C0C-46B5-9F60-AAC746755CCD}"/>
    <cellStyle name="Normal 9 3 2 2 7 3" xfId="19638" xr:uid="{4B2EB257-7250-43F6-902B-2ACF4DA1A1CE}"/>
    <cellStyle name="Normal 9 3 2 2 7 4" xfId="11190" xr:uid="{71140982-E776-465A-8A47-4917263F8FEF}"/>
    <cellStyle name="Normal 9 3 2 2 8" xfId="4893" xr:uid="{00000000-0005-0000-0000-0000D21F0000}"/>
    <cellStyle name="Normal 9 3 2 2 8 2" xfId="21791" xr:uid="{C8A2488B-E664-49C6-9D40-40DC177C5F3D}"/>
    <cellStyle name="Normal 9 3 2 2 8 3" xfId="13343" xr:uid="{E663782D-B0FF-489A-80ED-8C29E1EBDE8B}"/>
    <cellStyle name="Normal 9 3 2 2 9" xfId="17573" xr:uid="{981976F8-20A7-4C7F-A0DA-B03C40DCC8A9}"/>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24351" xr:uid="{9D40DB6E-16EC-440E-BD72-C73F40C3A36C}"/>
    <cellStyle name="Normal 9 3 2 3 2 2 2 3" xfId="15903" xr:uid="{A88C3E17-FD4C-45F1-B4F6-8EFBAA8F8537}"/>
    <cellStyle name="Normal 9 3 2 3 2 2 3" xfId="20133" xr:uid="{9A4D0FC4-5B4D-4ED9-9B70-FD8F9E503B34}"/>
    <cellStyle name="Normal 9 3 2 3 2 2 4" xfId="11685" xr:uid="{FD734713-6240-4A26-AF80-5CCDE310BB5E}"/>
    <cellStyle name="Normal 9 3 2 3 2 3" xfId="5308" xr:uid="{00000000-0005-0000-0000-0000D71F0000}"/>
    <cellStyle name="Normal 9 3 2 3 2 3 2" xfId="22206" xr:uid="{3F05F68F-F807-453A-9D25-13350EDA2C6D}"/>
    <cellStyle name="Normal 9 3 2 3 2 3 3" xfId="13758" xr:uid="{D7A9EC79-EAF1-4AAD-B5BC-A96A607D461C}"/>
    <cellStyle name="Normal 9 3 2 3 2 4" xfId="17988" xr:uid="{82BF0DFA-6B65-4F7D-949B-2D509C6CEB3B}"/>
    <cellStyle name="Normal 9 3 2 3 2 5" xfId="9540" xr:uid="{9079FF47-78D7-4DEF-920E-92749BEC7A36}"/>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24764" xr:uid="{F43D9EA3-8E0B-4A6C-B42C-6D5046107EF5}"/>
    <cellStyle name="Normal 9 3 2 3 3 2 2 3" xfId="16316" xr:uid="{2A62F600-595D-4A60-B20D-FCE377641D57}"/>
    <cellStyle name="Normal 9 3 2 3 3 2 3" xfId="20546" xr:uid="{B6ACE526-2E67-4C97-A9F1-FB6D74B3B89F}"/>
    <cellStyle name="Normal 9 3 2 3 3 2 4" xfId="12098" xr:uid="{BE93B8D7-B673-4262-A776-6D25DDEFECE6}"/>
    <cellStyle name="Normal 9 3 2 3 3 3" xfId="5721" xr:uid="{00000000-0005-0000-0000-0000DB1F0000}"/>
    <cellStyle name="Normal 9 3 2 3 3 3 2" xfId="22619" xr:uid="{1FCB7B7C-E018-4DC4-86B4-FECB437EFE12}"/>
    <cellStyle name="Normal 9 3 2 3 3 3 3" xfId="14171" xr:uid="{54593759-1A85-49E0-8E0C-51AB56B55653}"/>
    <cellStyle name="Normal 9 3 2 3 3 4" xfId="18401" xr:uid="{E1559831-6FD8-485B-BCB1-5B0D1F6F75D1}"/>
    <cellStyle name="Normal 9 3 2 3 3 5" xfId="9953" xr:uid="{03D32CF2-88C3-47A6-8CC8-4180492D5377}"/>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25177" xr:uid="{83F9EF1E-662E-4764-94A1-4FBF6812D6DA}"/>
    <cellStyle name="Normal 9 3 2 3 4 2 2 3" xfId="16729" xr:uid="{7475D1D6-538D-40DB-821E-AAC5FC315D7E}"/>
    <cellStyle name="Normal 9 3 2 3 4 2 3" xfId="20959" xr:uid="{62F71207-58DD-4A63-B5B8-C9DF23BFB8BA}"/>
    <cellStyle name="Normal 9 3 2 3 4 2 4" xfId="12511" xr:uid="{B3174A79-B953-405E-83D6-DB0B2F57FCAA}"/>
    <cellStyle name="Normal 9 3 2 3 4 3" xfId="6134" xr:uid="{00000000-0005-0000-0000-0000DF1F0000}"/>
    <cellStyle name="Normal 9 3 2 3 4 3 2" xfId="23032" xr:uid="{3AEBDA52-1248-44D9-A1F0-4B350CADA784}"/>
    <cellStyle name="Normal 9 3 2 3 4 3 3" xfId="14584" xr:uid="{21E22BF7-79A8-4F39-AA80-F9B2DF3818BC}"/>
    <cellStyle name="Normal 9 3 2 3 4 4" xfId="18814" xr:uid="{5E475CA1-7D7E-4613-9274-2D4A8A98996C}"/>
    <cellStyle name="Normal 9 3 2 3 4 5" xfId="10366" xr:uid="{D964949F-7642-4F96-A28F-37618A12F854}"/>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25590" xr:uid="{6D8FB09E-2807-40B3-977B-C33647C2617D}"/>
    <cellStyle name="Normal 9 3 2 3 5 2 2 3" xfId="17142" xr:uid="{FC7A7DA4-BE75-43F5-99DD-3CD6BE8D4387}"/>
    <cellStyle name="Normal 9 3 2 3 5 2 3" xfId="21372" xr:uid="{AD481B4A-5D86-4953-9076-08F94499E2BF}"/>
    <cellStyle name="Normal 9 3 2 3 5 2 4" xfId="12924" xr:uid="{3634380D-7135-4CA0-A4DD-CC93AE79BA31}"/>
    <cellStyle name="Normal 9 3 2 3 5 3" xfId="6547" xr:uid="{00000000-0005-0000-0000-0000E31F0000}"/>
    <cellStyle name="Normal 9 3 2 3 5 3 2" xfId="23445" xr:uid="{1E4F5EFC-8366-4B2B-966D-D7FD12198ABD}"/>
    <cellStyle name="Normal 9 3 2 3 5 3 3" xfId="14997" xr:uid="{A8449551-E5FF-464A-8006-3F253FF8D33B}"/>
    <cellStyle name="Normal 9 3 2 3 5 4" xfId="19227" xr:uid="{98726090-2C06-4491-A725-10DF396EBC3F}"/>
    <cellStyle name="Normal 9 3 2 3 5 5" xfId="10779" xr:uid="{EC717E18-3688-44CB-9923-60D6A53FD655}"/>
    <cellStyle name="Normal 9 3 2 3 6" xfId="2677" xr:uid="{00000000-0005-0000-0000-0000E41F0000}"/>
    <cellStyle name="Normal 9 3 2 3 6 2" xfId="6960" xr:uid="{00000000-0005-0000-0000-0000E51F0000}"/>
    <cellStyle name="Normal 9 3 2 3 6 2 2" xfId="23858" xr:uid="{B9AEF5DB-98BC-498E-8FB2-7CDAEEBC1C63}"/>
    <cellStyle name="Normal 9 3 2 3 6 2 3" xfId="15410" xr:uid="{79B001B1-C428-4AD9-B09C-F3D6167BD073}"/>
    <cellStyle name="Normal 9 3 2 3 6 3" xfId="19640" xr:uid="{871E9962-F483-498B-A980-E29F744DB6B9}"/>
    <cellStyle name="Normal 9 3 2 3 6 4" xfId="11192" xr:uid="{EC7B9D0F-CC26-4BF3-A58B-0F4F7AD2E8BC}"/>
    <cellStyle name="Normal 9 3 2 3 7" xfId="4895" xr:uid="{00000000-0005-0000-0000-0000E61F0000}"/>
    <cellStyle name="Normal 9 3 2 3 7 2" xfId="21793" xr:uid="{00699535-C04F-4E91-BFB1-8C064D5AC839}"/>
    <cellStyle name="Normal 9 3 2 3 7 3" xfId="13345" xr:uid="{9A6E4A78-14AA-499B-A44B-9C043E1C3A90}"/>
    <cellStyle name="Normal 9 3 2 3 8" xfId="17575" xr:uid="{19FEBBB2-D4F8-4080-B9D1-E26C5AD5D3E6}"/>
    <cellStyle name="Normal 9 3 2 3 9" xfId="9127" xr:uid="{0AD83BC2-DBDF-4EAD-B311-0790EDBBC43B}"/>
    <cellStyle name="Normal 9 3 2 4" xfId="995" xr:uid="{00000000-0005-0000-0000-0000E71F0000}"/>
    <cellStyle name="Normal 9 3 2 4 2" xfId="3228" xr:uid="{00000000-0005-0000-0000-0000E81F0000}"/>
    <cellStyle name="Normal 9 3 2 4 2 2" xfId="7450" xr:uid="{00000000-0005-0000-0000-0000E91F0000}"/>
    <cellStyle name="Normal 9 3 2 4 2 2 2" xfId="24348" xr:uid="{FD775193-00BF-46A9-9103-FA38F3526D8C}"/>
    <cellStyle name="Normal 9 3 2 4 2 2 3" xfId="15900" xr:uid="{46C6EAA4-DE04-4145-985C-17A14CADCAEA}"/>
    <cellStyle name="Normal 9 3 2 4 2 3" xfId="20130" xr:uid="{8BCA8317-85F9-40F4-A3D2-F6D321C0507B}"/>
    <cellStyle name="Normal 9 3 2 4 2 4" xfId="11682" xr:uid="{F3AD4630-A7A6-493B-820B-C8F98E528A1D}"/>
    <cellStyle name="Normal 9 3 2 4 3" xfId="5305" xr:uid="{00000000-0005-0000-0000-0000EA1F0000}"/>
    <cellStyle name="Normal 9 3 2 4 3 2" xfId="22203" xr:uid="{C08969B6-1A3E-4AD0-89B9-5495F1E9A222}"/>
    <cellStyle name="Normal 9 3 2 4 3 3" xfId="13755" xr:uid="{F0F0B431-FAE1-4269-BEA1-C1F31D90056F}"/>
    <cellStyle name="Normal 9 3 2 4 4" xfId="17985" xr:uid="{3D7ED929-CE66-4FE7-92B5-2506CBDEF7C1}"/>
    <cellStyle name="Normal 9 3 2 4 5" xfId="9537" xr:uid="{4C1AB80A-5591-4FAA-8F53-11416C5328B1}"/>
    <cellStyle name="Normal 9 3 2 5" xfId="1411" xr:uid="{00000000-0005-0000-0000-0000EB1F0000}"/>
    <cellStyle name="Normal 9 3 2 5 2" xfId="3641" xr:uid="{00000000-0005-0000-0000-0000EC1F0000}"/>
    <cellStyle name="Normal 9 3 2 5 2 2" xfId="7863" xr:uid="{00000000-0005-0000-0000-0000ED1F0000}"/>
    <cellStyle name="Normal 9 3 2 5 2 2 2" xfId="24761" xr:uid="{1F9F6A81-B108-41E1-B1BB-0648746D52A7}"/>
    <cellStyle name="Normal 9 3 2 5 2 2 3" xfId="16313" xr:uid="{AA36C01B-8F79-4FA0-96BA-132AA4D7537F}"/>
    <cellStyle name="Normal 9 3 2 5 2 3" xfId="20543" xr:uid="{B6A0C6B3-C3ED-4DFB-B41B-A4CBB61F4B0A}"/>
    <cellStyle name="Normal 9 3 2 5 2 4" xfId="12095" xr:uid="{D090DD39-C1ED-46AC-AB53-229B714FBA78}"/>
    <cellStyle name="Normal 9 3 2 5 3" xfId="5718" xr:uid="{00000000-0005-0000-0000-0000EE1F0000}"/>
    <cellStyle name="Normal 9 3 2 5 3 2" xfId="22616" xr:uid="{1B663484-93DF-4138-9865-2790CBD43246}"/>
    <cellStyle name="Normal 9 3 2 5 3 3" xfId="14168" xr:uid="{E70E16F8-FA4A-4C9D-BDEC-1C25F992B2BB}"/>
    <cellStyle name="Normal 9 3 2 5 4" xfId="18398" xr:uid="{2A779E84-34D6-4CE8-8F7F-71501451ACEC}"/>
    <cellStyle name="Normal 9 3 2 5 5" xfId="9950" xr:uid="{300F1627-5A64-47BF-B40C-79C6734EBBE2}"/>
    <cellStyle name="Normal 9 3 2 6" xfId="1824" xr:uid="{00000000-0005-0000-0000-0000EF1F0000}"/>
    <cellStyle name="Normal 9 3 2 6 2" xfId="4054" xr:uid="{00000000-0005-0000-0000-0000F01F0000}"/>
    <cellStyle name="Normal 9 3 2 6 2 2" xfId="8276" xr:uid="{00000000-0005-0000-0000-0000F11F0000}"/>
    <cellStyle name="Normal 9 3 2 6 2 2 2" xfId="25174" xr:uid="{359942F1-7ACE-4A88-9925-3321D55E573A}"/>
    <cellStyle name="Normal 9 3 2 6 2 2 3" xfId="16726" xr:uid="{F78B95DB-0AFD-4722-BD96-106552309B73}"/>
    <cellStyle name="Normal 9 3 2 6 2 3" xfId="20956" xr:uid="{E7E1B6E3-76B1-48C8-AFA1-59C641454DF6}"/>
    <cellStyle name="Normal 9 3 2 6 2 4" xfId="12508" xr:uid="{5E8552DC-3CC9-42EA-9B51-C6FD053E7D29}"/>
    <cellStyle name="Normal 9 3 2 6 3" xfId="6131" xr:uid="{00000000-0005-0000-0000-0000F21F0000}"/>
    <cellStyle name="Normal 9 3 2 6 3 2" xfId="23029" xr:uid="{5DF3D8FB-21E9-45F1-8845-2C397519B21A}"/>
    <cellStyle name="Normal 9 3 2 6 3 3" xfId="14581" xr:uid="{DFC46FB7-06ED-43E0-8340-38ED41A6433F}"/>
    <cellStyle name="Normal 9 3 2 6 4" xfId="18811" xr:uid="{A44C8D4F-8457-479A-923F-17A061DC8B2D}"/>
    <cellStyle name="Normal 9 3 2 6 5" xfId="10363" xr:uid="{619A2CD3-CBD1-46D1-849E-3F15B3CC50AD}"/>
    <cellStyle name="Normal 9 3 2 7" xfId="2238" xr:uid="{00000000-0005-0000-0000-0000F31F0000}"/>
    <cellStyle name="Normal 9 3 2 7 2" xfId="4467" xr:uid="{00000000-0005-0000-0000-0000F41F0000}"/>
    <cellStyle name="Normal 9 3 2 7 2 2" xfId="8689" xr:uid="{00000000-0005-0000-0000-0000F51F0000}"/>
    <cellStyle name="Normal 9 3 2 7 2 2 2" xfId="25587" xr:uid="{32823EEC-106D-4778-9263-5594C68A264A}"/>
    <cellStyle name="Normal 9 3 2 7 2 2 3" xfId="17139" xr:uid="{CB79AE46-B185-4B67-A8B2-A31410B1733E}"/>
    <cellStyle name="Normal 9 3 2 7 2 3" xfId="21369" xr:uid="{8FB77A4B-47C9-420C-B3DC-0990DD801AB5}"/>
    <cellStyle name="Normal 9 3 2 7 2 4" xfId="12921" xr:uid="{60DB2582-3008-49AD-92FC-7A9F3E836BEB}"/>
    <cellStyle name="Normal 9 3 2 7 3" xfId="6544" xr:uid="{00000000-0005-0000-0000-0000F61F0000}"/>
    <cellStyle name="Normal 9 3 2 7 3 2" xfId="23442" xr:uid="{AD482DE5-8ECE-4CF8-A399-451046988CD3}"/>
    <cellStyle name="Normal 9 3 2 7 3 3" xfId="14994" xr:uid="{31AFEC4F-9D50-4B2E-9E19-08BCA45DDF25}"/>
    <cellStyle name="Normal 9 3 2 7 4" xfId="19224" xr:uid="{34A8FA94-21CF-4DF7-A861-50F822FC3781}"/>
    <cellStyle name="Normal 9 3 2 7 5" xfId="10776" xr:uid="{4B703F34-7891-4A88-B03E-841B3896B2D9}"/>
    <cellStyle name="Normal 9 3 2 8" xfId="2674" xr:uid="{00000000-0005-0000-0000-0000F71F0000}"/>
    <cellStyle name="Normal 9 3 2 8 2" xfId="6957" xr:uid="{00000000-0005-0000-0000-0000F81F0000}"/>
    <cellStyle name="Normal 9 3 2 8 2 2" xfId="23855" xr:uid="{E7616AE0-A77F-4F15-B604-E7E3AD6EEB90}"/>
    <cellStyle name="Normal 9 3 2 8 2 3" xfId="15407" xr:uid="{DE579738-683A-4008-9994-744236DBF16F}"/>
    <cellStyle name="Normal 9 3 2 8 3" xfId="19637" xr:uid="{16FCBAB3-9A20-46B3-8111-926D6D8E9960}"/>
    <cellStyle name="Normal 9 3 2 8 4" xfId="11189" xr:uid="{6EB70EAB-9A8A-4EED-8D03-6D3CF8807A2B}"/>
    <cellStyle name="Normal 9 3 2 9" xfId="4892" xr:uid="{00000000-0005-0000-0000-0000F91F0000}"/>
    <cellStyle name="Normal 9 3 2 9 2" xfId="21790" xr:uid="{36BEC9C0-0F20-432A-A50C-CEA986E8803F}"/>
    <cellStyle name="Normal 9 3 2 9 3" xfId="13342" xr:uid="{A04B970B-4087-4649-84AE-90E1A033C231}"/>
    <cellStyle name="Normal 9 3 3" xfId="532" xr:uid="{00000000-0005-0000-0000-0000FA1F0000}"/>
    <cellStyle name="Normal 9 3 3 10" xfId="9128" xr:uid="{11675EC9-15B3-4535-9152-AAC7DA5D30FD}"/>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24353" xr:uid="{C9B8E5C8-E048-456A-BB4C-7B4D62CF9833}"/>
    <cellStyle name="Normal 9 3 3 2 2 2 2 3" xfId="15905" xr:uid="{6B24A5FB-3F57-4188-9C8C-CF6A3472056D}"/>
    <cellStyle name="Normal 9 3 3 2 2 2 3" xfId="20135" xr:uid="{91AAFEAB-2DC4-4DB2-802C-EA8419F09080}"/>
    <cellStyle name="Normal 9 3 3 2 2 2 4" xfId="11687" xr:uid="{FB7B00A2-12E1-44D9-A99A-D8A552C7D48C}"/>
    <cellStyle name="Normal 9 3 3 2 2 3" xfId="5310" xr:uid="{00000000-0005-0000-0000-0000FF1F0000}"/>
    <cellStyle name="Normal 9 3 3 2 2 3 2" xfId="22208" xr:uid="{311142C7-D378-42AE-829D-26A34B7D92DA}"/>
    <cellStyle name="Normal 9 3 3 2 2 3 3" xfId="13760" xr:uid="{1068B0F1-66D4-41A0-A8C1-1B80B1C36856}"/>
    <cellStyle name="Normal 9 3 3 2 2 4" xfId="17990" xr:uid="{38CB72B0-1932-486D-9836-D6AE7313B9A0}"/>
    <cellStyle name="Normal 9 3 3 2 2 5" xfId="9542" xr:uid="{F528BBFE-9765-416E-A276-58FA2FBBD9F2}"/>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24766" xr:uid="{0C374404-1A87-4F49-95D8-A7CE152A35A1}"/>
    <cellStyle name="Normal 9 3 3 2 3 2 2 3" xfId="16318" xr:uid="{0FD41D4B-A088-4EF5-A7DA-34AD59BE61B0}"/>
    <cellStyle name="Normal 9 3 3 2 3 2 3" xfId="20548" xr:uid="{ACFC4BB4-265B-4B88-8A19-8FC02B49528E}"/>
    <cellStyle name="Normal 9 3 3 2 3 2 4" xfId="12100" xr:uid="{ACDCC370-404C-405D-BBDF-44A247B2ABC8}"/>
    <cellStyle name="Normal 9 3 3 2 3 3" xfId="5723" xr:uid="{00000000-0005-0000-0000-000003200000}"/>
    <cellStyle name="Normal 9 3 3 2 3 3 2" xfId="22621" xr:uid="{3B9E4D1D-1952-4193-A4C9-F9377FEC4FA9}"/>
    <cellStyle name="Normal 9 3 3 2 3 3 3" xfId="14173" xr:uid="{5A682BA1-044D-4157-A88C-C847F3F3626C}"/>
    <cellStyle name="Normal 9 3 3 2 3 4" xfId="18403" xr:uid="{1CC317AA-E243-4A05-A5F7-8C7FF1CC5C7B}"/>
    <cellStyle name="Normal 9 3 3 2 3 5" xfId="9955" xr:uid="{440D2BEA-925F-416D-A820-6B55CA447C63}"/>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25179" xr:uid="{336D7F22-4321-4A3B-984F-2BB9A4871C57}"/>
    <cellStyle name="Normal 9 3 3 2 4 2 2 3" xfId="16731" xr:uid="{0CC3AE4A-F53E-4372-9E53-34D12AD0AC97}"/>
    <cellStyle name="Normal 9 3 3 2 4 2 3" xfId="20961" xr:uid="{28A4E697-ADD3-4D02-BB04-525DE4DC5326}"/>
    <cellStyle name="Normal 9 3 3 2 4 2 4" xfId="12513" xr:uid="{4C29CB0E-03A1-46CB-8D23-399A41C88531}"/>
    <cellStyle name="Normal 9 3 3 2 4 3" xfId="6136" xr:uid="{00000000-0005-0000-0000-000007200000}"/>
    <cellStyle name="Normal 9 3 3 2 4 3 2" xfId="23034" xr:uid="{443A143F-4C68-4E3F-822E-27E9BAE94E23}"/>
    <cellStyle name="Normal 9 3 3 2 4 3 3" xfId="14586" xr:uid="{3FB0D922-644D-4ECF-AB2F-4E8B912E77D4}"/>
    <cellStyle name="Normal 9 3 3 2 4 4" xfId="18816" xr:uid="{8AFC7C3B-9A97-493C-92EB-83F5FABCD2EE}"/>
    <cellStyle name="Normal 9 3 3 2 4 5" xfId="10368" xr:uid="{BB68B5D0-62CB-43E9-8527-CBAD6AE5A822}"/>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25592" xr:uid="{4F099B0D-45FA-4C69-9C34-BB16991894D2}"/>
    <cellStyle name="Normal 9 3 3 2 5 2 2 3" xfId="17144" xr:uid="{7719BF3A-BEC6-4721-9818-912C9729ADA4}"/>
    <cellStyle name="Normal 9 3 3 2 5 2 3" xfId="21374" xr:uid="{1D5B5AC8-352C-4FEE-9787-992A7BC22CEB}"/>
    <cellStyle name="Normal 9 3 3 2 5 2 4" xfId="12926" xr:uid="{CE491D5F-F958-4120-90F5-6A3321BF4DE3}"/>
    <cellStyle name="Normal 9 3 3 2 5 3" xfId="6549" xr:uid="{00000000-0005-0000-0000-00000B200000}"/>
    <cellStyle name="Normal 9 3 3 2 5 3 2" xfId="23447" xr:uid="{13C93B91-98A9-4145-B58D-FB377C459E3C}"/>
    <cellStyle name="Normal 9 3 3 2 5 3 3" xfId="14999" xr:uid="{C01A6DDF-39F3-4E3C-816E-1F2CD8C680D9}"/>
    <cellStyle name="Normal 9 3 3 2 5 4" xfId="19229" xr:uid="{6AE12659-AFF2-4FC5-A1E6-AF73699F2393}"/>
    <cellStyle name="Normal 9 3 3 2 5 5" xfId="10781" xr:uid="{C994015E-95BC-44BC-81E4-FC49120A92B8}"/>
    <cellStyle name="Normal 9 3 3 2 6" xfId="2679" xr:uid="{00000000-0005-0000-0000-00000C200000}"/>
    <cellStyle name="Normal 9 3 3 2 6 2" xfId="6962" xr:uid="{00000000-0005-0000-0000-00000D200000}"/>
    <cellStyle name="Normal 9 3 3 2 6 2 2" xfId="23860" xr:uid="{0A45A594-C709-42C0-BC44-394B788FA8A0}"/>
    <cellStyle name="Normal 9 3 3 2 6 2 3" xfId="15412" xr:uid="{D9E0F135-3696-453B-9E30-F0C8CB57A42D}"/>
    <cellStyle name="Normal 9 3 3 2 6 3" xfId="19642" xr:uid="{D28588B6-ECA2-4BD1-AD03-4806867EEE8F}"/>
    <cellStyle name="Normal 9 3 3 2 6 4" xfId="11194" xr:uid="{AA21DB78-5E1C-4B7D-AAE7-41CDD98F0522}"/>
    <cellStyle name="Normal 9 3 3 2 7" xfId="4897" xr:uid="{00000000-0005-0000-0000-00000E200000}"/>
    <cellStyle name="Normal 9 3 3 2 7 2" xfId="21795" xr:uid="{F62A2F0B-898E-4573-A778-6C3B692B2AC7}"/>
    <cellStyle name="Normal 9 3 3 2 7 3" xfId="13347" xr:uid="{0D650271-6943-4C7B-8453-509E96140D51}"/>
    <cellStyle name="Normal 9 3 3 2 8" xfId="17577" xr:uid="{1EC337BA-EA1F-4CA1-8615-CD40BD0499BE}"/>
    <cellStyle name="Normal 9 3 3 2 9" xfId="9129" xr:uid="{754761F7-362B-41EE-A33F-1E55C0323EAE}"/>
    <cellStyle name="Normal 9 3 3 3" xfId="999" xr:uid="{00000000-0005-0000-0000-00000F200000}"/>
    <cellStyle name="Normal 9 3 3 3 2" xfId="3232" xr:uid="{00000000-0005-0000-0000-000010200000}"/>
    <cellStyle name="Normal 9 3 3 3 2 2" xfId="7454" xr:uid="{00000000-0005-0000-0000-000011200000}"/>
    <cellStyle name="Normal 9 3 3 3 2 2 2" xfId="24352" xr:uid="{C263A2A4-8CBD-4990-84D7-A10B6223CDF2}"/>
    <cellStyle name="Normal 9 3 3 3 2 2 3" xfId="15904" xr:uid="{CCEEDF88-D4F1-45B6-A5C6-597084533F30}"/>
    <cellStyle name="Normal 9 3 3 3 2 3" xfId="20134" xr:uid="{61B70C72-3C37-4E93-81FF-EA8E7B6DB62B}"/>
    <cellStyle name="Normal 9 3 3 3 2 4" xfId="11686" xr:uid="{2FB72504-6C0D-4DB7-AC64-44A21694E039}"/>
    <cellStyle name="Normal 9 3 3 3 3" xfId="5309" xr:uid="{00000000-0005-0000-0000-000012200000}"/>
    <cellStyle name="Normal 9 3 3 3 3 2" xfId="22207" xr:uid="{C10F1D19-E452-41D7-850B-20502FE59BC4}"/>
    <cellStyle name="Normal 9 3 3 3 3 3" xfId="13759" xr:uid="{67DCD1F3-694C-4415-AA65-6A723BD49256}"/>
    <cellStyle name="Normal 9 3 3 3 4" xfId="17989" xr:uid="{6EB701D3-9BD3-4261-8F84-BD194389E0B1}"/>
    <cellStyle name="Normal 9 3 3 3 5" xfId="9541" xr:uid="{B19BF8B6-7419-434D-87D0-8C28BAF37B8A}"/>
    <cellStyle name="Normal 9 3 3 4" xfId="1415" xr:uid="{00000000-0005-0000-0000-000013200000}"/>
    <cellStyle name="Normal 9 3 3 4 2" xfId="3645" xr:uid="{00000000-0005-0000-0000-000014200000}"/>
    <cellStyle name="Normal 9 3 3 4 2 2" xfId="7867" xr:uid="{00000000-0005-0000-0000-000015200000}"/>
    <cellStyle name="Normal 9 3 3 4 2 2 2" xfId="24765" xr:uid="{8C8C72F7-B4D9-49D9-B6C3-1FC0135925FE}"/>
    <cellStyle name="Normal 9 3 3 4 2 2 3" xfId="16317" xr:uid="{F236149E-5C6A-42AC-B33E-4B4357F3DA46}"/>
    <cellStyle name="Normal 9 3 3 4 2 3" xfId="20547" xr:uid="{77DC1FF4-18BE-45D6-81E6-7521B84811AE}"/>
    <cellStyle name="Normal 9 3 3 4 2 4" xfId="12099" xr:uid="{BBD4F12F-1F64-487E-A1EC-B6B79841A0DB}"/>
    <cellStyle name="Normal 9 3 3 4 3" xfId="5722" xr:uid="{00000000-0005-0000-0000-000016200000}"/>
    <cellStyle name="Normal 9 3 3 4 3 2" xfId="22620" xr:uid="{51BFCEC0-6459-46DA-B181-6BBDBE9533D7}"/>
    <cellStyle name="Normal 9 3 3 4 3 3" xfId="14172" xr:uid="{A4099930-AEF2-45C5-8B1C-312B9B30F3CD}"/>
    <cellStyle name="Normal 9 3 3 4 4" xfId="18402" xr:uid="{EE08D908-2AA3-4780-86A2-638F7337CB36}"/>
    <cellStyle name="Normal 9 3 3 4 5" xfId="9954" xr:uid="{8D837875-839B-4BA4-A803-3459EC52C819}"/>
    <cellStyle name="Normal 9 3 3 5" xfId="1828" xr:uid="{00000000-0005-0000-0000-000017200000}"/>
    <cellStyle name="Normal 9 3 3 5 2" xfId="4058" xr:uid="{00000000-0005-0000-0000-000018200000}"/>
    <cellStyle name="Normal 9 3 3 5 2 2" xfId="8280" xr:uid="{00000000-0005-0000-0000-000019200000}"/>
    <cellStyle name="Normal 9 3 3 5 2 2 2" xfId="25178" xr:uid="{543E8288-239F-4906-9B62-898465834A3B}"/>
    <cellStyle name="Normal 9 3 3 5 2 2 3" xfId="16730" xr:uid="{D582C3F8-B2FC-43B1-9DA9-2488658FCBB9}"/>
    <cellStyle name="Normal 9 3 3 5 2 3" xfId="20960" xr:uid="{10F751CB-98F6-4558-BAFB-44BAAB3D0C4E}"/>
    <cellStyle name="Normal 9 3 3 5 2 4" xfId="12512" xr:uid="{7A267C86-6052-4106-B6EB-FBFCBB4652C4}"/>
    <cellStyle name="Normal 9 3 3 5 3" xfId="6135" xr:uid="{00000000-0005-0000-0000-00001A200000}"/>
    <cellStyle name="Normal 9 3 3 5 3 2" xfId="23033" xr:uid="{62A683B3-C52B-4425-BC76-DD6B10373BA5}"/>
    <cellStyle name="Normal 9 3 3 5 3 3" xfId="14585" xr:uid="{2C613209-7BE8-4968-AB05-D6760ED705CF}"/>
    <cellStyle name="Normal 9 3 3 5 4" xfId="18815" xr:uid="{E37BEE16-7410-44B2-A92D-CD5F6D95C1F8}"/>
    <cellStyle name="Normal 9 3 3 5 5" xfId="10367" xr:uid="{22894533-1AA1-4B6C-BD07-D35FE2C328C3}"/>
    <cellStyle name="Normal 9 3 3 6" xfId="2242" xr:uid="{00000000-0005-0000-0000-00001B200000}"/>
    <cellStyle name="Normal 9 3 3 6 2" xfId="4471" xr:uid="{00000000-0005-0000-0000-00001C200000}"/>
    <cellStyle name="Normal 9 3 3 6 2 2" xfId="8693" xr:uid="{00000000-0005-0000-0000-00001D200000}"/>
    <cellStyle name="Normal 9 3 3 6 2 2 2" xfId="25591" xr:uid="{8AEDA6EC-60BE-49C4-A965-FAE6003092FC}"/>
    <cellStyle name="Normal 9 3 3 6 2 2 3" xfId="17143" xr:uid="{6FF16AEE-C497-44C6-B06B-CF08AB259A46}"/>
    <cellStyle name="Normal 9 3 3 6 2 3" xfId="21373" xr:uid="{258EE2B1-12D7-4E0F-8B75-C7ACCDE31DE4}"/>
    <cellStyle name="Normal 9 3 3 6 2 4" xfId="12925" xr:uid="{001468DA-129B-4A0E-B79B-EF30F959ECA2}"/>
    <cellStyle name="Normal 9 3 3 6 3" xfId="6548" xr:uid="{00000000-0005-0000-0000-00001E200000}"/>
    <cellStyle name="Normal 9 3 3 6 3 2" xfId="23446" xr:uid="{6623B64B-56B8-4C7A-BE41-C2F565E03D7F}"/>
    <cellStyle name="Normal 9 3 3 6 3 3" xfId="14998" xr:uid="{086A3CB6-CAAC-4C7A-AE8D-FFBA724CAC10}"/>
    <cellStyle name="Normal 9 3 3 6 4" xfId="19228" xr:uid="{150F0E08-CBE9-474B-8813-C26FA00C20EA}"/>
    <cellStyle name="Normal 9 3 3 6 5" xfId="10780" xr:uid="{495EF1B6-648F-43B5-B2FD-451ABE3BB19F}"/>
    <cellStyle name="Normal 9 3 3 7" xfId="2678" xr:uid="{00000000-0005-0000-0000-00001F200000}"/>
    <cellStyle name="Normal 9 3 3 7 2" xfId="6961" xr:uid="{00000000-0005-0000-0000-000020200000}"/>
    <cellStyle name="Normal 9 3 3 7 2 2" xfId="23859" xr:uid="{0907DCE6-9FB1-48BA-B64E-53FADDD02D8D}"/>
    <cellStyle name="Normal 9 3 3 7 2 3" xfId="15411" xr:uid="{5BCD4BE0-3ED6-4A24-B7C0-2D2FDD7F8A2D}"/>
    <cellStyle name="Normal 9 3 3 7 3" xfId="19641" xr:uid="{D81F241C-2B18-4406-BBD1-FD8045A183B5}"/>
    <cellStyle name="Normal 9 3 3 7 4" xfId="11193" xr:uid="{E38DCA9F-B153-44BD-B8BD-1C3E777FC825}"/>
    <cellStyle name="Normal 9 3 3 8" xfId="4896" xr:uid="{00000000-0005-0000-0000-000021200000}"/>
    <cellStyle name="Normal 9 3 3 8 2" xfId="21794" xr:uid="{479173FF-A215-4BCE-BFF4-D0D833770A77}"/>
    <cellStyle name="Normal 9 3 3 8 3" xfId="13346" xr:uid="{615F4085-15B8-4BF3-BF8A-333F01B74B84}"/>
    <cellStyle name="Normal 9 3 3 9" xfId="17576" xr:uid="{AE58C06B-A5C4-4CA9-BE78-63B218DCD48C}"/>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2 2 2" xfId="24354" xr:uid="{5CD6E3AE-16D8-4083-B206-3C4CB747318F}"/>
    <cellStyle name="Normal 9 3 4 2 2 2 3" xfId="15906" xr:uid="{60D679AD-0C5E-49DD-AE54-7EAA29943EC9}"/>
    <cellStyle name="Normal 9 3 4 2 2 3" xfId="20136" xr:uid="{B3B66092-E95B-4067-BD01-6153C74B15F4}"/>
    <cellStyle name="Normal 9 3 4 2 2 4" xfId="11688" xr:uid="{31EDF655-126E-4DD7-BC1C-9A2C541D15B5}"/>
    <cellStyle name="Normal 9 3 4 2 3" xfId="5311" xr:uid="{00000000-0005-0000-0000-000026200000}"/>
    <cellStyle name="Normal 9 3 4 2 3 2" xfId="22209" xr:uid="{320987F6-15AD-4CAB-A9CA-63B0045A8991}"/>
    <cellStyle name="Normal 9 3 4 2 3 3" xfId="13761" xr:uid="{58FCD2B4-A231-435D-8618-279C0AE380AC}"/>
    <cellStyle name="Normal 9 3 4 2 4" xfId="17991" xr:uid="{8581B16B-0E39-4715-B312-A1188F368020}"/>
    <cellStyle name="Normal 9 3 4 2 5" xfId="9543" xr:uid="{A30A8A7A-77D2-4B31-A61D-AF09A485A71B}"/>
    <cellStyle name="Normal 9 3 4 3" xfId="1417" xr:uid="{00000000-0005-0000-0000-000027200000}"/>
    <cellStyle name="Normal 9 3 4 3 2" xfId="3647" xr:uid="{00000000-0005-0000-0000-000028200000}"/>
    <cellStyle name="Normal 9 3 4 3 2 2" xfId="7869" xr:uid="{00000000-0005-0000-0000-000029200000}"/>
    <cellStyle name="Normal 9 3 4 3 2 2 2" xfId="24767" xr:uid="{EBBC0C52-C84A-4F15-AFAC-2AC5174917F2}"/>
    <cellStyle name="Normal 9 3 4 3 2 2 3" xfId="16319" xr:uid="{6449C9D3-C248-4606-8F41-0E92253B4AA3}"/>
    <cellStyle name="Normal 9 3 4 3 2 3" xfId="20549" xr:uid="{E0BEBC5E-B437-40F0-82AC-D400697BD3E4}"/>
    <cellStyle name="Normal 9 3 4 3 2 4" xfId="12101" xr:uid="{DD1450F5-EE1A-4E53-8F68-1930CFF5917C}"/>
    <cellStyle name="Normal 9 3 4 3 3" xfId="5724" xr:uid="{00000000-0005-0000-0000-00002A200000}"/>
    <cellStyle name="Normal 9 3 4 3 3 2" xfId="22622" xr:uid="{1A61EA40-AE42-4557-A901-2CD2CBDFD278}"/>
    <cellStyle name="Normal 9 3 4 3 3 3" xfId="14174" xr:uid="{E79736A5-ACAC-4F1A-924E-5A3627B56834}"/>
    <cellStyle name="Normal 9 3 4 3 4" xfId="18404" xr:uid="{D02D1F41-759F-4381-BDD9-D7183611FD3D}"/>
    <cellStyle name="Normal 9 3 4 3 5" xfId="9956" xr:uid="{46980E55-C797-41E7-81B9-CA408BFB1804}"/>
    <cellStyle name="Normal 9 3 4 4" xfId="1830" xr:uid="{00000000-0005-0000-0000-00002B200000}"/>
    <cellStyle name="Normal 9 3 4 4 2" xfId="4060" xr:uid="{00000000-0005-0000-0000-00002C200000}"/>
    <cellStyle name="Normal 9 3 4 4 2 2" xfId="8282" xr:uid="{00000000-0005-0000-0000-00002D200000}"/>
    <cellStyle name="Normal 9 3 4 4 2 2 2" xfId="25180" xr:uid="{4EEF9CCA-EE5F-4811-849F-3B6486F8A502}"/>
    <cellStyle name="Normal 9 3 4 4 2 2 3" xfId="16732" xr:uid="{80B20E16-7E90-4589-A9A3-F340E85BDF37}"/>
    <cellStyle name="Normal 9 3 4 4 2 3" xfId="20962" xr:uid="{7DDEAE14-BB6D-4871-B51B-07C4E8C4E594}"/>
    <cellStyle name="Normal 9 3 4 4 2 4" xfId="12514" xr:uid="{E503BAE8-6B1A-4358-8167-8D278187E7CD}"/>
    <cellStyle name="Normal 9 3 4 4 3" xfId="6137" xr:uid="{00000000-0005-0000-0000-00002E200000}"/>
    <cellStyle name="Normal 9 3 4 4 3 2" xfId="23035" xr:uid="{05270651-105A-44BC-BA28-761254C291D4}"/>
    <cellStyle name="Normal 9 3 4 4 3 3" xfId="14587" xr:uid="{A9D916B8-0FDA-4177-9C03-728476BBDCBE}"/>
    <cellStyle name="Normal 9 3 4 4 4" xfId="18817" xr:uid="{DB6911A2-E520-47B0-9867-13720CBADAE4}"/>
    <cellStyle name="Normal 9 3 4 4 5" xfId="10369" xr:uid="{3268ADB9-E776-4E09-AE88-23EBCB9F8185}"/>
    <cellStyle name="Normal 9 3 4 5" xfId="2244" xr:uid="{00000000-0005-0000-0000-00002F200000}"/>
    <cellStyle name="Normal 9 3 4 5 2" xfId="4473" xr:uid="{00000000-0005-0000-0000-000030200000}"/>
    <cellStyle name="Normal 9 3 4 5 2 2" xfId="8695" xr:uid="{00000000-0005-0000-0000-000031200000}"/>
    <cellStyle name="Normal 9 3 4 5 2 2 2" xfId="25593" xr:uid="{D62BB31D-DA64-44AF-B3AB-2D812D4E8F99}"/>
    <cellStyle name="Normal 9 3 4 5 2 2 3" xfId="17145" xr:uid="{E5CA247C-C3F2-439F-8BA8-DE0C3B05E2BC}"/>
    <cellStyle name="Normal 9 3 4 5 2 3" xfId="21375" xr:uid="{627DAED3-649C-44B4-8410-F6AD9E718AA1}"/>
    <cellStyle name="Normal 9 3 4 5 2 4" xfId="12927" xr:uid="{F4D48C0F-A69F-441F-877D-3CD6138B82EA}"/>
    <cellStyle name="Normal 9 3 4 5 3" xfId="6550" xr:uid="{00000000-0005-0000-0000-000032200000}"/>
    <cellStyle name="Normal 9 3 4 5 3 2" xfId="23448" xr:uid="{54FD1DAD-08AD-491E-BAAB-F16B232D4FDE}"/>
    <cellStyle name="Normal 9 3 4 5 3 3" xfId="15000" xr:uid="{ED27AB01-92CB-4FDA-A679-313EDECE1688}"/>
    <cellStyle name="Normal 9 3 4 5 4" xfId="19230" xr:uid="{A39E02A4-C52D-4CD3-8F46-9598642D1D13}"/>
    <cellStyle name="Normal 9 3 4 5 5" xfId="10782" xr:uid="{17D18CA4-1C80-4BAE-9139-F446DD0C63F3}"/>
    <cellStyle name="Normal 9 3 4 6" xfId="2680" xr:uid="{00000000-0005-0000-0000-000033200000}"/>
    <cellStyle name="Normal 9 3 4 6 2" xfId="6963" xr:uid="{00000000-0005-0000-0000-000034200000}"/>
    <cellStyle name="Normal 9 3 4 6 2 2" xfId="23861" xr:uid="{A5D7DE48-7407-4FC5-93A4-79FC7B7F8D7B}"/>
    <cellStyle name="Normal 9 3 4 6 2 3" xfId="15413" xr:uid="{91917262-5ACC-4792-8650-E959EE347C87}"/>
    <cellStyle name="Normal 9 3 4 6 3" xfId="19643" xr:uid="{A081158F-BC9A-48C9-A60B-8078A8A4D704}"/>
    <cellStyle name="Normal 9 3 4 6 4" xfId="11195" xr:uid="{6261C442-6E1B-4AE6-B8B7-ED3EE7476C52}"/>
    <cellStyle name="Normal 9 3 4 7" xfId="4898" xr:uid="{00000000-0005-0000-0000-000035200000}"/>
    <cellStyle name="Normal 9 3 4 7 2" xfId="21796" xr:uid="{AEBBF549-E9C8-4F25-8543-7AEB8A09B05F}"/>
    <cellStyle name="Normal 9 3 4 7 3" xfId="13348" xr:uid="{5EFF6146-31B9-4461-BA54-36E79914C572}"/>
    <cellStyle name="Normal 9 3 4 8" xfId="17578" xr:uid="{079C9924-A974-4E1E-84C0-F78CB9D772A6}"/>
    <cellStyle name="Normal 9 3 4 9" xfId="9130" xr:uid="{66FC75FB-1673-4653-81EA-B3CBD6C31098}"/>
    <cellStyle name="Normal 9 3 5" xfId="994" xr:uid="{00000000-0005-0000-0000-000036200000}"/>
    <cellStyle name="Normal 9 3 5 2" xfId="3227" xr:uid="{00000000-0005-0000-0000-000037200000}"/>
    <cellStyle name="Normal 9 3 5 2 2" xfId="7449" xr:uid="{00000000-0005-0000-0000-000038200000}"/>
    <cellStyle name="Normal 9 3 5 2 2 2" xfId="24347" xr:uid="{C3CA8249-F045-4BBF-9BC6-5BAC5854845B}"/>
    <cellStyle name="Normal 9 3 5 2 2 3" xfId="15899" xr:uid="{5309ABAF-12B8-4649-8052-4355357ECB11}"/>
    <cellStyle name="Normal 9 3 5 2 3" xfId="20129" xr:uid="{1DC85E0C-9A0D-434D-9B3C-02CB1F4A8564}"/>
    <cellStyle name="Normal 9 3 5 2 4" xfId="11681" xr:uid="{20032FDE-F3A2-45E4-8087-BB9DB54D7E78}"/>
    <cellStyle name="Normal 9 3 5 3" xfId="5304" xr:uid="{00000000-0005-0000-0000-000039200000}"/>
    <cellStyle name="Normal 9 3 5 3 2" xfId="22202" xr:uid="{58951177-FA6C-457D-B76F-77589B51A819}"/>
    <cellStyle name="Normal 9 3 5 3 3" xfId="13754" xr:uid="{EFC71B2E-17E7-4A27-BB68-3A304B7C4575}"/>
    <cellStyle name="Normal 9 3 5 4" xfId="17984" xr:uid="{FDE5DB3B-5DDE-4BC8-B985-B815448389FE}"/>
    <cellStyle name="Normal 9 3 5 5" xfId="9536" xr:uid="{EFFD73BB-F40B-4B9D-83BB-700F83ADE6FB}"/>
    <cellStyle name="Normal 9 3 6" xfId="1410" xr:uid="{00000000-0005-0000-0000-00003A200000}"/>
    <cellStyle name="Normal 9 3 6 2" xfId="3640" xr:uid="{00000000-0005-0000-0000-00003B200000}"/>
    <cellStyle name="Normal 9 3 6 2 2" xfId="7862" xr:uid="{00000000-0005-0000-0000-00003C200000}"/>
    <cellStyle name="Normal 9 3 6 2 2 2" xfId="24760" xr:uid="{A7F6BE25-22BA-45F2-991F-24D67AE1B28E}"/>
    <cellStyle name="Normal 9 3 6 2 2 3" xfId="16312" xr:uid="{9658E53D-F7CB-4742-90F2-6B620D7BAEBA}"/>
    <cellStyle name="Normal 9 3 6 2 3" xfId="20542" xr:uid="{608EFE15-2F32-4CE9-9802-73296C710181}"/>
    <cellStyle name="Normal 9 3 6 2 4" xfId="12094" xr:uid="{27AA9CCE-CF3C-428A-BEC1-E793D6A7C48B}"/>
    <cellStyle name="Normal 9 3 6 3" xfId="5717" xr:uid="{00000000-0005-0000-0000-00003D200000}"/>
    <cellStyle name="Normal 9 3 6 3 2" xfId="22615" xr:uid="{0A62FC48-1ECD-4CB2-92D4-633A291CE51C}"/>
    <cellStyle name="Normal 9 3 6 3 3" xfId="14167" xr:uid="{57FEF340-DB49-4845-B65E-8C95F25B3F74}"/>
    <cellStyle name="Normal 9 3 6 4" xfId="18397" xr:uid="{FB200DB4-DEAB-4B7B-875B-6E348D2961D3}"/>
    <cellStyle name="Normal 9 3 6 5" xfId="9949" xr:uid="{E2FBF939-4468-4365-9898-94605BD3B721}"/>
    <cellStyle name="Normal 9 3 7" xfId="1823" xr:uid="{00000000-0005-0000-0000-00003E200000}"/>
    <cellStyle name="Normal 9 3 7 2" xfId="4053" xr:uid="{00000000-0005-0000-0000-00003F200000}"/>
    <cellStyle name="Normal 9 3 7 2 2" xfId="8275" xr:uid="{00000000-0005-0000-0000-000040200000}"/>
    <cellStyle name="Normal 9 3 7 2 2 2" xfId="25173" xr:uid="{0D5FB7CA-3B2E-4BAE-A974-05ED8CA2BFB6}"/>
    <cellStyle name="Normal 9 3 7 2 2 3" xfId="16725" xr:uid="{A248257E-1E19-4957-A159-91CC00A7C21F}"/>
    <cellStyle name="Normal 9 3 7 2 3" xfId="20955" xr:uid="{9662D454-C029-483F-9BBE-737B6AD3CF75}"/>
    <cellStyle name="Normal 9 3 7 2 4" xfId="12507" xr:uid="{9B12BFE8-7466-4501-806A-9D2ABC454A4B}"/>
    <cellStyle name="Normal 9 3 7 3" xfId="6130" xr:uid="{00000000-0005-0000-0000-000041200000}"/>
    <cellStyle name="Normal 9 3 7 3 2" xfId="23028" xr:uid="{734B72D1-F058-4AC0-9D17-B0D55D19CE1C}"/>
    <cellStyle name="Normal 9 3 7 3 3" xfId="14580" xr:uid="{169C1DD1-9F57-423F-A6E3-E0F8CFA36BEE}"/>
    <cellStyle name="Normal 9 3 7 4" xfId="18810" xr:uid="{781D331F-1717-4453-8B56-4BC15879A4E3}"/>
    <cellStyle name="Normal 9 3 7 5" xfId="10362" xr:uid="{A603BB9B-DCE6-4419-A24C-B0AEA3F12CA2}"/>
    <cellStyle name="Normal 9 3 8" xfId="2237" xr:uid="{00000000-0005-0000-0000-000042200000}"/>
    <cellStyle name="Normal 9 3 8 2" xfId="4466" xr:uid="{00000000-0005-0000-0000-000043200000}"/>
    <cellStyle name="Normal 9 3 8 2 2" xfId="8688" xr:uid="{00000000-0005-0000-0000-000044200000}"/>
    <cellStyle name="Normal 9 3 8 2 2 2" xfId="25586" xr:uid="{CD2E2ECD-F880-4FF8-8036-32C924B1068E}"/>
    <cellStyle name="Normal 9 3 8 2 2 3" xfId="17138" xr:uid="{EB52A093-13E5-4AA4-A784-659CB3D4020A}"/>
    <cellStyle name="Normal 9 3 8 2 3" xfId="21368" xr:uid="{454878AF-5FEE-4730-AE64-C63DAEB9DB41}"/>
    <cellStyle name="Normal 9 3 8 2 4" xfId="12920" xr:uid="{FBC7589E-0549-4800-8E36-53FDDC64F6F6}"/>
    <cellStyle name="Normal 9 3 8 3" xfId="6543" xr:uid="{00000000-0005-0000-0000-000045200000}"/>
    <cellStyle name="Normal 9 3 8 3 2" xfId="23441" xr:uid="{400BC068-94FC-4585-83AE-953273C84377}"/>
    <cellStyle name="Normal 9 3 8 3 3" xfId="14993" xr:uid="{D289D637-74F3-4031-846E-7D69FE097C82}"/>
    <cellStyle name="Normal 9 3 8 4" xfId="19223" xr:uid="{34D95F9C-1B1A-43EA-97C0-4CB5ACE63E07}"/>
    <cellStyle name="Normal 9 3 8 5" xfId="10775" xr:uid="{2172C1FB-2905-4769-9269-CDC1463CFE12}"/>
    <cellStyle name="Normal 9 3 9" xfId="2673" xr:uid="{00000000-0005-0000-0000-000046200000}"/>
    <cellStyle name="Normal 9 3 9 2" xfId="6956" xr:uid="{00000000-0005-0000-0000-000047200000}"/>
    <cellStyle name="Normal 9 3 9 2 2" xfId="23854" xr:uid="{19F02D7D-D696-4AEE-B0AB-F2AA489D1CA1}"/>
    <cellStyle name="Normal 9 3 9 2 3" xfId="15406" xr:uid="{B937A2F3-A495-4CC6-81D8-072AEA5E886A}"/>
    <cellStyle name="Normal 9 3 9 3" xfId="19636" xr:uid="{61A716EF-227B-4D6F-AA48-2D81E0467066}"/>
    <cellStyle name="Normal 9 3 9 4" xfId="11188" xr:uid="{53B1D3C3-D2AA-4841-8936-59BF6C60E45C}"/>
    <cellStyle name="Normal 9 4" xfId="535" xr:uid="{00000000-0005-0000-0000-000048200000}"/>
    <cellStyle name="Normal 9 4 2" xfId="1002" xr:uid="{00000000-0005-0000-0000-000049200000}"/>
    <cellStyle name="Normal 9 5" xfId="536" xr:uid="{00000000-0005-0000-0000-00004A200000}"/>
    <cellStyle name="Normal 9 5 10" xfId="9131" xr:uid="{20732507-FD54-4C17-8D1F-C8B7046714FF}"/>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2 2 2" xfId="24356" xr:uid="{FA23310F-16F7-4D3A-9546-1AACF7606C70}"/>
    <cellStyle name="Normal 9 5 2 2 2 2 3" xfId="15908" xr:uid="{89C7CFB2-3BEE-4056-AC7B-5AD5F58F7FBB}"/>
    <cellStyle name="Normal 9 5 2 2 2 3" xfId="20138" xr:uid="{FE4E17CB-6BD8-4080-BA8A-1356B42457F6}"/>
    <cellStyle name="Normal 9 5 2 2 2 4" xfId="11690" xr:uid="{17C7EAFE-1A0C-4273-B4A3-2BD47232EC59}"/>
    <cellStyle name="Normal 9 5 2 2 3" xfId="5313" xr:uid="{00000000-0005-0000-0000-00004F200000}"/>
    <cellStyle name="Normal 9 5 2 2 3 2" xfId="22211" xr:uid="{72E8CE99-1676-4234-80B0-3814096AB574}"/>
    <cellStyle name="Normal 9 5 2 2 3 3" xfId="13763" xr:uid="{26D63EF9-55D2-4F90-AB6A-C5C2653E0D87}"/>
    <cellStyle name="Normal 9 5 2 2 4" xfId="17993" xr:uid="{75053393-1CF3-40D8-9581-AD267A8AA106}"/>
    <cellStyle name="Normal 9 5 2 2 5" xfId="9545" xr:uid="{EF67C6F0-240B-4A17-8249-66874FDC2642}"/>
    <cellStyle name="Normal 9 5 2 3" xfId="1419" xr:uid="{00000000-0005-0000-0000-000050200000}"/>
    <cellStyle name="Normal 9 5 2 3 2" xfId="3649" xr:uid="{00000000-0005-0000-0000-000051200000}"/>
    <cellStyle name="Normal 9 5 2 3 2 2" xfId="7871" xr:uid="{00000000-0005-0000-0000-000052200000}"/>
    <cellStyle name="Normal 9 5 2 3 2 2 2" xfId="24769" xr:uid="{38A5B689-3782-4C87-97E5-BF946D35A83F}"/>
    <cellStyle name="Normal 9 5 2 3 2 2 3" xfId="16321" xr:uid="{5D6F97AB-3B7D-4876-AB24-D1FC8175DBE3}"/>
    <cellStyle name="Normal 9 5 2 3 2 3" xfId="20551" xr:uid="{4B6FC16F-FE44-449B-8107-E727E0913F33}"/>
    <cellStyle name="Normal 9 5 2 3 2 4" xfId="12103" xr:uid="{09ABCB70-639C-40BC-BBD5-494AD10D1C47}"/>
    <cellStyle name="Normal 9 5 2 3 3" xfId="5726" xr:uid="{00000000-0005-0000-0000-000053200000}"/>
    <cellStyle name="Normal 9 5 2 3 3 2" xfId="22624" xr:uid="{C23F2AF1-5284-43F1-855E-5A55D458CB9E}"/>
    <cellStyle name="Normal 9 5 2 3 3 3" xfId="14176" xr:uid="{19198E33-D7B1-42FF-A230-394FFDA3E08F}"/>
    <cellStyle name="Normal 9 5 2 3 4" xfId="18406" xr:uid="{A5E4287B-9C64-4154-893E-66099AF779CE}"/>
    <cellStyle name="Normal 9 5 2 3 5" xfId="9958" xr:uid="{276D25E0-16F8-41F0-ACFF-E4E91B183830}"/>
    <cellStyle name="Normal 9 5 2 4" xfId="1832" xr:uid="{00000000-0005-0000-0000-000054200000}"/>
    <cellStyle name="Normal 9 5 2 4 2" xfId="4062" xr:uid="{00000000-0005-0000-0000-000055200000}"/>
    <cellStyle name="Normal 9 5 2 4 2 2" xfId="8284" xr:uid="{00000000-0005-0000-0000-000056200000}"/>
    <cellStyle name="Normal 9 5 2 4 2 2 2" xfId="25182" xr:uid="{CD10AE78-3A6E-4E4A-85DB-6DD7A0522FCD}"/>
    <cellStyle name="Normal 9 5 2 4 2 2 3" xfId="16734" xr:uid="{C3EF492C-5F0E-4DB9-A10E-1C9146CDEED3}"/>
    <cellStyle name="Normal 9 5 2 4 2 3" xfId="20964" xr:uid="{2C3BC4C4-3FD0-404A-8F01-D25B133173A2}"/>
    <cellStyle name="Normal 9 5 2 4 2 4" xfId="12516" xr:uid="{EA3AC686-B701-4CDD-88CB-D8357CF167A7}"/>
    <cellStyle name="Normal 9 5 2 4 3" xfId="6139" xr:uid="{00000000-0005-0000-0000-000057200000}"/>
    <cellStyle name="Normal 9 5 2 4 3 2" xfId="23037" xr:uid="{4447FBE2-40AD-4D9E-8925-0D617DF7AADD}"/>
    <cellStyle name="Normal 9 5 2 4 3 3" xfId="14589" xr:uid="{CFF1B310-A326-4A78-A60E-B7E689CAFAD7}"/>
    <cellStyle name="Normal 9 5 2 4 4" xfId="18819" xr:uid="{3AF6B9A6-A742-4A0C-9418-06877238DB5D}"/>
    <cellStyle name="Normal 9 5 2 4 5" xfId="10371" xr:uid="{4B638AA6-6A7E-4DDB-8C66-AF3048683C80}"/>
    <cellStyle name="Normal 9 5 2 5" xfId="2246" xr:uid="{00000000-0005-0000-0000-000058200000}"/>
    <cellStyle name="Normal 9 5 2 5 2" xfId="4475" xr:uid="{00000000-0005-0000-0000-000059200000}"/>
    <cellStyle name="Normal 9 5 2 5 2 2" xfId="8697" xr:uid="{00000000-0005-0000-0000-00005A200000}"/>
    <cellStyle name="Normal 9 5 2 5 2 2 2" xfId="25595" xr:uid="{E0EFD39D-7199-4870-9E0E-220050295321}"/>
    <cellStyle name="Normal 9 5 2 5 2 2 3" xfId="17147" xr:uid="{47AC4650-F598-482D-885E-431FBCFE6BA3}"/>
    <cellStyle name="Normal 9 5 2 5 2 3" xfId="21377" xr:uid="{F74E601F-AE44-4E24-A962-6C76C20CFA38}"/>
    <cellStyle name="Normal 9 5 2 5 2 4" xfId="12929" xr:uid="{0C2D03F4-5A07-4C66-8425-6416A5C4D335}"/>
    <cellStyle name="Normal 9 5 2 5 3" xfId="6552" xr:uid="{00000000-0005-0000-0000-00005B200000}"/>
    <cellStyle name="Normal 9 5 2 5 3 2" xfId="23450" xr:uid="{58938672-951F-4AF6-A9D1-275F35D50EE1}"/>
    <cellStyle name="Normal 9 5 2 5 3 3" xfId="15002" xr:uid="{82822D92-06B6-40A1-8BC1-9706D749E1FA}"/>
    <cellStyle name="Normal 9 5 2 5 4" xfId="19232" xr:uid="{D154F06B-4F8F-4C99-B0DF-721083455612}"/>
    <cellStyle name="Normal 9 5 2 5 5" xfId="10784" xr:uid="{A4AD695B-6EA8-4F15-81E9-5BCC67D0F99A}"/>
    <cellStyle name="Normal 9 5 2 6" xfId="2682" xr:uid="{00000000-0005-0000-0000-00005C200000}"/>
    <cellStyle name="Normal 9 5 2 6 2" xfId="6965" xr:uid="{00000000-0005-0000-0000-00005D200000}"/>
    <cellStyle name="Normal 9 5 2 6 2 2" xfId="23863" xr:uid="{E79F464A-9040-4165-A811-DCE761279221}"/>
    <cellStyle name="Normal 9 5 2 6 2 3" xfId="15415" xr:uid="{BD290343-C6B1-483E-BF98-66B6F37A04C7}"/>
    <cellStyle name="Normal 9 5 2 6 3" xfId="19645" xr:uid="{2D840E38-2E76-4584-9509-6BC9728AFB2D}"/>
    <cellStyle name="Normal 9 5 2 6 4" xfId="11197" xr:uid="{30F211B7-6944-4F0E-8A8F-9F8AF8FF5B39}"/>
    <cellStyle name="Normal 9 5 2 7" xfId="4900" xr:uid="{00000000-0005-0000-0000-00005E200000}"/>
    <cellStyle name="Normal 9 5 2 7 2" xfId="21798" xr:uid="{14FA4A86-6788-4C2F-BA05-AC8174D4CD92}"/>
    <cellStyle name="Normal 9 5 2 7 3" xfId="13350" xr:uid="{3C3E5734-C70E-4D3A-B4B4-913D9EAD56B9}"/>
    <cellStyle name="Normal 9 5 2 8" xfId="17580" xr:uid="{1D6AC03B-1A58-47A8-9614-E494A615352D}"/>
    <cellStyle name="Normal 9 5 2 9" xfId="9132" xr:uid="{6C0C40CA-2357-43E2-BE7C-ED76EEDB5EA9}"/>
    <cellStyle name="Normal 9 5 3" xfId="1003" xr:uid="{00000000-0005-0000-0000-00005F200000}"/>
    <cellStyle name="Normal 9 5 3 2" xfId="3235" xr:uid="{00000000-0005-0000-0000-000060200000}"/>
    <cellStyle name="Normal 9 5 3 2 2" xfId="7457" xr:uid="{00000000-0005-0000-0000-000061200000}"/>
    <cellStyle name="Normal 9 5 3 2 2 2" xfId="24355" xr:uid="{45028812-3852-4E0B-A85C-F33068A476B5}"/>
    <cellStyle name="Normal 9 5 3 2 2 3" xfId="15907" xr:uid="{6A50CD0A-CC0B-49FE-AF2C-2B58AC8BD780}"/>
    <cellStyle name="Normal 9 5 3 2 3" xfId="20137" xr:uid="{839F3434-2516-4736-9F86-04D6D58E9769}"/>
    <cellStyle name="Normal 9 5 3 2 4" xfId="11689" xr:uid="{80D272D7-78EA-4649-B3A5-9FFAD8A25CD3}"/>
    <cellStyle name="Normal 9 5 3 3" xfId="5312" xr:uid="{00000000-0005-0000-0000-000062200000}"/>
    <cellStyle name="Normal 9 5 3 3 2" xfId="22210" xr:uid="{1A01E86C-D62C-4B42-AB78-7D6A55B5E84F}"/>
    <cellStyle name="Normal 9 5 3 3 3" xfId="13762" xr:uid="{9F59323A-4D81-4CAD-BDDA-B8B7C16DEED1}"/>
    <cellStyle name="Normal 9 5 3 4" xfId="17992" xr:uid="{6B32A3D4-6790-4ACC-8862-6826C8DFD093}"/>
    <cellStyle name="Normal 9 5 3 5" xfId="9544" xr:uid="{445E396D-7EDE-4B84-9F87-F5ED5A461BDF}"/>
    <cellStyle name="Normal 9 5 4" xfId="1418" xr:uid="{00000000-0005-0000-0000-000063200000}"/>
    <cellStyle name="Normal 9 5 4 2" xfId="3648" xr:uid="{00000000-0005-0000-0000-000064200000}"/>
    <cellStyle name="Normal 9 5 4 2 2" xfId="7870" xr:uid="{00000000-0005-0000-0000-000065200000}"/>
    <cellStyle name="Normal 9 5 4 2 2 2" xfId="24768" xr:uid="{EF3F9ADC-EA84-4127-A87A-1105B5B90EEB}"/>
    <cellStyle name="Normal 9 5 4 2 2 3" xfId="16320" xr:uid="{BFDCE50B-EDBB-4ED0-8171-F94F8AE980B0}"/>
    <cellStyle name="Normal 9 5 4 2 3" xfId="20550" xr:uid="{88C9B4BE-BEBF-4625-AB76-83785FA61E9A}"/>
    <cellStyle name="Normal 9 5 4 2 4" xfId="12102" xr:uid="{CD82974B-906A-417D-8FD6-368C522A6BD9}"/>
    <cellStyle name="Normal 9 5 4 3" xfId="5725" xr:uid="{00000000-0005-0000-0000-000066200000}"/>
    <cellStyle name="Normal 9 5 4 3 2" xfId="22623" xr:uid="{61430F2E-AE19-4C77-945D-03E22D75126A}"/>
    <cellStyle name="Normal 9 5 4 3 3" xfId="14175" xr:uid="{B865CDA2-5928-4EFA-A0FE-5CD3579CBBAF}"/>
    <cellStyle name="Normal 9 5 4 4" xfId="18405" xr:uid="{5635B180-CD85-4A39-A5B9-378D1F0E344A}"/>
    <cellStyle name="Normal 9 5 4 5" xfId="9957" xr:uid="{0F84E7DF-CA30-46F8-B50A-8F1833C433F6}"/>
    <cellStyle name="Normal 9 5 5" xfId="1831" xr:uid="{00000000-0005-0000-0000-000067200000}"/>
    <cellStyle name="Normal 9 5 5 2" xfId="4061" xr:uid="{00000000-0005-0000-0000-000068200000}"/>
    <cellStyle name="Normal 9 5 5 2 2" xfId="8283" xr:uid="{00000000-0005-0000-0000-000069200000}"/>
    <cellStyle name="Normal 9 5 5 2 2 2" xfId="25181" xr:uid="{7817DED4-8616-4203-AB8F-FDDE32DA3756}"/>
    <cellStyle name="Normal 9 5 5 2 2 3" xfId="16733" xr:uid="{7B7AD649-5A53-436C-B418-EE75789AE137}"/>
    <cellStyle name="Normal 9 5 5 2 3" xfId="20963" xr:uid="{EE440F32-6EF2-4015-AE08-294D1FEAF093}"/>
    <cellStyle name="Normal 9 5 5 2 4" xfId="12515" xr:uid="{98D82654-4BB7-49D9-BF54-BCDEF9FDFF78}"/>
    <cellStyle name="Normal 9 5 5 3" xfId="6138" xr:uid="{00000000-0005-0000-0000-00006A200000}"/>
    <cellStyle name="Normal 9 5 5 3 2" xfId="23036" xr:uid="{4D47A94D-8BCD-4FEB-A4F3-AB4ED5C53467}"/>
    <cellStyle name="Normal 9 5 5 3 3" xfId="14588" xr:uid="{8D758B18-0811-447E-A606-EAB6A2785889}"/>
    <cellStyle name="Normal 9 5 5 4" xfId="18818" xr:uid="{75445187-2A50-4BF5-8D24-8AC78E8D13E4}"/>
    <cellStyle name="Normal 9 5 5 5" xfId="10370" xr:uid="{8F1EE0B9-87C6-410E-B220-1B5A10DE60D5}"/>
    <cellStyle name="Normal 9 5 6" xfId="2245" xr:uid="{00000000-0005-0000-0000-00006B200000}"/>
    <cellStyle name="Normal 9 5 6 2" xfId="4474" xr:uid="{00000000-0005-0000-0000-00006C200000}"/>
    <cellStyle name="Normal 9 5 6 2 2" xfId="8696" xr:uid="{00000000-0005-0000-0000-00006D200000}"/>
    <cellStyle name="Normal 9 5 6 2 2 2" xfId="25594" xr:uid="{7182B510-E40A-498E-8DB8-A36902E0A4A4}"/>
    <cellStyle name="Normal 9 5 6 2 2 3" xfId="17146" xr:uid="{77FD427A-4F16-406B-83C9-4E1F79E9B092}"/>
    <cellStyle name="Normal 9 5 6 2 3" xfId="21376" xr:uid="{961A91BD-BEE0-43BE-B7D7-7C206F2BD215}"/>
    <cellStyle name="Normal 9 5 6 2 4" xfId="12928" xr:uid="{3846D1AB-B663-4B58-B1B5-1DBD4B501F97}"/>
    <cellStyle name="Normal 9 5 6 3" xfId="6551" xr:uid="{00000000-0005-0000-0000-00006E200000}"/>
    <cellStyle name="Normal 9 5 6 3 2" xfId="23449" xr:uid="{A7EC53B5-BCDF-4A17-B735-F126D7DB35BD}"/>
    <cellStyle name="Normal 9 5 6 3 3" xfId="15001" xr:uid="{A42D62DB-A8DE-4AEB-9C94-966A1C833D07}"/>
    <cellStyle name="Normal 9 5 6 4" xfId="19231" xr:uid="{6B993762-B927-484F-B2A1-EFB7CDE5A312}"/>
    <cellStyle name="Normal 9 5 6 5" xfId="10783" xr:uid="{5B00246C-A0FD-4D50-8242-4C503186A44E}"/>
    <cellStyle name="Normal 9 5 7" xfId="2681" xr:uid="{00000000-0005-0000-0000-00006F200000}"/>
    <cellStyle name="Normal 9 5 7 2" xfId="6964" xr:uid="{00000000-0005-0000-0000-000070200000}"/>
    <cellStyle name="Normal 9 5 7 2 2" xfId="23862" xr:uid="{AF4E7D69-D87E-49D5-8C83-D61FC0E25321}"/>
    <cellStyle name="Normal 9 5 7 2 3" xfId="15414" xr:uid="{40D4B988-EF10-45C2-B1CB-506C9E20DDAA}"/>
    <cellStyle name="Normal 9 5 7 3" xfId="19644" xr:uid="{81B1E08C-326F-45E3-B01D-A49A6ED88359}"/>
    <cellStyle name="Normal 9 5 7 4" xfId="11196" xr:uid="{4A316971-2EE3-4C9B-8F5B-D8B3A2BB221B}"/>
    <cellStyle name="Normal 9 5 8" xfId="4899" xr:uid="{00000000-0005-0000-0000-000071200000}"/>
    <cellStyle name="Normal 9 5 8 2" xfId="21797" xr:uid="{C1FB6EF0-2A5D-4D11-8BC2-C0B2BAAF7ABC}"/>
    <cellStyle name="Normal 9 5 8 3" xfId="13349" xr:uid="{BFF85879-C6F6-423F-84C7-F2D6950C1D1C}"/>
    <cellStyle name="Normal 9 5 9" xfId="17579" xr:uid="{E5D58CB2-104A-4610-982E-BF74FA690004}"/>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2 2 2" xfId="24357" xr:uid="{7A780CB5-D9A9-4DCB-89E0-7254E9B82680}"/>
    <cellStyle name="Normal 9 6 2 2 2 3" xfId="15909" xr:uid="{FC802971-D8B2-4150-AAF9-8BC187CADC57}"/>
    <cellStyle name="Normal 9 6 2 2 3" xfId="20139" xr:uid="{B578EA7A-0BBB-468A-9637-3D3471A50157}"/>
    <cellStyle name="Normal 9 6 2 2 4" xfId="11691" xr:uid="{FC0D6F25-B8D3-4871-A225-500DA2EFE299}"/>
    <cellStyle name="Normal 9 6 2 3" xfId="5314" xr:uid="{00000000-0005-0000-0000-000076200000}"/>
    <cellStyle name="Normal 9 6 2 3 2" xfId="22212" xr:uid="{42995E41-5379-4EC1-A3A5-529A4DA632C7}"/>
    <cellStyle name="Normal 9 6 2 3 3" xfId="13764" xr:uid="{B2A0B4E6-4CBD-414E-9029-C9DA320899CB}"/>
    <cellStyle name="Normal 9 6 2 4" xfId="17994" xr:uid="{8DD62D5D-4187-405F-A953-52EFEB8C0D87}"/>
    <cellStyle name="Normal 9 6 2 5" xfId="9546" xr:uid="{CE528716-77C3-48CF-8DF6-AB7C4A1F9991}"/>
    <cellStyle name="Normal 9 6 3" xfId="1420" xr:uid="{00000000-0005-0000-0000-000077200000}"/>
    <cellStyle name="Normal 9 6 3 2" xfId="3650" xr:uid="{00000000-0005-0000-0000-000078200000}"/>
    <cellStyle name="Normal 9 6 3 2 2" xfId="7872" xr:uid="{00000000-0005-0000-0000-000079200000}"/>
    <cellStyle name="Normal 9 6 3 2 2 2" xfId="24770" xr:uid="{7208E5B8-5186-45C0-BC01-5EC5BCF05B4A}"/>
    <cellStyle name="Normal 9 6 3 2 2 3" xfId="16322" xr:uid="{9DCC74CE-B949-46C8-90D3-252A9B761FBB}"/>
    <cellStyle name="Normal 9 6 3 2 3" xfId="20552" xr:uid="{4F29C309-985B-4A20-95CA-47E836EAB65E}"/>
    <cellStyle name="Normal 9 6 3 2 4" xfId="12104" xr:uid="{DB1A85EC-17E2-4B55-83F3-A659CA7150B7}"/>
    <cellStyle name="Normal 9 6 3 3" xfId="5727" xr:uid="{00000000-0005-0000-0000-00007A200000}"/>
    <cellStyle name="Normal 9 6 3 3 2" xfId="22625" xr:uid="{C6774B9D-CAC8-4361-B9E9-F1C804B4894D}"/>
    <cellStyle name="Normal 9 6 3 3 3" xfId="14177" xr:uid="{5154A45B-DE13-49CF-972B-31C9A8C8E7FC}"/>
    <cellStyle name="Normal 9 6 3 4" xfId="18407" xr:uid="{9E568ECA-6395-401C-A046-3118E86D1547}"/>
    <cellStyle name="Normal 9 6 3 5" xfId="9959" xr:uid="{D98ECA49-65D3-47B5-8D7C-601E6A204720}"/>
    <cellStyle name="Normal 9 6 4" xfId="1833" xr:uid="{00000000-0005-0000-0000-00007B200000}"/>
    <cellStyle name="Normal 9 6 4 2" xfId="4063" xr:uid="{00000000-0005-0000-0000-00007C200000}"/>
    <cellStyle name="Normal 9 6 4 2 2" xfId="8285" xr:uid="{00000000-0005-0000-0000-00007D200000}"/>
    <cellStyle name="Normal 9 6 4 2 2 2" xfId="25183" xr:uid="{59971D6B-3E1D-43C3-91E2-1A9E85789221}"/>
    <cellStyle name="Normal 9 6 4 2 2 3" xfId="16735" xr:uid="{02646994-BDD5-4839-B939-5698472C103E}"/>
    <cellStyle name="Normal 9 6 4 2 3" xfId="20965" xr:uid="{B3188182-C444-470B-9260-882D1FAFE83C}"/>
    <cellStyle name="Normal 9 6 4 2 4" xfId="12517" xr:uid="{322F835B-1FAD-444B-8B42-2208B4C30E45}"/>
    <cellStyle name="Normal 9 6 4 3" xfId="6140" xr:uid="{00000000-0005-0000-0000-00007E200000}"/>
    <cellStyle name="Normal 9 6 4 3 2" xfId="23038" xr:uid="{1CBA9C09-75C1-44FE-8372-17BE4939D321}"/>
    <cellStyle name="Normal 9 6 4 3 3" xfId="14590" xr:uid="{C52077EE-4920-4C36-9882-702887CA1826}"/>
    <cellStyle name="Normal 9 6 4 4" xfId="18820" xr:uid="{BAE4995C-AFA7-4FFF-867F-36BF1E78FF1F}"/>
    <cellStyle name="Normal 9 6 4 5" xfId="10372" xr:uid="{598FC453-DC27-471C-89E2-39C984F03453}"/>
    <cellStyle name="Normal 9 6 5" xfId="2247" xr:uid="{00000000-0005-0000-0000-00007F200000}"/>
    <cellStyle name="Normal 9 6 5 2" xfId="4476" xr:uid="{00000000-0005-0000-0000-000080200000}"/>
    <cellStyle name="Normal 9 6 5 2 2" xfId="8698" xr:uid="{00000000-0005-0000-0000-000081200000}"/>
    <cellStyle name="Normal 9 6 5 2 2 2" xfId="25596" xr:uid="{85F9CA44-2379-4882-BE43-2F1ECCCB26BC}"/>
    <cellStyle name="Normal 9 6 5 2 2 3" xfId="17148" xr:uid="{02575DB5-E4A3-4114-9C32-78DEE2E47104}"/>
    <cellStyle name="Normal 9 6 5 2 3" xfId="21378" xr:uid="{C274B379-F22D-465B-BFD3-9EB8B85C86A7}"/>
    <cellStyle name="Normal 9 6 5 2 4" xfId="12930" xr:uid="{217D3E33-C3B6-4598-A3A0-657200C923FE}"/>
    <cellStyle name="Normal 9 6 5 3" xfId="6553" xr:uid="{00000000-0005-0000-0000-000082200000}"/>
    <cellStyle name="Normal 9 6 5 3 2" xfId="23451" xr:uid="{7D2740AE-6DAA-442C-8036-6738831D2E36}"/>
    <cellStyle name="Normal 9 6 5 3 3" xfId="15003" xr:uid="{DFA94460-646A-448D-A621-7FDD41A4555B}"/>
    <cellStyle name="Normal 9 6 5 4" xfId="19233" xr:uid="{62491887-1724-4414-847A-4DC9EE75B7E1}"/>
    <cellStyle name="Normal 9 6 5 5" xfId="10785" xr:uid="{86EB3AAC-8AD8-4806-824E-C702CA45B690}"/>
    <cellStyle name="Normal 9 6 6" xfId="2683" xr:uid="{00000000-0005-0000-0000-000083200000}"/>
    <cellStyle name="Normal 9 6 6 2" xfId="6966" xr:uid="{00000000-0005-0000-0000-000084200000}"/>
    <cellStyle name="Normal 9 6 6 2 2" xfId="23864" xr:uid="{5CB33261-12A4-462A-8389-8B404054310C}"/>
    <cellStyle name="Normal 9 6 6 2 3" xfId="15416" xr:uid="{20F2C202-4A17-4773-9F84-D4765CCC995E}"/>
    <cellStyle name="Normal 9 6 6 3" xfId="19646" xr:uid="{7420F25B-08D8-454D-9BE1-A355211A79ED}"/>
    <cellStyle name="Normal 9 6 6 4" xfId="11198" xr:uid="{90F990EA-5E2B-4393-B4B8-4BE9DDB80BD5}"/>
    <cellStyle name="Normal 9 6 7" xfId="4901" xr:uid="{00000000-0005-0000-0000-000085200000}"/>
    <cellStyle name="Normal 9 6 7 2" xfId="21799" xr:uid="{2BF28F06-1C03-434B-83AB-61C9340E5AAC}"/>
    <cellStyle name="Normal 9 6 7 3" xfId="13351" xr:uid="{DA266C86-D3AB-4012-9849-CBA45863F059}"/>
    <cellStyle name="Normal 9 6 8" xfId="17581" xr:uid="{B49B45AE-BA9E-40E4-8D25-77B792A5E5F4}"/>
    <cellStyle name="Normal 9 6 9" xfId="9133" xr:uid="{D16729CD-127C-478F-883B-8EBE3D300AA1}"/>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23945" xr:uid="{5D8E4F81-A161-4819-B14A-17D6E3BFEA5F}"/>
    <cellStyle name="Note 2 2 10 2 3" xfId="15497" xr:uid="{C39EEDCD-8BFA-4CE5-B586-6A616699E23F}"/>
    <cellStyle name="Note 2 2 10 3" xfId="19727" xr:uid="{E2789C3E-4713-462F-B138-927DEEF6B4BC}"/>
    <cellStyle name="Note 2 2 10 4" xfId="11279" xr:uid="{D8883544-6244-4E98-8C4C-136C6E17D34A}"/>
    <cellStyle name="Note 2 2 11" xfId="4902" xr:uid="{00000000-0005-0000-0000-000094200000}"/>
    <cellStyle name="Note 2 2 11 2" xfId="21800" xr:uid="{768C84E0-DB0C-46B9-A0F6-ADBAE98E1405}"/>
    <cellStyle name="Note 2 2 11 3" xfId="13352" xr:uid="{9EC16CC7-5B9F-47CD-836C-A4586E781A99}"/>
    <cellStyle name="Note 2 2 12" xfId="17582" xr:uid="{92E5A110-2B06-451C-A9A6-D52660DED270}"/>
    <cellStyle name="Note 2 2 13" xfId="9134" xr:uid="{2788744F-DEB4-485F-89A7-D2B31AD07509}"/>
    <cellStyle name="Note 2 2 2" xfId="546" xr:uid="{00000000-0005-0000-0000-000095200000}"/>
    <cellStyle name="Note 2 2 2 10" xfId="4903" xr:uid="{00000000-0005-0000-0000-000096200000}"/>
    <cellStyle name="Note 2 2 2 10 2" xfId="21801" xr:uid="{EF2C0EC6-E008-4015-B954-9E336A22BCF3}"/>
    <cellStyle name="Note 2 2 2 10 3" xfId="13353" xr:uid="{F13B5F0F-E833-479D-B6F8-F19C3A2E1056}"/>
    <cellStyle name="Note 2 2 2 11" xfId="17583" xr:uid="{BBD719EB-AA30-48DE-B8CC-18746600867E}"/>
    <cellStyle name="Note 2 2 2 12" xfId="9135" xr:uid="{493A260F-6B34-4979-97E1-14E9D9B6536D}"/>
    <cellStyle name="Note 2 2 2 2" xfId="547" xr:uid="{00000000-0005-0000-0000-000097200000}"/>
    <cellStyle name="Note 2 2 2 2 10" xfId="17584" xr:uid="{C7B43713-26A9-46A8-82E5-5943EA435A6E}"/>
    <cellStyle name="Note 2 2 2 2 11" xfId="9136" xr:uid="{CAF44810-6E95-48A3-9906-87752B3C5A52}"/>
    <cellStyle name="Note 2 2 2 2 2" xfId="1008" xr:uid="{00000000-0005-0000-0000-000098200000}"/>
    <cellStyle name="Note 2 2 2 2 2 2" xfId="3240" xr:uid="{00000000-0005-0000-0000-000099200000}"/>
    <cellStyle name="Note 2 2 2 2 2 2 2" xfId="7462" xr:uid="{00000000-0005-0000-0000-00009A200000}"/>
    <cellStyle name="Note 2 2 2 2 2 2 2 2" xfId="24360" xr:uid="{49CC0C91-D7F0-42C5-86AF-56920BC80DFF}"/>
    <cellStyle name="Note 2 2 2 2 2 2 2 3" xfId="15912" xr:uid="{B9386FB6-826E-4E63-992B-AE9DAB8AD798}"/>
    <cellStyle name="Note 2 2 2 2 2 2 3" xfId="20142" xr:uid="{C393BAE1-BF3E-4CDA-8F53-A1EA32FE7B6A}"/>
    <cellStyle name="Note 2 2 2 2 2 2 4" xfId="11694" xr:uid="{9BC52381-1365-48AC-A816-B22139F31A06}"/>
    <cellStyle name="Note 2 2 2 2 2 3" xfId="5317" xr:uid="{00000000-0005-0000-0000-00009B200000}"/>
    <cellStyle name="Note 2 2 2 2 2 3 2" xfId="22215" xr:uid="{C7482593-6EE8-4F0A-91AE-448A88F92B66}"/>
    <cellStyle name="Note 2 2 2 2 2 3 3" xfId="13767" xr:uid="{C2372CCC-B79B-419B-B6A8-1F4BD4E5C101}"/>
    <cellStyle name="Note 2 2 2 2 2 4" xfId="17997" xr:uid="{8EDA90DD-7AAD-466B-BFB3-977BA0480419}"/>
    <cellStyle name="Note 2 2 2 2 2 5" xfId="9549" xr:uid="{67734708-A9AB-4BB1-B0F5-5E437EDB002F}"/>
    <cellStyle name="Note 2 2 2 2 3" xfId="1423" xr:uid="{00000000-0005-0000-0000-00009C200000}"/>
    <cellStyle name="Note 2 2 2 2 3 2" xfId="3653" xr:uid="{00000000-0005-0000-0000-00009D200000}"/>
    <cellStyle name="Note 2 2 2 2 3 2 2" xfId="7875" xr:uid="{00000000-0005-0000-0000-00009E200000}"/>
    <cellStyle name="Note 2 2 2 2 3 2 2 2" xfId="24773" xr:uid="{229CD6FC-80AB-4B25-A861-D1837A945881}"/>
    <cellStyle name="Note 2 2 2 2 3 2 2 3" xfId="16325" xr:uid="{A0E0AFE2-57F8-4C6B-92FA-41063C4A84ED}"/>
    <cellStyle name="Note 2 2 2 2 3 2 3" xfId="20555" xr:uid="{71FBECB4-82DE-471D-B965-0E94BCD63334}"/>
    <cellStyle name="Note 2 2 2 2 3 2 4" xfId="12107" xr:uid="{8D613495-1467-4000-A212-23054A42CF74}"/>
    <cellStyle name="Note 2 2 2 2 3 3" xfId="5730" xr:uid="{00000000-0005-0000-0000-00009F200000}"/>
    <cellStyle name="Note 2 2 2 2 3 3 2" xfId="22628" xr:uid="{65285F3A-5D84-4938-A5E3-DC9815215504}"/>
    <cellStyle name="Note 2 2 2 2 3 3 3" xfId="14180" xr:uid="{C6698D0D-A12D-484A-BB93-9A44A38409E6}"/>
    <cellStyle name="Note 2 2 2 2 3 4" xfId="18410" xr:uid="{ED26A667-3AC5-47BB-90C7-93CC949D45B1}"/>
    <cellStyle name="Note 2 2 2 2 3 5" xfId="9962" xr:uid="{76C12C31-5B8D-435A-B9FB-F943F6092F10}"/>
    <cellStyle name="Note 2 2 2 2 4" xfId="1837" xr:uid="{00000000-0005-0000-0000-0000A0200000}"/>
    <cellStyle name="Note 2 2 2 2 4 2" xfId="4066" xr:uid="{00000000-0005-0000-0000-0000A1200000}"/>
    <cellStyle name="Note 2 2 2 2 4 2 2" xfId="8288" xr:uid="{00000000-0005-0000-0000-0000A2200000}"/>
    <cellStyle name="Note 2 2 2 2 4 2 2 2" xfId="25186" xr:uid="{05BB310F-0C73-41B1-AC82-39364BC806D6}"/>
    <cellStyle name="Note 2 2 2 2 4 2 2 3" xfId="16738" xr:uid="{85A960B6-52C4-4092-839E-84919C9647A4}"/>
    <cellStyle name="Note 2 2 2 2 4 2 3" xfId="20968" xr:uid="{FA92A02F-78E6-44AB-BE0D-57F498275968}"/>
    <cellStyle name="Note 2 2 2 2 4 2 4" xfId="12520" xr:uid="{A1C82D5A-C7F5-4F37-AAD3-B11AC511814E}"/>
    <cellStyle name="Note 2 2 2 2 4 3" xfId="6143" xr:uid="{00000000-0005-0000-0000-0000A3200000}"/>
    <cellStyle name="Note 2 2 2 2 4 3 2" xfId="23041" xr:uid="{6AD8E80C-74D1-4CA9-A885-5E7AB52371EA}"/>
    <cellStyle name="Note 2 2 2 2 4 3 3" xfId="14593" xr:uid="{67317416-52D6-4D7A-BE97-5FE1B143540C}"/>
    <cellStyle name="Note 2 2 2 2 4 4" xfId="18823" xr:uid="{2FB50059-370D-4920-8482-FD3856EB8742}"/>
    <cellStyle name="Note 2 2 2 2 4 5" xfId="10375" xr:uid="{ED9EEC37-B437-4F2A-99A3-C159E517FE79}"/>
    <cellStyle name="Note 2 2 2 2 5" xfId="2250" xr:uid="{00000000-0005-0000-0000-0000A4200000}"/>
    <cellStyle name="Note 2 2 2 2 5 2" xfId="4479" xr:uid="{00000000-0005-0000-0000-0000A5200000}"/>
    <cellStyle name="Note 2 2 2 2 5 2 2" xfId="8701" xr:uid="{00000000-0005-0000-0000-0000A6200000}"/>
    <cellStyle name="Note 2 2 2 2 5 2 2 2" xfId="25599" xr:uid="{046E16EC-2759-47C4-98FC-0E646362901E}"/>
    <cellStyle name="Note 2 2 2 2 5 2 2 3" xfId="17151" xr:uid="{18538F88-1BF6-4153-AF66-BEB7536E4CDD}"/>
    <cellStyle name="Note 2 2 2 2 5 2 3" xfId="21381" xr:uid="{8EFC6D3A-649C-47CC-B5A3-3A8313CDB13D}"/>
    <cellStyle name="Note 2 2 2 2 5 2 4" xfId="12933" xr:uid="{A89D7473-39BA-4642-BB5B-984A19D572F8}"/>
    <cellStyle name="Note 2 2 2 2 5 3" xfId="6556" xr:uid="{00000000-0005-0000-0000-0000A7200000}"/>
    <cellStyle name="Note 2 2 2 2 5 3 2" xfId="23454" xr:uid="{554638B3-E18D-4CF8-BFFE-F05ED260A8E2}"/>
    <cellStyle name="Note 2 2 2 2 5 3 3" xfId="15006" xr:uid="{08303116-6F29-4BB8-BEBA-444682615C7F}"/>
    <cellStyle name="Note 2 2 2 2 5 4" xfId="19236" xr:uid="{9B700E66-9C94-41BD-9CDE-FA5B4E5ED408}"/>
    <cellStyle name="Note 2 2 2 2 5 5" xfId="10788" xr:uid="{0E9635C9-C9F0-4704-9C71-992834076722}"/>
    <cellStyle name="Note 2 2 2 2 6" xfId="2686" xr:uid="{00000000-0005-0000-0000-0000A8200000}"/>
    <cellStyle name="Note 2 2 2 2 6 2" xfId="6969" xr:uid="{00000000-0005-0000-0000-0000A9200000}"/>
    <cellStyle name="Note 2 2 2 2 6 2 2" xfId="23867" xr:uid="{C0C5BE34-828E-47EB-97B2-952DF25F85F2}"/>
    <cellStyle name="Note 2 2 2 2 6 2 3" xfId="15419" xr:uid="{D452CDFB-FEF7-4AC3-8166-5E772C072670}"/>
    <cellStyle name="Note 2 2 2 2 6 3" xfId="19649" xr:uid="{1F579801-FF0A-4F55-9D08-48D1665E4C51}"/>
    <cellStyle name="Note 2 2 2 2 6 4" xfId="11201" xr:uid="{6746520C-6A69-497F-B11A-3571A970D92D}"/>
    <cellStyle name="Note 2 2 2 2 7" xfId="2745" xr:uid="{00000000-0005-0000-0000-0000AA200000}"/>
    <cellStyle name="Note 2 2 2 2 8" xfId="2826" xr:uid="{00000000-0005-0000-0000-0000AB200000}"/>
    <cellStyle name="Note 2 2 2 2 8 2" xfId="7049" xr:uid="{00000000-0005-0000-0000-0000AC200000}"/>
    <cellStyle name="Note 2 2 2 2 8 2 2" xfId="23947" xr:uid="{623BF659-9892-41D6-B142-54B8FB8F0480}"/>
    <cellStyle name="Note 2 2 2 2 8 2 3" xfId="15499" xr:uid="{8FBFBC75-6D29-406F-8B14-243807982CF7}"/>
    <cellStyle name="Note 2 2 2 2 8 3" xfId="19729" xr:uid="{DD9B1025-6795-47F4-8866-F0E4EE2DFD96}"/>
    <cellStyle name="Note 2 2 2 2 8 4" xfId="11281" xr:uid="{A0D6AFEB-3A6D-4240-BE4E-C4DF6CA88189}"/>
    <cellStyle name="Note 2 2 2 2 9" xfId="4904" xr:uid="{00000000-0005-0000-0000-0000AD200000}"/>
    <cellStyle name="Note 2 2 2 2 9 2" xfId="21802" xr:uid="{87C8078E-B335-4E54-A058-3BF78A9CD5F9}"/>
    <cellStyle name="Note 2 2 2 2 9 3" xfId="13354" xr:uid="{A04887CB-F82C-4759-A438-EA36DD8A2EF1}"/>
    <cellStyle name="Note 2 2 2 3" xfId="1007" xr:uid="{00000000-0005-0000-0000-0000AE200000}"/>
    <cellStyle name="Note 2 2 2 3 2" xfId="3239" xr:uid="{00000000-0005-0000-0000-0000AF200000}"/>
    <cellStyle name="Note 2 2 2 3 2 2" xfId="7461" xr:uid="{00000000-0005-0000-0000-0000B0200000}"/>
    <cellStyle name="Note 2 2 2 3 2 2 2" xfId="24359" xr:uid="{D621FBAA-62DB-49E3-B5BC-42052715E572}"/>
    <cellStyle name="Note 2 2 2 3 2 2 3" xfId="15911" xr:uid="{EB6EB10B-C393-4A6C-9AC5-CAF3D3280C3D}"/>
    <cellStyle name="Note 2 2 2 3 2 3" xfId="20141" xr:uid="{6664E497-BF09-4006-AB4E-C2F248A5520A}"/>
    <cellStyle name="Note 2 2 2 3 2 4" xfId="11693" xr:uid="{13D7F4B0-F641-451E-B894-E0622B55B617}"/>
    <cellStyle name="Note 2 2 2 3 3" xfId="5316" xr:uid="{00000000-0005-0000-0000-0000B1200000}"/>
    <cellStyle name="Note 2 2 2 3 3 2" xfId="22214" xr:uid="{A45DE63C-148A-4453-AC65-D6110E911372}"/>
    <cellStyle name="Note 2 2 2 3 3 3" xfId="13766" xr:uid="{82B5A1BE-6DF0-434F-AD9A-9C5E0E796C69}"/>
    <cellStyle name="Note 2 2 2 3 4" xfId="17996" xr:uid="{BD3CD3D3-1EB8-4960-9203-FA74F24200FB}"/>
    <cellStyle name="Note 2 2 2 3 5" xfId="9548" xr:uid="{57902C98-AF4F-40A8-954F-BE71F4712DD5}"/>
    <cellStyle name="Note 2 2 2 4" xfId="1422" xr:uid="{00000000-0005-0000-0000-0000B2200000}"/>
    <cellStyle name="Note 2 2 2 4 2" xfId="3652" xr:uid="{00000000-0005-0000-0000-0000B3200000}"/>
    <cellStyle name="Note 2 2 2 4 2 2" xfId="7874" xr:uid="{00000000-0005-0000-0000-0000B4200000}"/>
    <cellStyle name="Note 2 2 2 4 2 2 2" xfId="24772" xr:uid="{4C9A9047-466A-413B-8CBB-1003DDFD95CB}"/>
    <cellStyle name="Note 2 2 2 4 2 2 3" xfId="16324" xr:uid="{D6CD6075-718A-4718-A147-2BA5DC469345}"/>
    <cellStyle name="Note 2 2 2 4 2 3" xfId="20554" xr:uid="{6786266D-5025-424F-AADA-1D2FAB7A4960}"/>
    <cellStyle name="Note 2 2 2 4 2 4" xfId="12106" xr:uid="{9D460DF3-A964-48A4-8E9A-A8C89ED70B0A}"/>
    <cellStyle name="Note 2 2 2 4 3" xfId="5729" xr:uid="{00000000-0005-0000-0000-0000B5200000}"/>
    <cellStyle name="Note 2 2 2 4 3 2" xfId="22627" xr:uid="{133DB88D-1395-4428-A619-B9C7F8C1C7A7}"/>
    <cellStyle name="Note 2 2 2 4 3 3" xfId="14179" xr:uid="{36CB5AD6-E3E9-4EAE-B919-BE6AB4A9E735}"/>
    <cellStyle name="Note 2 2 2 4 4" xfId="18409" xr:uid="{5CDE1F19-02C6-4F79-B4A0-CA72B9ED9359}"/>
    <cellStyle name="Note 2 2 2 4 5" xfId="9961" xr:uid="{2B9E4935-E857-413F-8B60-2690AA1F7D69}"/>
    <cellStyle name="Note 2 2 2 5" xfId="1836" xr:uid="{00000000-0005-0000-0000-0000B6200000}"/>
    <cellStyle name="Note 2 2 2 5 2" xfId="4065" xr:uid="{00000000-0005-0000-0000-0000B7200000}"/>
    <cellStyle name="Note 2 2 2 5 2 2" xfId="8287" xr:uid="{00000000-0005-0000-0000-0000B8200000}"/>
    <cellStyle name="Note 2 2 2 5 2 2 2" xfId="25185" xr:uid="{FF07590A-37A7-4AD3-8C27-1049ABC6DF20}"/>
    <cellStyle name="Note 2 2 2 5 2 2 3" xfId="16737" xr:uid="{1FE61387-D836-430C-A49F-CEDB0F41DB36}"/>
    <cellStyle name="Note 2 2 2 5 2 3" xfId="20967" xr:uid="{1C9856E3-10DD-4C3F-A09C-DE958966BEF6}"/>
    <cellStyle name="Note 2 2 2 5 2 4" xfId="12519" xr:uid="{868253E1-FFE9-4567-AA8A-44B7CF39A729}"/>
    <cellStyle name="Note 2 2 2 5 3" xfId="6142" xr:uid="{00000000-0005-0000-0000-0000B9200000}"/>
    <cellStyle name="Note 2 2 2 5 3 2" xfId="23040" xr:uid="{252B7C91-7FEE-45C0-9203-7938C8794029}"/>
    <cellStyle name="Note 2 2 2 5 3 3" xfId="14592" xr:uid="{551F8F99-FBD0-41FD-8A07-963EE87E28B0}"/>
    <cellStyle name="Note 2 2 2 5 4" xfId="18822" xr:uid="{64236CA4-D07D-4BC8-94C9-FD67022E5A22}"/>
    <cellStyle name="Note 2 2 2 5 5" xfId="10374" xr:uid="{5481B8DB-A3FA-40E7-92D8-4685A2F3A4E9}"/>
    <cellStyle name="Note 2 2 2 6" xfId="2249" xr:uid="{00000000-0005-0000-0000-0000BA200000}"/>
    <cellStyle name="Note 2 2 2 6 2" xfId="4478" xr:uid="{00000000-0005-0000-0000-0000BB200000}"/>
    <cellStyle name="Note 2 2 2 6 2 2" xfId="8700" xr:uid="{00000000-0005-0000-0000-0000BC200000}"/>
    <cellStyle name="Note 2 2 2 6 2 2 2" xfId="25598" xr:uid="{73B257F1-A39D-45D6-9DD2-9CC9A129CCEA}"/>
    <cellStyle name="Note 2 2 2 6 2 2 3" xfId="17150" xr:uid="{4A3C2AEE-038A-49FB-98EC-65A4A76F6E11}"/>
    <cellStyle name="Note 2 2 2 6 2 3" xfId="21380" xr:uid="{06C186D4-36BF-4D77-AB53-0D4FC07977D4}"/>
    <cellStyle name="Note 2 2 2 6 2 4" xfId="12932" xr:uid="{C0A3BB86-9068-48DC-9557-237568F07E23}"/>
    <cellStyle name="Note 2 2 2 6 3" xfId="6555" xr:uid="{00000000-0005-0000-0000-0000BD200000}"/>
    <cellStyle name="Note 2 2 2 6 3 2" xfId="23453" xr:uid="{BB914D5C-67F4-4B88-8114-3AEB870D03A4}"/>
    <cellStyle name="Note 2 2 2 6 3 3" xfId="15005" xr:uid="{457C1CAF-6AA2-4473-A90E-6932F8BE19C0}"/>
    <cellStyle name="Note 2 2 2 6 4" xfId="19235" xr:uid="{B682A551-6DCD-4452-B03F-BB3B0C6867A2}"/>
    <cellStyle name="Note 2 2 2 6 5" xfId="10787" xr:uid="{ABFFF577-0BEC-417E-8A19-ED34F6BDDD2F}"/>
    <cellStyle name="Note 2 2 2 7" xfId="2685" xr:uid="{00000000-0005-0000-0000-0000BE200000}"/>
    <cellStyle name="Note 2 2 2 7 2" xfId="6968" xr:uid="{00000000-0005-0000-0000-0000BF200000}"/>
    <cellStyle name="Note 2 2 2 7 2 2" xfId="23866" xr:uid="{EB62CB99-59C8-4FDD-8BEC-BBAF4E735049}"/>
    <cellStyle name="Note 2 2 2 7 2 3" xfId="15418" xr:uid="{7642126A-876A-4A4F-975C-68BA5BF0F072}"/>
    <cellStyle name="Note 2 2 2 7 3" xfId="19648" xr:uid="{785BF674-24FE-4926-97FE-2959448372C3}"/>
    <cellStyle name="Note 2 2 2 7 4" xfId="11200" xr:uid="{FF17DA69-8F28-4DD4-8FFA-DBB62255DE2D}"/>
    <cellStyle name="Note 2 2 2 8" xfId="2744" xr:uid="{00000000-0005-0000-0000-0000C0200000}"/>
    <cellStyle name="Note 2 2 2 9" xfId="2825" xr:uid="{00000000-0005-0000-0000-0000C1200000}"/>
    <cellStyle name="Note 2 2 2 9 2" xfId="7048" xr:uid="{00000000-0005-0000-0000-0000C2200000}"/>
    <cellStyle name="Note 2 2 2 9 2 2" xfId="23946" xr:uid="{1FC2BBCB-F1C8-40EC-A793-B9AE8DDDA8CF}"/>
    <cellStyle name="Note 2 2 2 9 2 3" xfId="15498" xr:uid="{82BDE9EB-D447-48CE-BA2C-ACFFBE59D461}"/>
    <cellStyle name="Note 2 2 2 9 3" xfId="19728" xr:uid="{A30B5B7A-F657-4642-AFE7-71EDBBBDC3F9}"/>
    <cellStyle name="Note 2 2 2 9 4" xfId="11280" xr:uid="{485DEF70-4140-46C2-BD33-6EC95D53ECEC}"/>
    <cellStyle name="Note 2 2 3" xfId="548" xr:uid="{00000000-0005-0000-0000-0000C3200000}"/>
    <cellStyle name="Note 2 2 3 10" xfId="17585" xr:uid="{348BE80E-557E-43A5-9C00-5A593805D255}"/>
    <cellStyle name="Note 2 2 3 11" xfId="9137" xr:uid="{0F734A47-61EC-4FC5-8D98-951DFB74AD19}"/>
    <cellStyle name="Note 2 2 3 2" xfId="1009" xr:uid="{00000000-0005-0000-0000-0000C4200000}"/>
    <cellStyle name="Note 2 2 3 2 2" xfId="3241" xr:uid="{00000000-0005-0000-0000-0000C5200000}"/>
    <cellStyle name="Note 2 2 3 2 2 2" xfId="7463" xr:uid="{00000000-0005-0000-0000-0000C6200000}"/>
    <cellStyle name="Note 2 2 3 2 2 2 2" xfId="24361" xr:uid="{EEF1DA6E-601F-46A0-BA66-A601412C8395}"/>
    <cellStyle name="Note 2 2 3 2 2 2 3" xfId="15913" xr:uid="{EC260F47-ABED-41F7-A421-06D069B305EB}"/>
    <cellStyle name="Note 2 2 3 2 2 3" xfId="20143" xr:uid="{8B20DBEF-1EC6-4BDF-9992-235D8342CB79}"/>
    <cellStyle name="Note 2 2 3 2 2 4" xfId="11695" xr:uid="{8C1E958D-9F25-4528-9203-DAB8A67B56C0}"/>
    <cellStyle name="Note 2 2 3 2 3" xfId="5318" xr:uid="{00000000-0005-0000-0000-0000C7200000}"/>
    <cellStyle name="Note 2 2 3 2 3 2" xfId="22216" xr:uid="{885E32FA-3B9F-4F13-B739-8D8FBFCC1BBD}"/>
    <cellStyle name="Note 2 2 3 2 3 3" xfId="13768" xr:uid="{01475423-647E-47EE-B2FB-249FB0429D46}"/>
    <cellStyle name="Note 2 2 3 2 4" xfId="17998" xr:uid="{BD5853AA-EA1C-4A04-8947-FAD7713742FC}"/>
    <cellStyle name="Note 2 2 3 2 5" xfId="9550" xr:uid="{4CB3C24C-F32A-4CFF-9064-69153B2FE245}"/>
    <cellStyle name="Note 2 2 3 3" xfId="1424" xr:uid="{00000000-0005-0000-0000-0000C8200000}"/>
    <cellStyle name="Note 2 2 3 3 2" xfId="3654" xr:uid="{00000000-0005-0000-0000-0000C9200000}"/>
    <cellStyle name="Note 2 2 3 3 2 2" xfId="7876" xr:uid="{00000000-0005-0000-0000-0000CA200000}"/>
    <cellStyle name="Note 2 2 3 3 2 2 2" xfId="24774" xr:uid="{C4400FB6-16D9-4C3E-A0B9-172CA93BB77F}"/>
    <cellStyle name="Note 2 2 3 3 2 2 3" xfId="16326" xr:uid="{DF1F0FED-74DB-46E4-90B5-6C34FBABD594}"/>
    <cellStyle name="Note 2 2 3 3 2 3" xfId="20556" xr:uid="{C13F0388-CCB8-4D29-B16B-A0B4163ACADA}"/>
    <cellStyle name="Note 2 2 3 3 2 4" xfId="12108" xr:uid="{EFF4EE7F-5819-425F-9462-0265D0C8668E}"/>
    <cellStyle name="Note 2 2 3 3 3" xfId="5731" xr:uid="{00000000-0005-0000-0000-0000CB200000}"/>
    <cellStyle name="Note 2 2 3 3 3 2" xfId="22629" xr:uid="{BF1B94FD-4A8C-43C1-BECD-42DB679C611B}"/>
    <cellStyle name="Note 2 2 3 3 3 3" xfId="14181" xr:uid="{96ACEEED-1DB8-4512-8A03-8529080B0BB2}"/>
    <cellStyle name="Note 2 2 3 3 4" xfId="18411" xr:uid="{A4B7E30A-6E59-4FA0-A761-C4941DB2FCE1}"/>
    <cellStyle name="Note 2 2 3 3 5" xfId="9963" xr:uid="{8A0500A4-8954-4697-80CA-60A0C2B38056}"/>
    <cellStyle name="Note 2 2 3 4" xfId="1838" xr:uid="{00000000-0005-0000-0000-0000CC200000}"/>
    <cellStyle name="Note 2 2 3 4 2" xfId="4067" xr:uid="{00000000-0005-0000-0000-0000CD200000}"/>
    <cellStyle name="Note 2 2 3 4 2 2" xfId="8289" xr:uid="{00000000-0005-0000-0000-0000CE200000}"/>
    <cellStyle name="Note 2 2 3 4 2 2 2" xfId="25187" xr:uid="{D0839186-5235-49B4-9989-C070F890AC39}"/>
    <cellStyle name="Note 2 2 3 4 2 2 3" xfId="16739" xr:uid="{10B92CB3-4EE1-4A70-A8BE-0EBCB13093CA}"/>
    <cellStyle name="Note 2 2 3 4 2 3" xfId="20969" xr:uid="{74300229-2C6F-43F5-8516-BFBB92DEB097}"/>
    <cellStyle name="Note 2 2 3 4 2 4" xfId="12521" xr:uid="{02D22193-4C23-484E-B06E-C0F472A0E61C}"/>
    <cellStyle name="Note 2 2 3 4 3" xfId="6144" xr:uid="{00000000-0005-0000-0000-0000CF200000}"/>
    <cellStyle name="Note 2 2 3 4 3 2" xfId="23042" xr:uid="{F73E353E-4E68-48C9-B2D8-0307B8836256}"/>
    <cellStyle name="Note 2 2 3 4 3 3" xfId="14594" xr:uid="{1F1ABE3F-42F6-40D1-B57E-6E4DE3AC7665}"/>
    <cellStyle name="Note 2 2 3 4 4" xfId="18824" xr:uid="{A93486D4-7790-4E60-96C5-E2667F2BEAC2}"/>
    <cellStyle name="Note 2 2 3 4 5" xfId="10376" xr:uid="{76ACDC68-5CAB-42B4-90CE-DD4737DB0FFB}"/>
    <cellStyle name="Note 2 2 3 5" xfId="2251" xr:uid="{00000000-0005-0000-0000-0000D0200000}"/>
    <cellStyle name="Note 2 2 3 5 2" xfId="4480" xr:uid="{00000000-0005-0000-0000-0000D1200000}"/>
    <cellStyle name="Note 2 2 3 5 2 2" xfId="8702" xr:uid="{00000000-0005-0000-0000-0000D2200000}"/>
    <cellStyle name="Note 2 2 3 5 2 2 2" xfId="25600" xr:uid="{481CA08F-D4BF-4017-921D-B83D9BCC5288}"/>
    <cellStyle name="Note 2 2 3 5 2 2 3" xfId="17152" xr:uid="{4884FB39-F4D1-42E1-8D42-D4A0E7E956CC}"/>
    <cellStyle name="Note 2 2 3 5 2 3" xfId="21382" xr:uid="{5FDC2180-D2BE-47EC-9888-DB298B4EA42F}"/>
    <cellStyle name="Note 2 2 3 5 2 4" xfId="12934" xr:uid="{E8F6B423-BB88-46AF-96B2-F1A049F72A27}"/>
    <cellStyle name="Note 2 2 3 5 3" xfId="6557" xr:uid="{00000000-0005-0000-0000-0000D3200000}"/>
    <cellStyle name="Note 2 2 3 5 3 2" xfId="23455" xr:uid="{184DC208-4F7C-4050-AE57-33918705F97A}"/>
    <cellStyle name="Note 2 2 3 5 3 3" xfId="15007" xr:uid="{8ADA36A9-C807-4F14-BC54-00E4FEDFF5F3}"/>
    <cellStyle name="Note 2 2 3 5 4" xfId="19237" xr:uid="{29EACBE5-68BF-4B53-987B-F1305836B5E1}"/>
    <cellStyle name="Note 2 2 3 5 5" xfId="10789" xr:uid="{00BAB656-6A1F-457A-9045-FDB9337B3523}"/>
    <cellStyle name="Note 2 2 3 6" xfId="2687" xr:uid="{00000000-0005-0000-0000-0000D4200000}"/>
    <cellStyle name="Note 2 2 3 6 2" xfId="6970" xr:uid="{00000000-0005-0000-0000-0000D5200000}"/>
    <cellStyle name="Note 2 2 3 6 2 2" xfId="23868" xr:uid="{4115DB4C-71C9-409A-9F91-8F3C13FD94B2}"/>
    <cellStyle name="Note 2 2 3 6 2 3" xfId="15420" xr:uid="{BC0B81B4-F42F-4234-8F8B-604CFD4CCA7F}"/>
    <cellStyle name="Note 2 2 3 6 3" xfId="19650" xr:uid="{9C955819-33BE-45BC-890C-CC13EA277CBA}"/>
    <cellStyle name="Note 2 2 3 6 4" xfId="11202" xr:uid="{58453456-179C-437B-90BA-25FCB9B2ADA9}"/>
    <cellStyle name="Note 2 2 3 7" xfId="2746" xr:uid="{00000000-0005-0000-0000-0000D6200000}"/>
    <cellStyle name="Note 2 2 3 8" xfId="2827" xr:uid="{00000000-0005-0000-0000-0000D7200000}"/>
    <cellStyle name="Note 2 2 3 8 2" xfId="7050" xr:uid="{00000000-0005-0000-0000-0000D8200000}"/>
    <cellStyle name="Note 2 2 3 8 2 2" xfId="23948" xr:uid="{8E791ED1-3D3C-42DB-A62D-FC00E2117B60}"/>
    <cellStyle name="Note 2 2 3 8 2 3" xfId="15500" xr:uid="{ECBA3163-F854-4D40-B6E4-DAD087825572}"/>
    <cellStyle name="Note 2 2 3 8 3" xfId="19730" xr:uid="{AA552C30-DD56-4985-AB78-23DFA0AC84F1}"/>
    <cellStyle name="Note 2 2 3 8 4" xfId="11282" xr:uid="{48D34FCD-5D8B-4D44-927B-6AFF2E1F5D96}"/>
    <cellStyle name="Note 2 2 3 9" xfId="4905" xr:uid="{00000000-0005-0000-0000-0000D9200000}"/>
    <cellStyle name="Note 2 2 3 9 2" xfId="21803" xr:uid="{B5063BBF-E561-494D-81DF-BF927AE5039B}"/>
    <cellStyle name="Note 2 2 3 9 3" xfId="13355" xr:uid="{5911DD5E-3768-4210-AF97-0B51FC14C293}"/>
    <cellStyle name="Note 2 2 4" xfId="1006" xr:uid="{00000000-0005-0000-0000-0000DA200000}"/>
    <cellStyle name="Note 2 2 4 2" xfId="3238" xr:uid="{00000000-0005-0000-0000-0000DB200000}"/>
    <cellStyle name="Note 2 2 4 2 2" xfId="7460" xr:uid="{00000000-0005-0000-0000-0000DC200000}"/>
    <cellStyle name="Note 2 2 4 2 2 2" xfId="24358" xr:uid="{F72796C9-21AE-45A8-8207-2C067926C9CF}"/>
    <cellStyle name="Note 2 2 4 2 2 3" xfId="15910" xr:uid="{7BCFB82B-0CCA-4958-8649-B5A49CAFBEC6}"/>
    <cellStyle name="Note 2 2 4 2 3" xfId="20140" xr:uid="{5DE519CB-07CB-446E-8D87-0E3542D6215A}"/>
    <cellStyle name="Note 2 2 4 2 4" xfId="11692" xr:uid="{7BA6CD69-7A7B-45E4-A4E4-19EB472D56E0}"/>
    <cellStyle name="Note 2 2 4 3" xfId="5315" xr:uid="{00000000-0005-0000-0000-0000DD200000}"/>
    <cellStyle name="Note 2 2 4 3 2" xfId="22213" xr:uid="{B0441CE6-F780-4F3D-A951-71C048D7439B}"/>
    <cellStyle name="Note 2 2 4 3 3" xfId="13765" xr:uid="{FCAAE2E6-2346-4130-B6F0-B61BEC5AFF6C}"/>
    <cellStyle name="Note 2 2 4 4" xfId="17995" xr:uid="{1C3B968A-D62D-4591-A2EA-63256AED82B1}"/>
    <cellStyle name="Note 2 2 4 5" xfId="9547" xr:uid="{DD8A28C0-D08A-40C7-962F-45544D290ED8}"/>
    <cellStyle name="Note 2 2 5" xfId="1421" xr:uid="{00000000-0005-0000-0000-0000DE200000}"/>
    <cellStyle name="Note 2 2 5 2" xfId="3651" xr:uid="{00000000-0005-0000-0000-0000DF200000}"/>
    <cellStyle name="Note 2 2 5 2 2" xfId="7873" xr:uid="{00000000-0005-0000-0000-0000E0200000}"/>
    <cellStyle name="Note 2 2 5 2 2 2" xfId="24771" xr:uid="{D70490A8-53E0-49DB-9320-FDBDA274DC3E}"/>
    <cellStyle name="Note 2 2 5 2 2 3" xfId="16323" xr:uid="{5A768504-A9B6-488E-A21B-21E52AA3A2D6}"/>
    <cellStyle name="Note 2 2 5 2 3" xfId="20553" xr:uid="{6102F0FF-F50E-4388-8922-7BCC0271AB39}"/>
    <cellStyle name="Note 2 2 5 2 4" xfId="12105" xr:uid="{A7CDE32C-ABAD-4B9D-9735-2AF68033FA52}"/>
    <cellStyle name="Note 2 2 5 3" xfId="5728" xr:uid="{00000000-0005-0000-0000-0000E1200000}"/>
    <cellStyle name="Note 2 2 5 3 2" xfId="22626" xr:uid="{04C2AAA7-86B7-40F7-9317-A6319127A782}"/>
    <cellStyle name="Note 2 2 5 3 3" xfId="14178" xr:uid="{C87530B6-C826-47F5-93DA-9D68B6732F31}"/>
    <cellStyle name="Note 2 2 5 4" xfId="18408" xr:uid="{352CC90D-EF29-471C-9D70-3AC6CFEF3BDA}"/>
    <cellStyle name="Note 2 2 5 5" xfId="9960" xr:uid="{9B49D71C-74BA-45B8-A7A5-98478B25437A}"/>
    <cellStyle name="Note 2 2 6" xfId="1835" xr:uid="{00000000-0005-0000-0000-0000E2200000}"/>
    <cellStyle name="Note 2 2 6 2" xfId="4064" xr:uid="{00000000-0005-0000-0000-0000E3200000}"/>
    <cellStyle name="Note 2 2 6 2 2" xfId="8286" xr:uid="{00000000-0005-0000-0000-0000E4200000}"/>
    <cellStyle name="Note 2 2 6 2 2 2" xfId="25184" xr:uid="{49B9B46B-8099-48D5-8463-DB66296E72C7}"/>
    <cellStyle name="Note 2 2 6 2 2 3" xfId="16736" xr:uid="{9D53086D-382F-4557-BBDC-4BF85D5B0632}"/>
    <cellStyle name="Note 2 2 6 2 3" xfId="20966" xr:uid="{E5DCEB1C-BD18-408C-9CC5-4791A4D59672}"/>
    <cellStyle name="Note 2 2 6 2 4" xfId="12518" xr:uid="{78575BD9-6F1A-48E4-8904-DA2EEEE0AEAA}"/>
    <cellStyle name="Note 2 2 6 3" xfId="6141" xr:uid="{00000000-0005-0000-0000-0000E5200000}"/>
    <cellStyle name="Note 2 2 6 3 2" xfId="23039" xr:uid="{7308976C-A092-4FC6-8D70-A4581CD57CC0}"/>
    <cellStyle name="Note 2 2 6 3 3" xfId="14591" xr:uid="{E9B49369-A042-470E-90DE-D88DE78BF84D}"/>
    <cellStyle name="Note 2 2 6 4" xfId="18821" xr:uid="{EFE9E06D-3A7F-4C86-89AD-EAD2D7A16716}"/>
    <cellStyle name="Note 2 2 6 5" xfId="10373" xr:uid="{168CB093-04F7-4E60-9E13-79A08E04971E}"/>
    <cellStyle name="Note 2 2 7" xfId="2248" xr:uid="{00000000-0005-0000-0000-0000E6200000}"/>
    <cellStyle name="Note 2 2 7 2" xfId="4477" xr:uid="{00000000-0005-0000-0000-0000E7200000}"/>
    <cellStyle name="Note 2 2 7 2 2" xfId="8699" xr:uid="{00000000-0005-0000-0000-0000E8200000}"/>
    <cellStyle name="Note 2 2 7 2 2 2" xfId="25597" xr:uid="{B825CA51-90DF-41FA-9AF4-C8AFDE113D63}"/>
    <cellStyle name="Note 2 2 7 2 2 3" xfId="17149" xr:uid="{38EA4076-355B-45D3-B4B0-49241354F8F4}"/>
    <cellStyle name="Note 2 2 7 2 3" xfId="21379" xr:uid="{BEEFD879-897E-45F6-9F58-F5CD7FB286A9}"/>
    <cellStyle name="Note 2 2 7 2 4" xfId="12931" xr:uid="{652EA11B-E5AC-4ABD-9267-2C4C9AF9091E}"/>
    <cellStyle name="Note 2 2 7 3" xfId="6554" xr:uid="{00000000-0005-0000-0000-0000E9200000}"/>
    <cellStyle name="Note 2 2 7 3 2" xfId="23452" xr:uid="{30C86C01-4F54-4E85-B4FA-B11A5F3C2624}"/>
    <cellStyle name="Note 2 2 7 3 3" xfId="15004" xr:uid="{52E35065-32C8-4657-8A9D-429CEC15F8D0}"/>
    <cellStyle name="Note 2 2 7 4" xfId="19234" xr:uid="{EE43C87C-10B2-4A00-B6C9-82BDDD043B8D}"/>
    <cellStyle name="Note 2 2 7 5" xfId="10786" xr:uid="{A277932C-644E-402E-A157-5FA732E12278}"/>
    <cellStyle name="Note 2 2 8" xfId="2684" xr:uid="{00000000-0005-0000-0000-0000EA200000}"/>
    <cellStyle name="Note 2 2 8 2" xfId="6967" xr:uid="{00000000-0005-0000-0000-0000EB200000}"/>
    <cellStyle name="Note 2 2 8 2 2" xfId="23865" xr:uid="{90145691-3D1B-474C-A86E-42A42C7334C8}"/>
    <cellStyle name="Note 2 2 8 2 3" xfId="15417" xr:uid="{708E0F7F-6427-4616-A97F-DA3D1A9E8BFD}"/>
    <cellStyle name="Note 2 2 8 3" xfId="19647" xr:uid="{86BA5FBC-71D4-4738-B4C2-03B8A190E1B0}"/>
    <cellStyle name="Note 2 2 8 4" xfId="11199" xr:uid="{57A19491-E9DC-4BFB-9B2F-A06D406BDCCE}"/>
    <cellStyle name="Note 2 2 9" xfId="2743" xr:uid="{00000000-0005-0000-0000-0000EC200000}"/>
    <cellStyle name="Note 2 3" xfId="549" xr:uid="{00000000-0005-0000-0000-0000ED200000}"/>
    <cellStyle name="Note 2 3 10" xfId="4906" xr:uid="{00000000-0005-0000-0000-0000EE200000}"/>
    <cellStyle name="Note 2 3 10 2" xfId="21804" xr:uid="{E5A2C4C9-93E0-402A-97DE-8BD8AB0ACEDD}"/>
    <cellStyle name="Note 2 3 10 3" xfId="13356" xr:uid="{E2C2D991-EC94-44C3-96BC-A94ACC09BCEA}"/>
    <cellStyle name="Note 2 3 11" xfId="17586" xr:uid="{7079FB8F-582B-4E53-964B-4F5BE577E099}"/>
    <cellStyle name="Note 2 3 12" xfId="9138" xr:uid="{19BABDA6-5911-4FD8-84E7-1F2E3299C9CF}"/>
    <cellStyle name="Note 2 3 2" xfId="550" xr:uid="{00000000-0005-0000-0000-0000EF200000}"/>
    <cellStyle name="Note 2 3 2 10" xfId="17587" xr:uid="{1B622F96-D060-4B2B-A071-EB1F7EBBE179}"/>
    <cellStyle name="Note 2 3 2 11" xfId="9139" xr:uid="{808EB490-C70F-4488-93C9-2445358D9D87}"/>
    <cellStyle name="Note 2 3 2 2" xfId="1011" xr:uid="{00000000-0005-0000-0000-0000F0200000}"/>
    <cellStyle name="Note 2 3 2 2 2" xfId="3243" xr:uid="{00000000-0005-0000-0000-0000F1200000}"/>
    <cellStyle name="Note 2 3 2 2 2 2" xfId="7465" xr:uid="{00000000-0005-0000-0000-0000F2200000}"/>
    <cellStyle name="Note 2 3 2 2 2 2 2" xfId="24363" xr:uid="{1ACE02A5-540A-4C26-BEF8-895D16EF5AE5}"/>
    <cellStyle name="Note 2 3 2 2 2 2 3" xfId="15915" xr:uid="{3AF80CFF-BEA6-481E-A018-E153A00F0B73}"/>
    <cellStyle name="Note 2 3 2 2 2 3" xfId="20145" xr:uid="{D9FEE292-20C5-475C-BAAC-FE97D1CAE211}"/>
    <cellStyle name="Note 2 3 2 2 2 4" xfId="11697" xr:uid="{2C1AB56D-FEBA-4D41-A34F-849778A7BE6F}"/>
    <cellStyle name="Note 2 3 2 2 3" xfId="5320" xr:uid="{00000000-0005-0000-0000-0000F3200000}"/>
    <cellStyle name="Note 2 3 2 2 3 2" xfId="22218" xr:uid="{AF5491B8-5F24-4EDA-BEE7-26E4ADBD64E3}"/>
    <cellStyle name="Note 2 3 2 2 3 3" xfId="13770" xr:uid="{2EC33499-7A59-426E-B541-148A00CCA18B}"/>
    <cellStyle name="Note 2 3 2 2 4" xfId="18000" xr:uid="{47C67D83-6554-4D6D-BE44-854E69537C4F}"/>
    <cellStyle name="Note 2 3 2 2 5" xfId="9552" xr:uid="{F9CA4AF3-2D3D-4DD1-AC2E-8A3BD644B161}"/>
    <cellStyle name="Note 2 3 2 3" xfId="1426" xr:uid="{00000000-0005-0000-0000-0000F4200000}"/>
    <cellStyle name="Note 2 3 2 3 2" xfId="3656" xr:uid="{00000000-0005-0000-0000-0000F5200000}"/>
    <cellStyle name="Note 2 3 2 3 2 2" xfId="7878" xr:uid="{00000000-0005-0000-0000-0000F6200000}"/>
    <cellStyle name="Note 2 3 2 3 2 2 2" xfId="24776" xr:uid="{0985694C-CC1A-4815-A2F5-ED79C82B5557}"/>
    <cellStyle name="Note 2 3 2 3 2 2 3" xfId="16328" xr:uid="{C9118A64-EEB5-4A75-BDFA-3DAEEC51081E}"/>
    <cellStyle name="Note 2 3 2 3 2 3" xfId="20558" xr:uid="{2503C875-A1A4-4463-A329-28A98C7352FE}"/>
    <cellStyle name="Note 2 3 2 3 2 4" xfId="12110" xr:uid="{32156D1A-CF14-4F48-9CA5-02472C28CBD9}"/>
    <cellStyle name="Note 2 3 2 3 3" xfId="5733" xr:uid="{00000000-0005-0000-0000-0000F7200000}"/>
    <cellStyle name="Note 2 3 2 3 3 2" xfId="22631" xr:uid="{AB16CEB1-979B-46C3-8C4B-728F1BBD2750}"/>
    <cellStyle name="Note 2 3 2 3 3 3" xfId="14183" xr:uid="{6E15E583-35DF-4894-B80B-4C308667D290}"/>
    <cellStyle name="Note 2 3 2 3 4" xfId="18413" xr:uid="{266A316D-AB3D-4FFB-A0C9-6469E1B8F5BA}"/>
    <cellStyle name="Note 2 3 2 3 5" xfId="9965" xr:uid="{23BA95D2-12C4-473C-83A5-C6B321D8BC3C}"/>
    <cellStyle name="Note 2 3 2 4" xfId="1840" xr:uid="{00000000-0005-0000-0000-0000F8200000}"/>
    <cellStyle name="Note 2 3 2 4 2" xfId="4069" xr:uid="{00000000-0005-0000-0000-0000F9200000}"/>
    <cellStyle name="Note 2 3 2 4 2 2" xfId="8291" xr:uid="{00000000-0005-0000-0000-0000FA200000}"/>
    <cellStyle name="Note 2 3 2 4 2 2 2" xfId="25189" xr:uid="{4FDC485D-084B-4404-A504-B6790E5FD2FE}"/>
    <cellStyle name="Note 2 3 2 4 2 2 3" xfId="16741" xr:uid="{CA17A5D0-356E-435F-832C-18F23AD6B536}"/>
    <cellStyle name="Note 2 3 2 4 2 3" xfId="20971" xr:uid="{3BB16716-5045-43B7-A8F1-731138AB014B}"/>
    <cellStyle name="Note 2 3 2 4 2 4" xfId="12523" xr:uid="{0C07F9FF-B41D-4F3B-84A6-5AA1D808EB87}"/>
    <cellStyle name="Note 2 3 2 4 3" xfId="6146" xr:uid="{00000000-0005-0000-0000-0000FB200000}"/>
    <cellStyle name="Note 2 3 2 4 3 2" xfId="23044" xr:uid="{49C25FF6-6285-417B-AA61-49E6EE9D8DB4}"/>
    <cellStyle name="Note 2 3 2 4 3 3" xfId="14596" xr:uid="{6ADA652D-E320-4A61-A366-B2BEEBA833C3}"/>
    <cellStyle name="Note 2 3 2 4 4" xfId="18826" xr:uid="{E329926A-440E-4A5C-A8CA-848C8580C723}"/>
    <cellStyle name="Note 2 3 2 4 5" xfId="10378" xr:uid="{6B681052-B729-4887-93A0-8207871F3B75}"/>
    <cellStyle name="Note 2 3 2 5" xfId="2253" xr:uid="{00000000-0005-0000-0000-0000FC200000}"/>
    <cellStyle name="Note 2 3 2 5 2" xfId="4482" xr:uid="{00000000-0005-0000-0000-0000FD200000}"/>
    <cellStyle name="Note 2 3 2 5 2 2" xfId="8704" xr:uid="{00000000-0005-0000-0000-0000FE200000}"/>
    <cellStyle name="Note 2 3 2 5 2 2 2" xfId="25602" xr:uid="{1D645B9C-A14F-46DD-BE05-0F1435A78707}"/>
    <cellStyle name="Note 2 3 2 5 2 2 3" xfId="17154" xr:uid="{A5BE878D-BCCB-4BAB-837C-4EB7BBD4F51F}"/>
    <cellStyle name="Note 2 3 2 5 2 3" xfId="21384" xr:uid="{FAFA4D11-3087-4A90-9464-DDE367AECBDE}"/>
    <cellStyle name="Note 2 3 2 5 2 4" xfId="12936" xr:uid="{C7FED81F-B17B-4CE2-BC34-FA865B8CEBF3}"/>
    <cellStyle name="Note 2 3 2 5 3" xfId="6559" xr:uid="{00000000-0005-0000-0000-0000FF200000}"/>
    <cellStyle name="Note 2 3 2 5 3 2" xfId="23457" xr:uid="{869D2259-138C-4999-8E97-DF44AB7BA94C}"/>
    <cellStyle name="Note 2 3 2 5 3 3" xfId="15009" xr:uid="{5B7574CB-FA99-40B0-BBFC-E874BCD5DDF3}"/>
    <cellStyle name="Note 2 3 2 5 4" xfId="19239" xr:uid="{3CC85D35-B953-4475-9BAE-19E31FE27D65}"/>
    <cellStyle name="Note 2 3 2 5 5" xfId="10791" xr:uid="{DEF2F952-AEC8-46BA-980C-4C580FA40E84}"/>
    <cellStyle name="Note 2 3 2 6" xfId="2689" xr:uid="{00000000-0005-0000-0000-000000210000}"/>
    <cellStyle name="Note 2 3 2 6 2" xfId="6972" xr:uid="{00000000-0005-0000-0000-000001210000}"/>
    <cellStyle name="Note 2 3 2 6 2 2" xfId="23870" xr:uid="{A927BE39-D261-47DF-A37E-DCC11D1F3D40}"/>
    <cellStyle name="Note 2 3 2 6 2 3" xfId="15422" xr:uid="{BE8CF9AA-5889-4E37-912E-27ABB7312CD2}"/>
    <cellStyle name="Note 2 3 2 6 3" xfId="19652" xr:uid="{BDDB8751-484E-4E45-A36A-1CA882F8A51A}"/>
    <cellStyle name="Note 2 3 2 6 4" xfId="11204" xr:uid="{DC158162-D4DB-4F7A-9259-BE934B341020}"/>
    <cellStyle name="Note 2 3 2 7" xfId="2748" xr:uid="{00000000-0005-0000-0000-000002210000}"/>
    <cellStyle name="Note 2 3 2 8" xfId="2829" xr:uid="{00000000-0005-0000-0000-000003210000}"/>
    <cellStyle name="Note 2 3 2 8 2" xfId="7052" xr:uid="{00000000-0005-0000-0000-000004210000}"/>
    <cellStyle name="Note 2 3 2 8 2 2" xfId="23950" xr:uid="{B2E41860-0981-4FD0-BFCF-BEBCBC85D048}"/>
    <cellStyle name="Note 2 3 2 8 2 3" xfId="15502" xr:uid="{A16569E4-0237-42AE-946A-D5E43DFAC97D}"/>
    <cellStyle name="Note 2 3 2 8 3" xfId="19732" xr:uid="{F94EE6AA-8139-44E7-ADEF-9A2CE251775C}"/>
    <cellStyle name="Note 2 3 2 8 4" xfId="11284" xr:uid="{34B45EA1-9CC3-4871-9A2C-EF2E992027B9}"/>
    <cellStyle name="Note 2 3 2 9" xfId="4907" xr:uid="{00000000-0005-0000-0000-000005210000}"/>
    <cellStyle name="Note 2 3 2 9 2" xfId="21805" xr:uid="{012EC1C6-D1F0-42BA-BC13-AEB2E54A28D1}"/>
    <cellStyle name="Note 2 3 2 9 3" xfId="13357" xr:uid="{A5D02ADB-D160-4C65-9830-4BC6A002A110}"/>
    <cellStyle name="Note 2 3 3" xfId="1010" xr:uid="{00000000-0005-0000-0000-000006210000}"/>
    <cellStyle name="Note 2 3 3 2" xfId="3242" xr:uid="{00000000-0005-0000-0000-000007210000}"/>
    <cellStyle name="Note 2 3 3 2 2" xfId="7464" xr:uid="{00000000-0005-0000-0000-000008210000}"/>
    <cellStyle name="Note 2 3 3 2 2 2" xfId="24362" xr:uid="{4D26B338-EE8F-420D-AE07-FA43C2EBDF78}"/>
    <cellStyle name="Note 2 3 3 2 2 3" xfId="15914" xr:uid="{7587E04F-0849-4CA2-AB24-179C28013310}"/>
    <cellStyle name="Note 2 3 3 2 3" xfId="20144" xr:uid="{D9DAB2B8-BE80-42AE-92EC-21705E208E71}"/>
    <cellStyle name="Note 2 3 3 2 4" xfId="11696" xr:uid="{68AA43CE-2BA8-4504-9F4D-9CA7B9553E19}"/>
    <cellStyle name="Note 2 3 3 3" xfId="5319" xr:uid="{00000000-0005-0000-0000-000009210000}"/>
    <cellStyle name="Note 2 3 3 3 2" xfId="22217" xr:uid="{864C2C39-1FF8-4060-BD0A-8616CB4FA7EE}"/>
    <cellStyle name="Note 2 3 3 3 3" xfId="13769" xr:uid="{E8E6D539-298C-47F8-92DB-A5ED0C2C5BFF}"/>
    <cellStyle name="Note 2 3 3 4" xfId="17999" xr:uid="{B6F2CC78-2C75-46B3-9D3A-27070614E16F}"/>
    <cellStyle name="Note 2 3 3 5" xfId="9551" xr:uid="{DC061F02-77B7-46BC-A698-A6B49DE7410F}"/>
    <cellStyle name="Note 2 3 4" xfId="1425" xr:uid="{00000000-0005-0000-0000-00000A210000}"/>
    <cellStyle name="Note 2 3 4 2" xfId="3655" xr:uid="{00000000-0005-0000-0000-00000B210000}"/>
    <cellStyle name="Note 2 3 4 2 2" xfId="7877" xr:uid="{00000000-0005-0000-0000-00000C210000}"/>
    <cellStyle name="Note 2 3 4 2 2 2" xfId="24775" xr:uid="{A3699F75-337C-4404-AB6F-33C3BED485EF}"/>
    <cellStyle name="Note 2 3 4 2 2 3" xfId="16327" xr:uid="{7187027A-F4C2-4DC1-A882-36E53B626525}"/>
    <cellStyle name="Note 2 3 4 2 3" xfId="20557" xr:uid="{5E911F99-B1A3-4AC0-9912-B2755D6023A6}"/>
    <cellStyle name="Note 2 3 4 2 4" xfId="12109" xr:uid="{A336D381-E74A-47B3-9428-54F4576D6D84}"/>
    <cellStyle name="Note 2 3 4 3" xfId="5732" xr:uid="{00000000-0005-0000-0000-00000D210000}"/>
    <cellStyle name="Note 2 3 4 3 2" xfId="22630" xr:uid="{CC6F08E4-7366-49F0-9976-4A7904774F75}"/>
    <cellStyle name="Note 2 3 4 3 3" xfId="14182" xr:uid="{58FB293D-CB93-45EB-AF16-B018BB4C48C9}"/>
    <cellStyle name="Note 2 3 4 4" xfId="18412" xr:uid="{A547DB4B-B581-431F-90C7-4941E598F85F}"/>
    <cellStyle name="Note 2 3 4 5" xfId="9964" xr:uid="{7D76F097-278B-4EBE-AAC9-95525F6468D7}"/>
    <cellStyle name="Note 2 3 5" xfId="1839" xr:uid="{00000000-0005-0000-0000-00000E210000}"/>
    <cellStyle name="Note 2 3 5 2" xfId="4068" xr:uid="{00000000-0005-0000-0000-00000F210000}"/>
    <cellStyle name="Note 2 3 5 2 2" xfId="8290" xr:uid="{00000000-0005-0000-0000-000010210000}"/>
    <cellStyle name="Note 2 3 5 2 2 2" xfId="25188" xr:uid="{124D7B24-EDF4-4381-A384-E9CF37100F55}"/>
    <cellStyle name="Note 2 3 5 2 2 3" xfId="16740" xr:uid="{940489C1-E620-4D40-9C85-164846DB7DDC}"/>
    <cellStyle name="Note 2 3 5 2 3" xfId="20970" xr:uid="{0EF52BA8-59F3-4956-B3A7-B1B437B6E9E5}"/>
    <cellStyle name="Note 2 3 5 2 4" xfId="12522" xr:uid="{EBEBB533-046C-4423-8442-1945E08A9CBD}"/>
    <cellStyle name="Note 2 3 5 3" xfId="6145" xr:uid="{00000000-0005-0000-0000-000011210000}"/>
    <cellStyle name="Note 2 3 5 3 2" xfId="23043" xr:uid="{8C330AD2-543D-41D4-B0FB-C3FDB14AD075}"/>
    <cellStyle name="Note 2 3 5 3 3" xfId="14595" xr:uid="{8EA7FC19-E10C-4F87-89C6-662B1905E731}"/>
    <cellStyle name="Note 2 3 5 4" xfId="18825" xr:uid="{9F5399C1-1EDA-4C25-ADF8-1B7140D24BA1}"/>
    <cellStyle name="Note 2 3 5 5" xfId="10377" xr:uid="{E5D256A2-80CE-42CE-95A6-BEB543A5C613}"/>
    <cellStyle name="Note 2 3 6" xfId="2252" xr:uid="{00000000-0005-0000-0000-000012210000}"/>
    <cellStyle name="Note 2 3 6 2" xfId="4481" xr:uid="{00000000-0005-0000-0000-000013210000}"/>
    <cellStyle name="Note 2 3 6 2 2" xfId="8703" xr:uid="{00000000-0005-0000-0000-000014210000}"/>
    <cellStyle name="Note 2 3 6 2 2 2" xfId="25601" xr:uid="{C9167EB2-361A-4109-98D5-E0C90191A6E1}"/>
    <cellStyle name="Note 2 3 6 2 2 3" xfId="17153" xr:uid="{777DD6F8-5CEA-4C47-B401-880802AF55A0}"/>
    <cellStyle name="Note 2 3 6 2 3" xfId="21383" xr:uid="{5FB61987-2DF6-4BD4-B84C-E343692EF941}"/>
    <cellStyle name="Note 2 3 6 2 4" xfId="12935" xr:uid="{903F771C-2C6E-4EFC-AB8D-4C56FD164B05}"/>
    <cellStyle name="Note 2 3 6 3" xfId="6558" xr:uid="{00000000-0005-0000-0000-000015210000}"/>
    <cellStyle name="Note 2 3 6 3 2" xfId="23456" xr:uid="{85DD1D51-BFBA-45AB-A0E5-F21D6AFB1850}"/>
    <cellStyle name="Note 2 3 6 3 3" xfId="15008" xr:uid="{F35E3837-5C38-4EA6-9B80-C2719308F9CA}"/>
    <cellStyle name="Note 2 3 6 4" xfId="19238" xr:uid="{3C361A88-F00A-4DD0-A18C-ABE89BC23A3F}"/>
    <cellStyle name="Note 2 3 6 5" xfId="10790" xr:uid="{A91725FC-7416-4A6C-9573-284694627697}"/>
    <cellStyle name="Note 2 3 7" xfId="2688" xr:uid="{00000000-0005-0000-0000-000016210000}"/>
    <cellStyle name="Note 2 3 7 2" xfId="6971" xr:uid="{00000000-0005-0000-0000-000017210000}"/>
    <cellStyle name="Note 2 3 7 2 2" xfId="23869" xr:uid="{5B878ABF-BC09-4922-87CF-CE592F7D6963}"/>
    <cellStyle name="Note 2 3 7 2 3" xfId="15421" xr:uid="{250BFD13-F20C-4EAD-9B80-22B75BDD43E1}"/>
    <cellStyle name="Note 2 3 7 3" xfId="19651" xr:uid="{AA6BF7EE-9EC6-40CA-B2E0-48ECC2359EE2}"/>
    <cellStyle name="Note 2 3 7 4" xfId="11203" xr:uid="{0AF688F5-16BE-4C7C-B668-21D0B64ECDD4}"/>
    <cellStyle name="Note 2 3 8" xfId="2747" xr:uid="{00000000-0005-0000-0000-000018210000}"/>
    <cellStyle name="Note 2 3 9" xfId="2828" xr:uid="{00000000-0005-0000-0000-000019210000}"/>
    <cellStyle name="Note 2 3 9 2" xfId="7051" xr:uid="{00000000-0005-0000-0000-00001A210000}"/>
    <cellStyle name="Note 2 3 9 2 2" xfId="23949" xr:uid="{7EB7FEE9-EDBC-4741-8E78-392295B1C43D}"/>
    <cellStyle name="Note 2 3 9 2 3" xfId="15501" xr:uid="{6BA5C741-F5F2-4173-BA8F-BDD10B4A4BFF}"/>
    <cellStyle name="Note 2 3 9 3" xfId="19731" xr:uid="{A1242A1A-2ECD-4A42-BB56-B058B4E58655}"/>
    <cellStyle name="Note 2 3 9 4" xfId="11283" xr:uid="{D68540E0-4013-461C-9DBF-777E08A3F72D}"/>
    <cellStyle name="Note 2 4" xfId="551" xr:uid="{00000000-0005-0000-0000-00001B210000}"/>
    <cellStyle name="Note 2 4 10" xfId="17588" xr:uid="{23CC4A0A-428E-4B36-8DB1-071696C7AF4C}"/>
    <cellStyle name="Note 2 4 11" xfId="9140" xr:uid="{91603AA2-2CB0-42C2-A162-11F5098174FE}"/>
    <cellStyle name="Note 2 4 2" xfId="1012" xr:uid="{00000000-0005-0000-0000-00001C210000}"/>
    <cellStyle name="Note 2 4 2 2" xfId="3244" xr:uid="{00000000-0005-0000-0000-00001D210000}"/>
    <cellStyle name="Note 2 4 2 2 2" xfId="7466" xr:uid="{00000000-0005-0000-0000-00001E210000}"/>
    <cellStyle name="Note 2 4 2 2 2 2" xfId="24364" xr:uid="{B01CC985-6F4E-4895-9AE0-A16F4B201849}"/>
    <cellStyle name="Note 2 4 2 2 2 3" xfId="15916" xr:uid="{ACD7B2C9-8619-4BF6-96DB-B51D1DD1B10E}"/>
    <cellStyle name="Note 2 4 2 2 3" xfId="20146" xr:uid="{A729A10E-5E2F-4582-AA3C-9D354A30A1D0}"/>
    <cellStyle name="Note 2 4 2 2 4" xfId="11698" xr:uid="{14E0FAB5-8BBE-43FB-B7FC-27E12F541948}"/>
    <cellStyle name="Note 2 4 2 3" xfId="5321" xr:uid="{00000000-0005-0000-0000-00001F210000}"/>
    <cellStyle name="Note 2 4 2 3 2" xfId="22219" xr:uid="{1DD92E12-A405-4EB7-99E7-B6A7353CBD9C}"/>
    <cellStyle name="Note 2 4 2 3 3" xfId="13771" xr:uid="{09A7AD0F-F04C-44F4-BA0C-94FC969B35BC}"/>
    <cellStyle name="Note 2 4 2 4" xfId="18001" xr:uid="{B4433ABB-018C-4194-A72D-BC90B184C784}"/>
    <cellStyle name="Note 2 4 2 5" xfId="9553" xr:uid="{DA855F67-A561-4C6A-9DBA-677B85E763BA}"/>
    <cellStyle name="Note 2 4 3" xfId="1427" xr:uid="{00000000-0005-0000-0000-000020210000}"/>
    <cellStyle name="Note 2 4 3 2" xfId="3657" xr:uid="{00000000-0005-0000-0000-000021210000}"/>
    <cellStyle name="Note 2 4 3 2 2" xfId="7879" xr:uid="{00000000-0005-0000-0000-000022210000}"/>
    <cellStyle name="Note 2 4 3 2 2 2" xfId="24777" xr:uid="{7E3A160D-91DC-436D-B4A8-C9227014414A}"/>
    <cellStyle name="Note 2 4 3 2 2 3" xfId="16329" xr:uid="{4BD9D8F5-EDF9-4205-A379-4F587E941BF5}"/>
    <cellStyle name="Note 2 4 3 2 3" xfId="20559" xr:uid="{CBB56C3E-BB90-4CD5-BEDC-7D20675BC18E}"/>
    <cellStyle name="Note 2 4 3 2 4" xfId="12111" xr:uid="{5BA08F54-4109-4ABE-BD32-D6CDE372C63B}"/>
    <cellStyle name="Note 2 4 3 3" xfId="5734" xr:uid="{00000000-0005-0000-0000-000023210000}"/>
    <cellStyle name="Note 2 4 3 3 2" xfId="22632" xr:uid="{32CCD161-0418-4F95-A485-A2C48530B3F0}"/>
    <cellStyle name="Note 2 4 3 3 3" xfId="14184" xr:uid="{7469EF8A-04B9-4CDF-98F8-1B511E517CA0}"/>
    <cellStyle name="Note 2 4 3 4" xfId="18414" xr:uid="{4DA788FB-567A-4586-821D-8D87F069B428}"/>
    <cellStyle name="Note 2 4 3 5" xfId="9966" xr:uid="{99854AB1-6B2D-4C96-9419-FCE1AB49849F}"/>
    <cellStyle name="Note 2 4 4" xfId="1841" xr:uid="{00000000-0005-0000-0000-000024210000}"/>
    <cellStyle name="Note 2 4 4 2" xfId="4070" xr:uid="{00000000-0005-0000-0000-000025210000}"/>
    <cellStyle name="Note 2 4 4 2 2" xfId="8292" xr:uid="{00000000-0005-0000-0000-000026210000}"/>
    <cellStyle name="Note 2 4 4 2 2 2" xfId="25190" xr:uid="{BA26D5F6-3BC5-4471-AFBE-9D2F899CA3C2}"/>
    <cellStyle name="Note 2 4 4 2 2 3" xfId="16742" xr:uid="{D1B72C9D-5589-467E-ABCF-B7F0302A4948}"/>
    <cellStyle name="Note 2 4 4 2 3" xfId="20972" xr:uid="{7DC185BF-E7D4-479C-A0F0-879E5614049C}"/>
    <cellStyle name="Note 2 4 4 2 4" xfId="12524" xr:uid="{C4D5E7E6-6E35-499A-9804-90AC87EE79C6}"/>
    <cellStyle name="Note 2 4 4 3" xfId="6147" xr:uid="{00000000-0005-0000-0000-000027210000}"/>
    <cellStyle name="Note 2 4 4 3 2" xfId="23045" xr:uid="{B21DAAAB-AF8E-4DAE-8588-49ABA701A7A2}"/>
    <cellStyle name="Note 2 4 4 3 3" xfId="14597" xr:uid="{74CC04DC-CCA3-4853-8821-143174004A1D}"/>
    <cellStyle name="Note 2 4 4 4" xfId="18827" xr:uid="{CD3C70D9-9287-49B6-9B0B-E973022CD8B0}"/>
    <cellStyle name="Note 2 4 4 5" xfId="10379" xr:uid="{87E9D731-5483-4599-B632-D5D6112B0038}"/>
    <cellStyle name="Note 2 4 5" xfId="2254" xr:uid="{00000000-0005-0000-0000-000028210000}"/>
    <cellStyle name="Note 2 4 5 2" xfId="4483" xr:uid="{00000000-0005-0000-0000-000029210000}"/>
    <cellStyle name="Note 2 4 5 2 2" xfId="8705" xr:uid="{00000000-0005-0000-0000-00002A210000}"/>
    <cellStyle name="Note 2 4 5 2 2 2" xfId="25603" xr:uid="{F432F2FE-B7A2-4557-9D2C-2DB42E5D7605}"/>
    <cellStyle name="Note 2 4 5 2 2 3" xfId="17155" xr:uid="{8F812F1E-10E5-4CEE-950C-1F858BED04ED}"/>
    <cellStyle name="Note 2 4 5 2 3" xfId="21385" xr:uid="{7949927C-C365-4ADD-BF63-8BF863A55CA6}"/>
    <cellStyle name="Note 2 4 5 2 4" xfId="12937" xr:uid="{E528FC29-98F5-4E9A-BC60-EB7A678CF9FB}"/>
    <cellStyle name="Note 2 4 5 3" xfId="6560" xr:uid="{00000000-0005-0000-0000-00002B210000}"/>
    <cellStyle name="Note 2 4 5 3 2" xfId="23458" xr:uid="{D0C91853-2E6B-477D-8356-21974A223584}"/>
    <cellStyle name="Note 2 4 5 3 3" xfId="15010" xr:uid="{1F69BD55-C9D4-4877-BA19-A6F6B51EB697}"/>
    <cellStyle name="Note 2 4 5 4" xfId="19240" xr:uid="{3DEE39A8-7768-4D66-A90A-66D74D0DA34D}"/>
    <cellStyle name="Note 2 4 5 5" xfId="10792" xr:uid="{4F4F8D23-7F3B-4646-B504-B29B8F534129}"/>
    <cellStyle name="Note 2 4 6" xfId="2690" xr:uid="{00000000-0005-0000-0000-00002C210000}"/>
    <cellStyle name="Note 2 4 6 2" xfId="6973" xr:uid="{00000000-0005-0000-0000-00002D210000}"/>
    <cellStyle name="Note 2 4 6 2 2" xfId="23871" xr:uid="{484C320E-DA4A-4D18-BA56-631E2A3B7112}"/>
    <cellStyle name="Note 2 4 6 2 3" xfId="15423" xr:uid="{B37818EF-8349-4772-8C88-D7DDAE1F4641}"/>
    <cellStyle name="Note 2 4 6 3" xfId="19653" xr:uid="{9A57973A-7BE9-4CA8-825B-BE3A3A210F72}"/>
    <cellStyle name="Note 2 4 6 4" xfId="11205" xr:uid="{E1CC8D44-8188-4330-87EA-51346DC25F93}"/>
    <cellStyle name="Note 2 4 7" xfId="2749" xr:uid="{00000000-0005-0000-0000-00002E210000}"/>
    <cellStyle name="Note 2 4 8" xfId="2830" xr:uid="{00000000-0005-0000-0000-00002F210000}"/>
    <cellStyle name="Note 2 4 8 2" xfId="7053" xr:uid="{00000000-0005-0000-0000-000030210000}"/>
    <cellStyle name="Note 2 4 8 2 2" xfId="23951" xr:uid="{6090D434-D34A-4CBD-8109-463D7C23DC0D}"/>
    <cellStyle name="Note 2 4 8 2 3" xfId="15503" xr:uid="{60345F61-96CA-4494-994E-E727446FD130}"/>
    <cellStyle name="Note 2 4 8 3" xfId="19733" xr:uid="{6826B4F7-2353-4451-8030-66045FFC3AF3}"/>
    <cellStyle name="Note 2 4 8 4" xfId="11285" xr:uid="{23027205-FDDB-4F32-93C7-ACDCC45052FF}"/>
    <cellStyle name="Note 2 4 9" xfId="4908" xr:uid="{00000000-0005-0000-0000-000031210000}"/>
    <cellStyle name="Note 2 4 9 2" xfId="21806" xr:uid="{52AFEA93-5788-4B27-B6B7-C19FE5CDFDB7}"/>
    <cellStyle name="Note 2 4 9 3" xfId="13358" xr:uid="{B9B931B6-66FD-4D73-BA55-A9B87D1A1C4E}"/>
    <cellStyle name="Note 2 5" xfId="552" xr:uid="{00000000-0005-0000-0000-000032210000}"/>
    <cellStyle name="Note 2 5 10" xfId="17589" xr:uid="{4D6568B4-DE18-4542-8691-903BEB06C893}"/>
    <cellStyle name="Note 2 5 11" xfId="9141" xr:uid="{F46BC4C8-0D7E-44A6-B029-DE5160D605C3}"/>
    <cellStyle name="Note 2 5 2" xfId="1013" xr:uid="{00000000-0005-0000-0000-000033210000}"/>
    <cellStyle name="Note 2 5 2 2" xfId="3245" xr:uid="{00000000-0005-0000-0000-000034210000}"/>
    <cellStyle name="Note 2 5 2 2 2" xfId="7467" xr:uid="{00000000-0005-0000-0000-000035210000}"/>
    <cellStyle name="Note 2 5 2 2 2 2" xfId="24365" xr:uid="{22345E10-D6FF-404C-884E-ABFE039321D3}"/>
    <cellStyle name="Note 2 5 2 2 2 3" xfId="15917" xr:uid="{0C77F227-3F5E-429F-9630-EDC0122DCC56}"/>
    <cellStyle name="Note 2 5 2 2 3" xfId="20147" xr:uid="{17DCCEF3-4074-424F-9507-F6A751F46BA8}"/>
    <cellStyle name="Note 2 5 2 2 4" xfId="11699" xr:uid="{AA21345D-8889-4983-B08D-AF6F3CA25D31}"/>
    <cellStyle name="Note 2 5 2 3" xfId="5322" xr:uid="{00000000-0005-0000-0000-000036210000}"/>
    <cellStyle name="Note 2 5 2 3 2" xfId="22220" xr:uid="{46ECB494-8295-48FA-9752-FCD0345B1F9C}"/>
    <cellStyle name="Note 2 5 2 3 3" xfId="13772" xr:uid="{B35DCDCF-A52E-43F3-9543-AE9E89A07EC5}"/>
    <cellStyle name="Note 2 5 2 4" xfId="18002" xr:uid="{32FB4953-95D3-476F-84E4-54AD4C769B90}"/>
    <cellStyle name="Note 2 5 2 5" xfId="9554" xr:uid="{6614D27D-A0A5-4F90-80FF-6EC966CF9580}"/>
    <cellStyle name="Note 2 5 3" xfId="1428" xr:uid="{00000000-0005-0000-0000-000037210000}"/>
    <cellStyle name="Note 2 5 3 2" xfId="3658" xr:uid="{00000000-0005-0000-0000-000038210000}"/>
    <cellStyle name="Note 2 5 3 2 2" xfId="7880" xr:uid="{00000000-0005-0000-0000-000039210000}"/>
    <cellStyle name="Note 2 5 3 2 2 2" xfId="24778" xr:uid="{6972ACDF-980F-4C2B-98F8-BABB0AFD801A}"/>
    <cellStyle name="Note 2 5 3 2 2 3" xfId="16330" xr:uid="{CE0D5CCC-D683-410A-BB84-5366F6B7B52F}"/>
    <cellStyle name="Note 2 5 3 2 3" xfId="20560" xr:uid="{EF7326BE-86E0-4A2B-A945-1D75AD8139C1}"/>
    <cellStyle name="Note 2 5 3 2 4" xfId="12112" xr:uid="{75DF698D-B275-43D5-B756-E891E54E88BB}"/>
    <cellStyle name="Note 2 5 3 3" xfId="5735" xr:uid="{00000000-0005-0000-0000-00003A210000}"/>
    <cellStyle name="Note 2 5 3 3 2" xfId="22633" xr:uid="{E6FD0927-09EE-436F-A99F-6B2E5C6AE77F}"/>
    <cellStyle name="Note 2 5 3 3 3" xfId="14185" xr:uid="{9A5A17D7-C5EC-4A57-B3C2-BD68EA9AE2B5}"/>
    <cellStyle name="Note 2 5 3 4" xfId="18415" xr:uid="{F57CDD00-CAD6-4D0D-B5D5-32CA2C9BED98}"/>
    <cellStyle name="Note 2 5 3 5" xfId="9967" xr:uid="{BBCC8719-B36E-4CA4-AA4F-17E4DA156671}"/>
    <cellStyle name="Note 2 5 4" xfId="1842" xr:uid="{00000000-0005-0000-0000-00003B210000}"/>
    <cellStyle name="Note 2 5 4 2" xfId="4071" xr:uid="{00000000-0005-0000-0000-00003C210000}"/>
    <cellStyle name="Note 2 5 4 2 2" xfId="8293" xr:uid="{00000000-0005-0000-0000-00003D210000}"/>
    <cellStyle name="Note 2 5 4 2 2 2" xfId="25191" xr:uid="{4E3403EB-5FAD-4135-8C47-ABAE3D82B60E}"/>
    <cellStyle name="Note 2 5 4 2 2 3" xfId="16743" xr:uid="{8831BF85-815A-4B0B-B406-1B502196791A}"/>
    <cellStyle name="Note 2 5 4 2 3" xfId="20973" xr:uid="{A3352B51-D16C-4DF8-912C-2A8BB2A3BA89}"/>
    <cellStyle name="Note 2 5 4 2 4" xfId="12525" xr:uid="{ACDB1CD7-6D8C-45CC-99FB-92B1D9422BC5}"/>
    <cellStyle name="Note 2 5 4 3" xfId="6148" xr:uid="{00000000-0005-0000-0000-00003E210000}"/>
    <cellStyle name="Note 2 5 4 3 2" xfId="23046" xr:uid="{6B2390A4-735A-45B7-8A88-C8550A335A11}"/>
    <cellStyle name="Note 2 5 4 3 3" xfId="14598" xr:uid="{57E38FCC-EE8F-4412-8EB2-2D93477C981B}"/>
    <cellStyle name="Note 2 5 4 4" xfId="18828" xr:uid="{2D6CA994-5D7B-4A06-AC67-92DCF2625B0F}"/>
    <cellStyle name="Note 2 5 4 5" xfId="10380" xr:uid="{27357D17-7977-47E6-BF32-4D066532414E}"/>
    <cellStyle name="Note 2 5 5" xfId="2255" xr:uid="{00000000-0005-0000-0000-00003F210000}"/>
    <cellStyle name="Note 2 5 5 2" xfId="4484" xr:uid="{00000000-0005-0000-0000-000040210000}"/>
    <cellStyle name="Note 2 5 5 2 2" xfId="8706" xr:uid="{00000000-0005-0000-0000-000041210000}"/>
    <cellStyle name="Note 2 5 5 2 2 2" xfId="25604" xr:uid="{DD6FF041-78CC-48D7-86B4-5AA0672A5DD0}"/>
    <cellStyle name="Note 2 5 5 2 2 3" xfId="17156" xr:uid="{7D0392A1-A4AB-46FF-A6A7-DB5C034703D3}"/>
    <cellStyle name="Note 2 5 5 2 3" xfId="21386" xr:uid="{61D0A90C-B255-4698-864A-31C4C9F82FE4}"/>
    <cellStyle name="Note 2 5 5 2 4" xfId="12938" xr:uid="{77036687-AB0B-4873-B239-0626AEFD20E2}"/>
    <cellStyle name="Note 2 5 5 3" xfId="6561" xr:uid="{00000000-0005-0000-0000-000042210000}"/>
    <cellStyle name="Note 2 5 5 3 2" xfId="23459" xr:uid="{6D575143-4357-42D9-B1B1-220627323506}"/>
    <cellStyle name="Note 2 5 5 3 3" xfId="15011" xr:uid="{56C2E8F7-4AB2-411A-8784-898D6CECB300}"/>
    <cellStyle name="Note 2 5 5 4" xfId="19241" xr:uid="{C13808FF-FA41-4332-BFF6-F3B9391E5AED}"/>
    <cellStyle name="Note 2 5 5 5" xfId="10793" xr:uid="{548DEC27-F9C3-45A2-BB97-EB7F650A7FD4}"/>
    <cellStyle name="Note 2 5 6" xfId="2691" xr:uid="{00000000-0005-0000-0000-000043210000}"/>
    <cellStyle name="Note 2 5 6 2" xfId="6974" xr:uid="{00000000-0005-0000-0000-000044210000}"/>
    <cellStyle name="Note 2 5 6 2 2" xfId="23872" xr:uid="{419FD97D-8F21-47EB-A8ED-30C314BA3190}"/>
    <cellStyle name="Note 2 5 6 2 3" xfId="15424" xr:uid="{382B8CEF-6C1D-4B7A-A78A-B31BAF666A6E}"/>
    <cellStyle name="Note 2 5 6 3" xfId="19654" xr:uid="{DAED8FC5-B19F-47EA-BA22-6E6890D07E47}"/>
    <cellStyle name="Note 2 5 6 4" xfId="11206" xr:uid="{FF6910E0-17F3-4DC5-88B9-92C7399D2E6C}"/>
    <cellStyle name="Note 2 5 7" xfId="2750" xr:uid="{00000000-0005-0000-0000-000045210000}"/>
    <cellStyle name="Note 2 5 8" xfId="2831" xr:uid="{00000000-0005-0000-0000-000046210000}"/>
    <cellStyle name="Note 2 5 8 2" xfId="7054" xr:uid="{00000000-0005-0000-0000-000047210000}"/>
    <cellStyle name="Note 2 5 8 2 2" xfId="23952" xr:uid="{FFA11B93-7F68-4393-835C-9504EAF56D3D}"/>
    <cellStyle name="Note 2 5 8 2 3" xfId="15504" xr:uid="{5E4FB0F6-7758-471C-9B5B-A8CF024E9680}"/>
    <cellStyle name="Note 2 5 8 3" xfId="19734" xr:uid="{E99D1802-5E02-49CE-B777-2E28159D2338}"/>
    <cellStyle name="Note 2 5 8 4" xfId="11286" xr:uid="{09AD3DA8-1721-4AEB-B678-2938858E40EF}"/>
    <cellStyle name="Note 2 5 9" xfId="4909" xr:uid="{00000000-0005-0000-0000-000048210000}"/>
    <cellStyle name="Note 2 5 9 2" xfId="21807" xr:uid="{23A8E602-C210-4C1B-B8E2-A1991384F408}"/>
    <cellStyle name="Note 2 5 9 3" xfId="13359" xr:uid="{63CB0832-CF71-4CB4-8308-86D97562D3E8}"/>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23953" xr:uid="{92681055-8DD2-4882-83AB-DF5B15D4D5FD}"/>
    <cellStyle name="Note 3 2 10 2 3" xfId="15505" xr:uid="{5EE26A62-32CA-4776-83F2-629D23B80FAA}"/>
    <cellStyle name="Note 3 2 10 3" xfId="19735" xr:uid="{6B32F582-FD39-462C-8DE6-6F79EF7DD761}"/>
    <cellStyle name="Note 3 2 10 4" xfId="11287" xr:uid="{BDB785D9-EEF7-4F66-9FED-620B67C04DFD}"/>
    <cellStyle name="Note 3 2 11" xfId="4910" xr:uid="{00000000-0005-0000-0000-00004D210000}"/>
    <cellStyle name="Note 3 2 11 2" xfId="21808" xr:uid="{735A8A21-A2D2-47EC-B880-23098FB1F6F9}"/>
    <cellStyle name="Note 3 2 11 3" xfId="13360" xr:uid="{224FC50E-4433-44CD-8038-0B33A04A41AA}"/>
    <cellStyle name="Note 3 2 12" xfId="17590" xr:uid="{8806F2E6-7CCF-44BA-B29A-D4F47FD76F6E}"/>
    <cellStyle name="Note 3 2 13" xfId="9142" xr:uid="{68D65275-4F55-4126-9969-02DDBABBEEE2}"/>
    <cellStyle name="Note 3 2 2" xfId="555" xr:uid="{00000000-0005-0000-0000-00004E210000}"/>
    <cellStyle name="Note 3 2 2 10" xfId="4911" xr:uid="{00000000-0005-0000-0000-00004F210000}"/>
    <cellStyle name="Note 3 2 2 10 2" xfId="21809" xr:uid="{8E56F6D2-8669-4DB6-8BCC-5E5C91C92064}"/>
    <cellStyle name="Note 3 2 2 10 3" xfId="13361" xr:uid="{9B317E6E-4ADF-47DE-8D6E-85DB89EBFE6C}"/>
    <cellStyle name="Note 3 2 2 11" xfId="17591" xr:uid="{EB8F77C9-3211-4863-A0E4-C2D8CCE3EE20}"/>
    <cellStyle name="Note 3 2 2 12" xfId="9143" xr:uid="{29376A0C-5F9E-4157-A9E0-2F4205AC6928}"/>
    <cellStyle name="Note 3 2 2 2" xfId="556" xr:uid="{00000000-0005-0000-0000-000050210000}"/>
    <cellStyle name="Note 3 2 2 2 10" xfId="17592" xr:uid="{B3151DEB-08AC-4FB3-B330-A34024F3D677}"/>
    <cellStyle name="Note 3 2 2 2 11" xfId="9144" xr:uid="{D69F9680-4BEA-4028-8C2F-FCA8B3E473E4}"/>
    <cellStyle name="Note 3 2 2 2 2" xfId="1016" xr:uid="{00000000-0005-0000-0000-000051210000}"/>
    <cellStyle name="Note 3 2 2 2 2 2" xfId="3248" xr:uid="{00000000-0005-0000-0000-000052210000}"/>
    <cellStyle name="Note 3 2 2 2 2 2 2" xfId="7470" xr:uid="{00000000-0005-0000-0000-000053210000}"/>
    <cellStyle name="Note 3 2 2 2 2 2 2 2" xfId="24368" xr:uid="{51DCC933-F8AE-4553-85C0-97DB709C80A7}"/>
    <cellStyle name="Note 3 2 2 2 2 2 2 3" xfId="15920" xr:uid="{10C147EB-FAE3-4438-A0D3-F03B893C8CD6}"/>
    <cellStyle name="Note 3 2 2 2 2 2 3" xfId="20150" xr:uid="{26ECF107-5FA3-4031-994F-8106051E4B22}"/>
    <cellStyle name="Note 3 2 2 2 2 2 4" xfId="11702" xr:uid="{C318F1EC-25A0-4865-9F79-BE22DE738D7E}"/>
    <cellStyle name="Note 3 2 2 2 2 3" xfId="5325" xr:uid="{00000000-0005-0000-0000-000054210000}"/>
    <cellStyle name="Note 3 2 2 2 2 3 2" xfId="22223" xr:uid="{23EC501D-D917-47CA-BF4E-06F9D8A6DA93}"/>
    <cellStyle name="Note 3 2 2 2 2 3 3" xfId="13775" xr:uid="{16D256DD-8574-4179-AA33-17DDB42726F8}"/>
    <cellStyle name="Note 3 2 2 2 2 4" xfId="18005" xr:uid="{06B71D91-01BE-483D-8142-38E681B513B7}"/>
    <cellStyle name="Note 3 2 2 2 2 5" xfId="9557" xr:uid="{E69E4B2D-C9BB-45AE-86A1-3E64B015A0FC}"/>
    <cellStyle name="Note 3 2 2 2 3" xfId="1431" xr:uid="{00000000-0005-0000-0000-000055210000}"/>
    <cellStyle name="Note 3 2 2 2 3 2" xfId="3661" xr:uid="{00000000-0005-0000-0000-000056210000}"/>
    <cellStyle name="Note 3 2 2 2 3 2 2" xfId="7883" xr:uid="{00000000-0005-0000-0000-000057210000}"/>
    <cellStyle name="Note 3 2 2 2 3 2 2 2" xfId="24781" xr:uid="{89DC5E38-8CE1-4A76-8D6A-A2584FE977BB}"/>
    <cellStyle name="Note 3 2 2 2 3 2 2 3" xfId="16333" xr:uid="{ECC2322C-6F6A-4C8F-818C-6C07FA8B7F3E}"/>
    <cellStyle name="Note 3 2 2 2 3 2 3" xfId="20563" xr:uid="{2B273EB0-26EB-4AB5-B122-A360CB62319A}"/>
    <cellStyle name="Note 3 2 2 2 3 2 4" xfId="12115" xr:uid="{3D625ED8-EE2E-4C0F-9A6E-DF8964465138}"/>
    <cellStyle name="Note 3 2 2 2 3 3" xfId="5738" xr:uid="{00000000-0005-0000-0000-000058210000}"/>
    <cellStyle name="Note 3 2 2 2 3 3 2" xfId="22636" xr:uid="{E8C7E4CD-66E1-4295-9DEF-693D53F60C6D}"/>
    <cellStyle name="Note 3 2 2 2 3 3 3" xfId="14188" xr:uid="{D7DF62DA-DA1D-4E30-BBC9-87D9BFAD466E}"/>
    <cellStyle name="Note 3 2 2 2 3 4" xfId="18418" xr:uid="{4CF5BBC5-F539-4FAF-A7DB-6D0425A3EB91}"/>
    <cellStyle name="Note 3 2 2 2 3 5" xfId="9970" xr:uid="{399FDDE3-BFB0-4361-BE63-13951DFEDFE5}"/>
    <cellStyle name="Note 3 2 2 2 4" xfId="1845" xr:uid="{00000000-0005-0000-0000-000059210000}"/>
    <cellStyle name="Note 3 2 2 2 4 2" xfId="4074" xr:uid="{00000000-0005-0000-0000-00005A210000}"/>
    <cellStyle name="Note 3 2 2 2 4 2 2" xfId="8296" xr:uid="{00000000-0005-0000-0000-00005B210000}"/>
    <cellStyle name="Note 3 2 2 2 4 2 2 2" xfId="25194" xr:uid="{EC377C2A-B1CE-4680-A733-39608946F78E}"/>
    <cellStyle name="Note 3 2 2 2 4 2 2 3" xfId="16746" xr:uid="{9765A761-E304-4FF7-B857-21CDD480FB51}"/>
    <cellStyle name="Note 3 2 2 2 4 2 3" xfId="20976" xr:uid="{48DC1C4A-6F45-44FC-8A53-0AB6F617342A}"/>
    <cellStyle name="Note 3 2 2 2 4 2 4" xfId="12528" xr:uid="{E7751D76-E920-4FA9-B270-91A5674D6634}"/>
    <cellStyle name="Note 3 2 2 2 4 3" xfId="6151" xr:uid="{00000000-0005-0000-0000-00005C210000}"/>
    <cellStyle name="Note 3 2 2 2 4 3 2" xfId="23049" xr:uid="{6906771E-0C3E-48C8-8A79-46AC769A277E}"/>
    <cellStyle name="Note 3 2 2 2 4 3 3" xfId="14601" xr:uid="{FAA13A28-1AEC-476E-A908-50FD66E1FDE3}"/>
    <cellStyle name="Note 3 2 2 2 4 4" xfId="18831" xr:uid="{9030715F-28AB-4BFB-A4E3-EF43F57D6BCE}"/>
    <cellStyle name="Note 3 2 2 2 4 5" xfId="10383" xr:uid="{3641D7D3-ED08-4C21-9A3D-4FE83656A2BA}"/>
    <cellStyle name="Note 3 2 2 2 5" xfId="2258" xr:uid="{00000000-0005-0000-0000-00005D210000}"/>
    <cellStyle name="Note 3 2 2 2 5 2" xfId="4487" xr:uid="{00000000-0005-0000-0000-00005E210000}"/>
    <cellStyle name="Note 3 2 2 2 5 2 2" xfId="8709" xr:uid="{00000000-0005-0000-0000-00005F210000}"/>
    <cellStyle name="Note 3 2 2 2 5 2 2 2" xfId="25607" xr:uid="{2AB8CF9F-B47C-497D-ACFC-D3195C34416E}"/>
    <cellStyle name="Note 3 2 2 2 5 2 2 3" xfId="17159" xr:uid="{93772810-4914-4161-863F-7E2822B458B8}"/>
    <cellStyle name="Note 3 2 2 2 5 2 3" xfId="21389" xr:uid="{5046DC51-F686-4DEC-A5BA-8C44833E7E61}"/>
    <cellStyle name="Note 3 2 2 2 5 2 4" xfId="12941" xr:uid="{9D3B97A1-D784-4BC6-AAD1-B75F87E01F0B}"/>
    <cellStyle name="Note 3 2 2 2 5 3" xfId="6564" xr:uid="{00000000-0005-0000-0000-000060210000}"/>
    <cellStyle name="Note 3 2 2 2 5 3 2" xfId="23462" xr:uid="{8DC8DFB4-9F43-4D69-B434-1B55C512EFDF}"/>
    <cellStyle name="Note 3 2 2 2 5 3 3" xfId="15014" xr:uid="{0F21F10C-4843-4F11-9689-DF6C7F7E4311}"/>
    <cellStyle name="Note 3 2 2 2 5 4" xfId="19244" xr:uid="{38140F55-F571-450B-95AB-7565B4E55F3B}"/>
    <cellStyle name="Note 3 2 2 2 5 5" xfId="10796" xr:uid="{58C19644-AA10-4CCA-8666-184817685669}"/>
    <cellStyle name="Note 3 2 2 2 6" xfId="2694" xr:uid="{00000000-0005-0000-0000-000061210000}"/>
    <cellStyle name="Note 3 2 2 2 6 2" xfId="6977" xr:uid="{00000000-0005-0000-0000-000062210000}"/>
    <cellStyle name="Note 3 2 2 2 6 2 2" xfId="23875" xr:uid="{5AC4FCF4-D1C3-48F3-AF76-EA581778C6B2}"/>
    <cellStyle name="Note 3 2 2 2 6 2 3" xfId="15427" xr:uid="{DE38CC09-C360-4831-98BE-DD0F949DD067}"/>
    <cellStyle name="Note 3 2 2 2 6 3" xfId="19657" xr:uid="{A54AE31E-B2F6-40BD-9784-0D0F6EB2D1F9}"/>
    <cellStyle name="Note 3 2 2 2 6 4" xfId="11209" xr:uid="{3EEEE474-FC38-45A6-BA97-7A68049CCAB7}"/>
    <cellStyle name="Note 3 2 2 2 7" xfId="2753" xr:uid="{00000000-0005-0000-0000-000063210000}"/>
    <cellStyle name="Note 3 2 2 2 8" xfId="2834" xr:uid="{00000000-0005-0000-0000-000064210000}"/>
    <cellStyle name="Note 3 2 2 2 8 2" xfId="7057" xr:uid="{00000000-0005-0000-0000-000065210000}"/>
    <cellStyle name="Note 3 2 2 2 8 2 2" xfId="23955" xr:uid="{9EE75BC0-3E70-413D-BA9D-4B031313BDEB}"/>
    <cellStyle name="Note 3 2 2 2 8 2 3" xfId="15507" xr:uid="{36C8FE29-2B39-4526-8357-1660427FAF95}"/>
    <cellStyle name="Note 3 2 2 2 8 3" xfId="19737" xr:uid="{F859F2B0-C837-4DCE-B026-F5FD1321DF6A}"/>
    <cellStyle name="Note 3 2 2 2 8 4" xfId="11289" xr:uid="{1D87E57E-72CC-4771-8114-9E36F07E4074}"/>
    <cellStyle name="Note 3 2 2 2 9" xfId="4912" xr:uid="{00000000-0005-0000-0000-000066210000}"/>
    <cellStyle name="Note 3 2 2 2 9 2" xfId="21810" xr:uid="{7BE7831A-71BE-4A89-9D17-E05C857F2D82}"/>
    <cellStyle name="Note 3 2 2 2 9 3" xfId="13362" xr:uid="{B5D9E56E-2493-4FD6-B0C8-D844FC1C6775}"/>
    <cellStyle name="Note 3 2 2 3" xfId="1015" xr:uid="{00000000-0005-0000-0000-000067210000}"/>
    <cellStyle name="Note 3 2 2 3 2" xfId="3247" xr:uid="{00000000-0005-0000-0000-000068210000}"/>
    <cellStyle name="Note 3 2 2 3 2 2" xfId="7469" xr:uid="{00000000-0005-0000-0000-000069210000}"/>
    <cellStyle name="Note 3 2 2 3 2 2 2" xfId="24367" xr:uid="{4ADAC499-DDA6-484F-9934-2F1F60543007}"/>
    <cellStyle name="Note 3 2 2 3 2 2 3" xfId="15919" xr:uid="{3F8CFEEE-2C9C-4B5F-859C-BD884BD40D55}"/>
    <cellStyle name="Note 3 2 2 3 2 3" xfId="20149" xr:uid="{B2E09C4A-6B90-48D4-99FB-D785B1B09547}"/>
    <cellStyle name="Note 3 2 2 3 2 4" xfId="11701" xr:uid="{9B77412F-31CD-4FA6-A4D9-FFD0E9832C9A}"/>
    <cellStyle name="Note 3 2 2 3 3" xfId="5324" xr:uid="{00000000-0005-0000-0000-00006A210000}"/>
    <cellStyle name="Note 3 2 2 3 3 2" xfId="22222" xr:uid="{3C0E4329-97C7-4D40-8C51-B0268D4B3D7B}"/>
    <cellStyle name="Note 3 2 2 3 3 3" xfId="13774" xr:uid="{C67223BB-AF40-4F62-A5D6-BDF996DC8E35}"/>
    <cellStyle name="Note 3 2 2 3 4" xfId="18004" xr:uid="{4F9B4313-9FCA-4867-BA77-9F2293D26936}"/>
    <cellStyle name="Note 3 2 2 3 5" xfId="9556" xr:uid="{42C7B2BC-3E45-4CE1-B17E-DA9B4C1C26E4}"/>
    <cellStyle name="Note 3 2 2 4" xfId="1430" xr:uid="{00000000-0005-0000-0000-00006B210000}"/>
    <cellStyle name="Note 3 2 2 4 2" xfId="3660" xr:uid="{00000000-0005-0000-0000-00006C210000}"/>
    <cellStyle name="Note 3 2 2 4 2 2" xfId="7882" xr:uid="{00000000-0005-0000-0000-00006D210000}"/>
    <cellStyle name="Note 3 2 2 4 2 2 2" xfId="24780" xr:uid="{D230DC16-8E2C-4F72-BF20-F4422BB92DAB}"/>
    <cellStyle name="Note 3 2 2 4 2 2 3" xfId="16332" xr:uid="{7DC360E0-DB68-45FF-B7C9-6677C6408F55}"/>
    <cellStyle name="Note 3 2 2 4 2 3" xfId="20562" xr:uid="{9A5ED141-50D8-46F4-8B41-737C66C46279}"/>
    <cellStyle name="Note 3 2 2 4 2 4" xfId="12114" xr:uid="{C414F53D-EEA1-4E9C-B9EE-DBDFF35DDE4B}"/>
    <cellStyle name="Note 3 2 2 4 3" xfId="5737" xr:uid="{00000000-0005-0000-0000-00006E210000}"/>
    <cellStyle name="Note 3 2 2 4 3 2" xfId="22635" xr:uid="{FEB49A71-C10A-4DB0-96BA-190CABC6E48C}"/>
    <cellStyle name="Note 3 2 2 4 3 3" xfId="14187" xr:uid="{F623A967-C258-4744-8EB9-D1A3C2D1B25B}"/>
    <cellStyle name="Note 3 2 2 4 4" xfId="18417" xr:uid="{B35C2C79-73D0-4D92-9747-CDB8DE7DA99C}"/>
    <cellStyle name="Note 3 2 2 4 5" xfId="9969" xr:uid="{F0DF5961-8893-48CA-B235-7296F82F8DCE}"/>
    <cellStyle name="Note 3 2 2 5" xfId="1844" xr:uid="{00000000-0005-0000-0000-00006F210000}"/>
    <cellStyle name="Note 3 2 2 5 2" xfId="4073" xr:uid="{00000000-0005-0000-0000-000070210000}"/>
    <cellStyle name="Note 3 2 2 5 2 2" xfId="8295" xr:uid="{00000000-0005-0000-0000-000071210000}"/>
    <cellStyle name="Note 3 2 2 5 2 2 2" xfId="25193" xr:uid="{8A87C2F0-1754-4191-AF21-669548953E97}"/>
    <cellStyle name="Note 3 2 2 5 2 2 3" xfId="16745" xr:uid="{F14FAA3D-0513-4271-B4AA-CD8A0BDCC5B8}"/>
    <cellStyle name="Note 3 2 2 5 2 3" xfId="20975" xr:uid="{2EEF492A-F2C3-468E-A8E1-85603F616DC6}"/>
    <cellStyle name="Note 3 2 2 5 2 4" xfId="12527" xr:uid="{288E53A5-061D-4921-802F-FD29729706DA}"/>
    <cellStyle name="Note 3 2 2 5 3" xfId="6150" xr:uid="{00000000-0005-0000-0000-000072210000}"/>
    <cellStyle name="Note 3 2 2 5 3 2" xfId="23048" xr:uid="{545375CD-AA0B-43F6-9A6E-65F96626D8B8}"/>
    <cellStyle name="Note 3 2 2 5 3 3" xfId="14600" xr:uid="{7D0D9384-E0CF-4747-8BFC-9966600835FC}"/>
    <cellStyle name="Note 3 2 2 5 4" xfId="18830" xr:uid="{DA1600BE-C117-4C2B-9232-1A6BBE215525}"/>
    <cellStyle name="Note 3 2 2 5 5" xfId="10382" xr:uid="{61EA4B91-37C3-41E2-9AE0-BA26763E5E25}"/>
    <cellStyle name="Note 3 2 2 6" xfId="2257" xr:uid="{00000000-0005-0000-0000-000073210000}"/>
    <cellStyle name="Note 3 2 2 6 2" xfId="4486" xr:uid="{00000000-0005-0000-0000-000074210000}"/>
    <cellStyle name="Note 3 2 2 6 2 2" xfId="8708" xr:uid="{00000000-0005-0000-0000-000075210000}"/>
    <cellStyle name="Note 3 2 2 6 2 2 2" xfId="25606" xr:uid="{CB34E89E-877D-47AB-B273-DACF32515811}"/>
    <cellStyle name="Note 3 2 2 6 2 2 3" xfId="17158" xr:uid="{CF7EAAAC-89E8-4414-B669-8D90BC01449D}"/>
    <cellStyle name="Note 3 2 2 6 2 3" xfId="21388" xr:uid="{B5BB94EF-A92F-4F59-9E50-1806AA5D7155}"/>
    <cellStyle name="Note 3 2 2 6 2 4" xfId="12940" xr:uid="{066FF887-B8D2-4057-988E-C3436C1A6C25}"/>
    <cellStyle name="Note 3 2 2 6 3" xfId="6563" xr:uid="{00000000-0005-0000-0000-000076210000}"/>
    <cellStyle name="Note 3 2 2 6 3 2" xfId="23461" xr:uid="{7C4B7752-C70C-43B6-8A20-7E013B1B7E3D}"/>
    <cellStyle name="Note 3 2 2 6 3 3" xfId="15013" xr:uid="{997D6D7D-9B19-41BE-AD37-EB2DE02472F9}"/>
    <cellStyle name="Note 3 2 2 6 4" xfId="19243" xr:uid="{27725527-5239-42AE-BFA0-A998AECEA1F6}"/>
    <cellStyle name="Note 3 2 2 6 5" xfId="10795" xr:uid="{81BC6F57-61DC-47C8-B966-2219B01E022B}"/>
    <cellStyle name="Note 3 2 2 7" xfId="2693" xr:uid="{00000000-0005-0000-0000-000077210000}"/>
    <cellStyle name="Note 3 2 2 7 2" xfId="6976" xr:uid="{00000000-0005-0000-0000-000078210000}"/>
    <cellStyle name="Note 3 2 2 7 2 2" xfId="23874" xr:uid="{8045B5AF-6D77-4F2B-A889-FE3E436435B5}"/>
    <cellStyle name="Note 3 2 2 7 2 3" xfId="15426" xr:uid="{9F94162F-BE01-4743-A23B-555D1B128AF8}"/>
    <cellStyle name="Note 3 2 2 7 3" xfId="19656" xr:uid="{0881118E-ABEC-460A-A371-CE1639939919}"/>
    <cellStyle name="Note 3 2 2 7 4" xfId="11208" xr:uid="{D7F62E56-6845-456A-8C16-890401CD88F1}"/>
    <cellStyle name="Note 3 2 2 8" xfId="2752" xr:uid="{00000000-0005-0000-0000-000079210000}"/>
    <cellStyle name="Note 3 2 2 9" xfId="2833" xr:uid="{00000000-0005-0000-0000-00007A210000}"/>
    <cellStyle name="Note 3 2 2 9 2" xfId="7056" xr:uid="{00000000-0005-0000-0000-00007B210000}"/>
    <cellStyle name="Note 3 2 2 9 2 2" xfId="23954" xr:uid="{33BC16AA-618C-4E15-8B2A-DB5D8ECFF442}"/>
    <cellStyle name="Note 3 2 2 9 2 3" xfId="15506" xr:uid="{DC60683F-3F58-42DC-AFBF-8D25AC82E5B7}"/>
    <cellStyle name="Note 3 2 2 9 3" xfId="19736" xr:uid="{8F71392B-EDA6-4964-8FB6-A11EDE8100F5}"/>
    <cellStyle name="Note 3 2 2 9 4" xfId="11288" xr:uid="{80DAD1A3-6471-416F-8EBD-7CBDC409B3D9}"/>
    <cellStyle name="Note 3 2 3" xfId="557" xr:uid="{00000000-0005-0000-0000-00007C210000}"/>
    <cellStyle name="Note 3 2 3 10" xfId="17593" xr:uid="{3FDBE538-9D27-4C14-9281-EFFE2AB9685F}"/>
    <cellStyle name="Note 3 2 3 11" xfId="9145" xr:uid="{76BF902B-9AF3-416B-8D4A-A3BA01402E6A}"/>
    <cellStyle name="Note 3 2 3 2" xfId="1017" xr:uid="{00000000-0005-0000-0000-00007D210000}"/>
    <cellStyle name="Note 3 2 3 2 2" xfId="3249" xr:uid="{00000000-0005-0000-0000-00007E210000}"/>
    <cellStyle name="Note 3 2 3 2 2 2" xfId="7471" xr:uid="{00000000-0005-0000-0000-00007F210000}"/>
    <cellStyle name="Note 3 2 3 2 2 2 2" xfId="24369" xr:uid="{D9A798F0-2C35-40C5-A10E-6C1DF4EF4769}"/>
    <cellStyle name="Note 3 2 3 2 2 2 3" xfId="15921" xr:uid="{437B97E1-F271-4001-8770-7D3BF6D8A651}"/>
    <cellStyle name="Note 3 2 3 2 2 3" xfId="20151" xr:uid="{CCA1457B-6AE6-4ADB-8299-378522880AD1}"/>
    <cellStyle name="Note 3 2 3 2 2 4" xfId="11703" xr:uid="{919F43AB-B018-4E80-B068-E6E14431B80D}"/>
    <cellStyle name="Note 3 2 3 2 3" xfId="5326" xr:uid="{00000000-0005-0000-0000-000080210000}"/>
    <cellStyle name="Note 3 2 3 2 3 2" xfId="22224" xr:uid="{C62C7B16-C8A3-4C87-9DB0-C06C0D0DB702}"/>
    <cellStyle name="Note 3 2 3 2 3 3" xfId="13776" xr:uid="{B3EA5B2F-90E4-42AD-BF76-A21A6F354522}"/>
    <cellStyle name="Note 3 2 3 2 4" xfId="18006" xr:uid="{6536DA0B-C5AC-412F-B76A-E78AC56F2CA7}"/>
    <cellStyle name="Note 3 2 3 2 5" xfId="9558" xr:uid="{E24DEF47-7828-4EF5-A92C-7F81E8BCB770}"/>
    <cellStyle name="Note 3 2 3 3" xfId="1432" xr:uid="{00000000-0005-0000-0000-000081210000}"/>
    <cellStyle name="Note 3 2 3 3 2" xfId="3662" xr:uid="{00000000-0005-0000-0000-000082210000}"/>
    <cellStyle name="Note 3 2 3 3 2 2" xfId="7884" xr:uid="{00000000-0005-0000-0000-000083210000}"/>
    <cellStyle name="Note 3 2 3 3 2 2 2" xfId="24782" xr:uid="{C8A98A77-D801-4373-9FBA-1BC54B272167}"/>
    <cellStyle name="Note 3 2 3 3 2 2 3" xfId="16334" xr:uid="{DC9D130D-02E8-46B8-A37C-DE00336EE16D}"/>
    <cellStyle name="Note 3 2 3 3 2 3" xfId="20564" xr:uid="{A8CED8A7-A2E5-4FFE-8DBC-2CC0799FA988}"/>
    <cellStyle name="Note 3 2 3 3 2 4" xfId="12116" xr:uid="{A622C954-B52C-48C3-A917-81E8F5EFA52D}"/>
    <cellStyle name="Note 3 2 3 3 3" xfId="5739" xr:uid="{00000000-0005-0000-0000-000084210000}"/>
    <cellStyle name="Note 3 2 3 3 3 2" xfId="22637" xr:uid="{4439FA35-534F-499A-A081-F64315EEB8A1}"/>
    <cellStyle name="Note 3 2 3 3 3 3" xfId="14189" xr:uid="{C74E95BD-8DBC-4B99-9BFB-6A55F1D3A955}"/>
    <cellStyle name="Note 3 2 3 3 4" xfId="18419" xr:uid="{460142AB-A5DA-4B90-B66F-2A536787E151}"/>
    <cellStyle name="Note 3 2 3 3 5" xfId="9971" xr:uid="{8DD33E92-262C-43A3-BE42-81341922989B}"/>
    <cellStyle name="Note 3 2 3 4" xfId="1846" xr:uid="{00000000-0005-0000-0000-000085210000}"/>
    <cellStyle name="Note 3 2 3 4 2" xfId="4075" xr:uid="{00000000-0005-0000-0000-000086210000}"/>
    <cellStyle name="Note 3 2 3 4 2 2" xfId="8297" xr:uid="{00000000-0005-0000-0000-000087210000}"/>
    <cellStyle name="Note 3 2 3 4 2 2 2" xfId="25195" xr:uid="{BE0E151C-11FE-4DA1-83B4-BD89BBDF43DA}"/>
    <cellStyle name="Note 3 2 3 4 2 2 3" xfId="16747" xr:uid="{0924F119-9676-4BAF-848A-F072D7477A5F}"/>
    <cellStyle name="Note 3 2 3 4 2 3" xfId="20977" xr:uid="{188AA07F-2F25-4515-BA48-5E74051E05F3}"/>
    <cellStyle name="Note 3 2 3 4 2 4" xfId="12529" xr:uid="{4870DDC1-C604-4546-B60B-88AD80D16942}"/>
    <cellStyle name="Note 3 2 3 4 3" xfId="6152" xr:uid="{00000000-0005-0000-0000-000088210000}"/>
    <cellStyle name="Note 3 2 3 4 3 2" xfId="23050" xr:uid="{4ACD9D93-8A57-4F02-BE59-7E2F2FA8357F}"/>
    <cellStyle name="Note 3 2 3 4 3 3" xfId="14602" xr:uid="{62D5EFDF-6DB8-4F9C-9E1C-294C0C09C5CB}"/>
    <cellStyle name="Note 3 2 3 4 4" xfId="18832" xr:uid="{00EEAD08-EAA8-4A4F-8249-D448FD35556B}"/>
    <cellStyle name="Note 3 2 3 4 5" xfId="10384" xr:uid="{1FF816FA-A5A0-4C81-8CB9-9E49D14AB233}"/>
    <cellStyle name="Note 3 2 3 5" xfId="2259" xr:uid="{00000000-0005-0000-0000-000089210000}"/>
    <cellStyle name="Note 3 2 3 5 2" xfId="4488" xr:uid="{00000000-0005-0000-0000-00008A210000}"/>
    <cellStyle name="Note 3 2 3 5 2 2" xfId="8710" xr:uid="{00000000-0005-0000-0000-00008B210000}"/>
    <cellStyle name="Note 3 2 3 5 2 2 2" xfId="25608" xr:uid="{E7FF3874-DD85-45E7-BEB2-157EB70C077C}"/>
    <cellStyle name="Note 3 2 3 5 2 2 3" xfId="17160" xr:uid="{3548BCA9-169A-4C17-9185-2BDD8FDC81E5}"/>
    <cellStyle name="Note 3 2 3 5 2 3" xfId="21390" xr:uid="{0F47237C-4680-48A3-B9B3-507EE2CD1A34}"/>
    <cellStyle name="Note 3 2 3 5 2 4" xfId="12942" xr:uid="{F08FEA14-27C3-41E1-95D2-724478D1D387}"/>
    <cellStyle name="Note 3 2 3 5 3" xfId="6565" xr:uid="{00000000-0005-0000-0000-00008C210000}"/>
    <cellStyle name="Note 3 2 3 5 3 2" xfId="23463" xr:uid="{345556CC-E2C6-40A1-AE71-3C6297A51EA4}"/>
    <cellStyle name="Note 3 2 3 5 3 3" xfId="15015" xr:uid="{386004BD-AB2C-4711-AA13-9E361B6690BF}"/>
    <cellStyle name="Note 3 2 3 5 4" xfId="19245" xr:uid="{9B8A6925-0727-4B21-8116-76E5547A65CA}"/>
    <cellStyle name="Note 3 2 3 5 5" xfId="10797" xr:uid="{974D7EC5-7007-4F17-9B16-7B1A2517DCD7}"/>
    <cellStyle name="Note 3 2 3 6" xfId="2695" xr:uid="{00000000-0005-0000-0000-00008D210000}"/>
    <cellStyle name="Note 3 2 3 6 2" xfId="6978" xr:uid="{00000000-0005-0000-0000-00008E210000}"/>
    <cellStyle name="Note 3 2 3 6 2 2" xfId="23876" xr:uid="{A9B40D7D-A3D6-48B5-B614-98C3D3E2C4D0}"/>
    <cellStyle name="Note 3 2 3 6 2 3" xfId="15428" xr:uid="{BFB1F5B0-980D-4FFD-AA7E-D56C415E648D}"/>
    <cellStyle name="Note 3 2 3 6 3" xfId="19658" xr:uid="{4372DCE7-487D-45CA-93EC-6192C3CCA698}"/>
    <cellStyle name="Note 3 2 3 6 4" xfId="11210" xr:uid="{EDDBF26C-D2E7-4CCB-BEC5-CBDDC569B651}"/>
    <cellStyle name="Note 3 2 3 7" xfId="2754" xr:uid="{00000000-0005-0000-0000-00008F210000}"/>
    <cellStyle name="Note 3 2 3 8" xfId="2835" xr:uid="{00000000-0005-0000-0000-000090210000}"/>
    <cellStyle name="Note 3 2 3 8 2" xfId="7058" xr:uid="{00000000-0005-0000-0000-000091210000}"/>
    <cellStyle name="Note 3 2 3 8 2 2" xfId="23956" xr:uid="{36FFCFD5-705E-4EDA-93A2-58B7525333A9}"/>
    <cellStyle name="Note 3 2 3 8 2 3" xfId="15508" xr:uid="{21FFB0D9-8E7F-48ED-BFF7-1C96E89B8065}"/>
    <cellStyle name="Note 3 2 3 8 3" xfId="19738" xr:uid="{1C1F4CFB-2213-440B-B3F2-A74E4A20E28F}"/>
    <cellStyle name="Note 3 2 3 8 4" xfId="11290" xr:uid="{20001FE0-CCD0-4FD7-B3BC-CC70C4515F77}"/>
    <cellStyle name="Note 3 2 3 9" xfId="4913" xr:uid="{00000000-0005-0000-0000-000092210000}"/>
    <cellStyle name="Note 3 2 3 9 2" xfId="21811" xr:uid="{EFAE0FD6-0462-45FD-9A14-355964CDFBD2}"/>
    <cellStyle name="Note 3 2 3 9 3" xfId="13363" xr:uid="{CF369176-5C49-41C9-8560-C621E2B8CB71}"/>
    <cellStyle name="Note 3 2 4" xfId="1014" xr:uid="{00000000-0005-0000-0000-000093210000}"/>
    <cellStyle name="Note 3 2 4 2" xfId="3246" xr:uid="{00000000-0005-0000-0000-000094210000}"/>
    <cellStyle name="Note 3 2 4 2 2" xfId="7468" xr:uid="{00000000-0005-0000-0000-000095210000}"/>
    <cellStyle name="Note 3 2 4 2 2 2" xfId="24366" xr:uid="{D9EA986D-9391-4D68-8E7E-0DF306D4504A}"/>
    <cellStyle name="Note 3 2 4 2 2 3" xfId="15918" xr:uid="{670EC0FB-0CB6-4B87-A7A7-BA0B2A1FA1F4}"/>
    <cellStyle name="Note 3 2 4 2 3" xfId="20148" xr:uid="{CA075B77-A5E3-484A-BA3D-E75D43C1C9CB}"/>
    <cellStyle name="Note 3 2 4 2 4" xfId="11700" xr:uid="{1DB7492B-EB75-476D-B57E-56B83BDDC948}"/>
    <cellStyle name="Note 3 2 4 3" xfId="5323" xr:uid="{00000000-0005-0000-0000-000096210000}"/>
    <cellStyle name="Note 3 2 4 3 2" xfId="22221" xr:uid="{6DAC2451-1AE1-4048-AD18-11BA05BBCB73}"/>
    <cellStyle name="Note 3 2 4 3 3" xfId="13773" xr:uid="{70C3AABA-EFA3-473A-B601-8923D0EE024A}"/>
    <cellStyle name="Note 3 2 4 4" xfId="18003" xr:uid="{81A1C35E-63D5-4E89-B0EB-5AEDD196098D}"/>
    <cellStyle name="Note 3 2 4 5" xfId="9555" xr:uid="{635C2F66-037B-4043-AA16-9B08A1C22BE5}"/>
    <cellStyle name="Note 3 2 5" xfId="1429" xr:uid="{00000000-0005-0000-0000-000097210000}"/>
    <cellStyle name="Note 3 2 5 2" xfId="3659" xr:uid="{00000000-0005-0000-0000-000098210000}"/>
    <cellStyle name="Note 3 2 5 2 2" xfId="7881" xr:uid="{00000000-0005-0000-0000-000099210000}"/>
    <cellStyle name="Note 3 2 5 2 2 2" xfId="24779" xr:uid="{6D8DA8BB-3B9E-4DC9-9F29-04B52A344E02}"/>
    <cellStyle name="Note 3 2 5 2 2 3" xfId="16331" xr:uid="{31BF22F5-8C56-4A29-BD97-65D102905023}"/>
    <cellStyle name="Note 3 2 5 2 3" xfId="20561" xr:uid="{5060647E-02CA-40C2-844B-0AD46842938D}"/>
    <cellStyle name="Note 3 2 5 2 4" xfId="12113" xr:uid="{7F93D2F1-F066-4112-9555-E0D76EAA107B}"/>
    <cellStyle name="Note 3 2 5 3" xfId="5736" xr:uid="{00000000-0005-0000-0000-00009A210000}"/>
    <cellStyle name="Note 3 2 5 3 2" xfId="22634" xr:uid="{2FBC834E-E907-43D4-92FA-0C388F9DC61F}"/>
    <cellStyle name="Note 3 2 5 3 3" xfId="14186" xr:uid="{F1C293C4-57EA-4D52-9B22-7BE778756DE0}"/>
    <cellStyle name="Note 3 2 5 4" xfId="18416" xr:uid="{842741D4-D92C-44AA-A5E6-2AB197DBBCA6}"/>
    <cellStyle name="Note 3 2 5 5" xfId="9968" xr:uid="{C85E733A-07BD-45AF-A6B7-239DF659A256}"/>
    <cellStyle name="Note 3 2 6" xfId="1843" xr:uid="{00000000-0005-0000-0000-00009B210000}"/>
    <cellStyle name="Note 3 2 6 2" xfId="4072" xr:uid="{00000000-0005-0000-0000-00009C210000}"/>
    <cellStyle name="Note 3 2 6 2 2" xfId="8294" xr:uid="{00000000-0005-0000-0000-00009D210000}"/>
    <cellStyle name="Note 3 2 6 2 2 2" xfId="25192" xr:uid="{3AFF96A4-15DD-417C-B4B2-77994300C533}"/>
    <cellStyle name="Note 3 2 6 2 2 3" xfId="16744" xr:uid="{2449B6FA-E5D2-44E7-8050-D33AE86D62E4}"/>
    <cellStyle name="Note 3 2 6 2 3" xfId="20974" xr:uid="{46AEC936-74CB-4413-86EB-1494053BC5DB}"/>
    <cellStyle name="Note 3 2 6 2 4" xfId="12526" xr:uid="{37756747-1773-4B58-A85E-C8CB39D8CEF2}"/>
    <cellStyle name="Note 3 2 6 3" xfId="6149" xr:uid="{00000000-0005-0000-0000-00009E210000}"/>
    <cellStyle name="Note 3 2 6 3 2" xfId="23047" xr:uid="{9EFBA259-4FBC-4938-AA5C-1D29BD3BA7FE}"/>
    <cellStyle name="Note 3 2 6 3 3" xfId="14599" xr:uid="{51BFDB92-0721-40F2-B8BE-C597B38F8669}"/>
    <cellStyle name="Note 3 2 6 4" xfId="18829" xr:uid="{140460D2-1506-40A2-915D-D2BDF8E27309}"/>
    <cellStyle name="Note 3 2 6 5" xfId="10381" xr:uid="{DECCE6BB-3E98-4962-93C3-183C20AFC209}"/>
    <cellStyle name="Note 3 2 7" xfId="2256" xr:uid="{00000000-0005-0000-0000-00009F210000}"/>
    <cellStyle name="Note 3 2 7 2" xfId="4485" xr:uid="{00000000-0005-0000-0000-0000A0210000}"/>
    <cellStyle name="Note 3 2 7 2 2" xfId="8707" xr:uid="{00000000-0005-0000-0000-0000A1210000}"/>
    <cellStyle name="Note 3 2 7 2 2 2" xfId="25605" xr:uid="{E2E3B111-F835-44FB-A1FF-1BB1628068FC}"/>
    <cellStyle name="Note 3 2 7 2 2 3" xfId="17157" xr:uid="{DEA70A7F-67BB-4A1A-9181-1EDB8427850B}"/>
    <cellStyle name="Note 3 2 7 2 3" xfId="21387" xr:uid="{7F08B493-06B0-468B-833B-A6F2FB4BA559}"/>
    <cellStyle name="Note 3 2 7 2 4" xfId="12939" xr:uid="{7141A984-D8BC-4490-A5CE-49E3329089F8}"/>
    <cellStyle name="Note 3 2 7 3" xfId="6562" xr:uid="{00000000-0005-0000-0000-0000A2210000}"/>
    <cellStyle name="Note 3 2 7 3 2" xfId="23460" xr:uid="{7A71C615-25F6-4154-A16F-BF4A4F3F2FB1}"/>
    <cellStyle name="Note 3 2 7 3 3" xfId="15012" xr:uid="{A33EDAB7-A09B-4683-9C4C-19A1A358FCB6}"/>
    <cellStyle name="Note 3 2 7 4" xfId="19242" xr:uid="{12872926-F5D7-4C79-931F-1D71B9947DB6}"/>
    <cellStyle name="Note 3 2 7 5" xfId="10794" xr:uid="{17AC06CB-0ED7-4D9C-8625-7C32BA775755}"/>
    <cellStyle name="Note 3 2 8" xfId="2692" xr:uid="{00000000-0005-0000-0000-0000A3210000}"/>
    <cellStyle name="Note 3 2 8 2" xfId="6975" xr:uid="{00000000-0005-0000-0000-0000A4210000}"/>
    <cellStyle name="Note 3 2 8 2 2" xfId="23873" xr:uid="{EA31F46F-CAB4-436B-836A-E14C41AC4C87}"/>
    <cellStyle name="Note 3 2 8 2 3" xfId="15425" xr:uid="{7A635281-DB37-4B6C-9834-025D0E522A2A}"/>
    <cellStyle name="Note 3 2 8 3" xfId="19655" xr:uid="{573895D3-CE9C-4E8F-BE67-4CBE75B86011}"/>
    <cellStyle name="Note 3 2 8 4" xfId="11207" xr:uid="{575EDAE4-BEF3-4D5F-83EC-BF19CECA57E2}"/>
    <cellStyle name="Note 3 2 9" xfId="2751" xr:uid="{00000000-0005-0000-0000-0000A5210000}"/>
    <cellStyle name="Note 3 3" xfId="558" xr:uid="{00000000-0005-0000-0000-0000A6210000}"/>
    <cellStyle name="Note 3 3 10" xfId="4914" xr:uid="{00000000-0005-0000-0000-0000A7210000}"/>
    <cellStyle name="Note 3 3 10 2" xfId="21812" xr:uid="{3418860E-A43F-465C-85DA-AE5B5759A55E}"/>
    <cellStyle name="Note 3 3 10 3" xfId="13364" xr:uid="{B6FDE92D-C48D-479C-8CBB-F0EB99923B49}"/>
    <cellStyle name="Note 3 3 11" xfId="17594" xr:uid="{3BBB90C0-98B6-43B3-86DD-360EB7314485}"/>
    <cellStyle name="Note 3 3 12" xfId="9146" xr:uid="{33440AC7-4C45-4AD5-A28E-6D53EFAC0A5A}"/>
    <cellStyle name="Note 3 3 2" xfId="559" xr:uid="{00000000-0005-0000-0000-0000A8210000}"/>
    <cellStyle name="Note 3 3 2 10" xfId="17595" xr:uid="{645EC840-B570-40E9-BFEE-F188E8A5448F}"/>
    <cellStyle name="Note 3 3 2 11" xfId="9147" xr:uid="{EDB08586-4A1B-4CCA-9487-17A020852EE8}"/>
    <cellStyle name="Note 3 3 2 2" xfId="1019" xr:uid="{00000000-0005-0000-0000-0000A9210000}"/>
    <cellStyle name="Note 3 3 2 2 2" xfId="3251" xr:uid="{00000000-0005-0000-0000-0000AA210000}"/>
    <cellStyle name="Note 3 3 2 2 2 2" xfId="7473" xr:uid="{00000000-0005-0000-0000-0000AB210000}"/>
    <cellStyle name="Note 3 3 2 2 2 2 2" xfId="24371" xr:uid="{B1C9FCA6-55DC-4033-9E27-E8ABC022CB57}"/>
    <cellStyle name="Note 3 3 2 2 2 2 3" xfId="15923" xr:uid="{9867D006-BCFD-4F47-B2A9-A56CE04A90EC}"/>
    <cellStyle name="Note 3 3 2 2 2 3" xfId="20153" xr:uid="{F0569529-64AF-4353-A505-DA58CC60C6A8}"/>
    <cellStyle name="Note 3 3 2 2 2 4" xfId="11705" xr:uid="{7D50ABC6-C001-471C-B3D8-6FAEED6E176D}"/>
    <cellStyle name="Note 3 3 2 2 3" xfId="5328" xr:uid="{00000000-0005-0000-0000-0000AC210000}"/>
    <cellStyle name="Note 3 3 2 2 3 2" xfId="22226" xr:uid="{66119C1C-A66E-4702-A08B-C78C02AD54C7}"/>
    <cellStyle name="Note 3 3 2 2 3 3" xfId="13778" xr:uid="{BABAC77D-85EF-409D-ADB4-0EECB7CF02F3}"/>
    <cellStyle name="Note 3 3 2 2 4" xfId="18008" xr:uid="{EE0C7FB1-1CE3-4CEB-9104-9413C00D087C}"/>
    <cellStyle name="Note 3 3 2 2 5" xfId="9560" xr:uid="{99E9E01D-CDAE-479A-87AC-15D538A7DC81}"/>
    <cellStyle name="Note 3 3 2 3" xfId="1434" xr:uid="{00000000-0005-0000-0000-0000AD210000}"/>
    <cellStyle name="Note 3 3 2 3 2" xfId="3664" xr:uid="{00000000-0005-0000-0000-0000AE210000}"/>
    <cellStyle name="Note 3 3 2 3 2 2" xfId="7886" xr:uid="{00000000-0005-0000-0000-0000AF210000}"/>
    <cellStyle name="Note 3 3 2 3 2 2 2" xfId="24784" xr:uid="{B1A2C6A1-6F7E-4ECB-BA62-A14032269A58}"/>
    <cellStyle name="Note 3 3 2 3 2 2 3" xfId="16336" xr:uid="{D8426E92-865B-4FD0-9D77-A39E880AA1A6}"/>
    <cellStyle name="Note 3 3 2 3 2 3" xfId="20566" xr:uid="{71FDBE77-3903-4C82-829A-510C79033FED}"/>
    <cellStyle name="Note 3 3 2 3 2 4" xfId="12118" xr:uid="{2F60A388-6018-4058-A358-70B66788F330}"/>
    <cellStyle name="Note 3 3 2 3 3" xfId="5741" xr:uid="{00000000-0005-0000-0000-0000B0210000}"/>
    <cellStyle name="Note 3 3 2 3 3 2" xfId="22639" xr:uid="{738CA184-EDBA-4D57-8BAD-73765572D2F4}"/>
    <cellStyle name="Note 3 3 2 3 3 3" xfId="14191" xr:uid="{76B7B32E-78A6-4DAE-89BB-694D30CCF536}"/>
    <cellStyle name="Note 3 3 2 3 4" xfId="18421" xr:uid="{50BAA446-FCF8-4FBE-AA3E-84DBDA8053EF}"/>
    <cellStyle name="Note 3 3 2 3 5" xfId="9973" xr:uid="{F88D6CF2-FA25-4716-97B7-7A1CEFAEB374}"/>
    <cellStyle name="Note 3 3 2 4" xfId="1848" xr:uid="{00000000-0005-0000-0000-0000B1210000}"/>
    <cellStyle name="Note 3 3 2 4 2" xfId="4077" xr:uid="{00000000-0005-0000-0000-0000B2210000}"/>
    <cellStyle name="Note 3 3 2 4 2 2" xfId="8299" xr:uid="{00000000-0005-0000-0000-0000B3210000}"/>
    <cellStyle name="Note 3 3 2 4 2 2 2" xfId="25197" xr:uid="{C126E900-765A-496F-B1E9-2E90B30BCDDF}"/>
    <cellStyle name="Note 3 3 2 4 2 2 3" xfId="16749" xr:uid="{ED0B3EED-FAF4-4F02-AD3F-DA77A6536BCB}"/>
    <cellStyle name="Note 3 3 2 4 2 3" xfId="20979" xr:uid="{88527EA7-FDFC-4F15-B280-D8BAC45D5550}"/>
    <cellStyle name="Note 3 3 2 4 2 4" xfId="12531" xr:uid="{6AAB93E2-CF75-4453-89FD-577C37567CFC}"/>
    <cellStyle name="Note 3 3 2 4 3" xfId="6154" xr:uid="{00000000-0005-0000-0000-0000B4210000}"/>
    <cellStyle name="Note 3 3 2 4 3 2" xfId="23052" xr:uid="{1CF7A89E-03EC-44A7-ABE8-FF2E21A2BACA}"/>
    <cellStyle name="Note 3 3 2 4 3 3" xfId="14604" xr:uid="{F86A12EA-27B4-46F8-BDAA-F9DF9E04A202}"/>
    <cellStyle name="Note 3 3 2 4 4" xfId="18834" xr:uid="{44FCE687-B05C-423D-86B0-8D2915C51DBB}"/>
    <cellStyle name="Note 3 3 2 4 5" xfId="10386" xr:uid="{38E66893-DCBD-4CE8-A37E-BE3700B6ABF4}"/>
    <cellStyle name="Note 3 3 2 5" xfId="2261" xr:uid="{00000000-0005-0000-0000-0000B5210000}"/>
    <cellStyle name="Note 3 3 2 5 2" xfId="4490" xr:uid="{00000000-0005-0000-0000-0000B6210000}"/>
    <cellStyle name="Note 3 3 2 5 2 2" xfId="8712" xr:uid="{00000000-0005-0000-0000-0000B7210000}"/>
    <cellStyle name="Note 3 3 2 5 2 2 2" xfId="25610" xr:uid="{1C7A8332-6DAA-461B-9AEA-62C9DB0F337D}"/>
    <cellStyle name="Note 3 3 2 5 2 2 3" xfId="17162" xr:uid="{2F630109-D78C-44A7-BF3E-A0E988E46967}"/>
    <cellStyle name="Note 3 3 2 5 2 3" xfId="21392" xr:uid="{1F513CC9-093D-42B7-BF05-9999C1062348}"/>
    <cellStyle name="Note 3 3 2 5 2 4" xfId="12944" xr:uid="{702C25F6-D045-40ED-85B2-E99B55C712B8}"/>
    <cellStyle name="Note 3 3 2 5 3" xfId="6567" xr:uid="{00000000-0005-0000-0000-0000B8210000}"/>
    <cellStyle name="Note 3 3 2 5 3 2" xfId="23465" xr:uid="{4BECF9C0-2BDD-4A13-BB0E-CA1C8DC4772A}"/>
    <cellStyle name="Note 3 3 2 5 3 3" xfId="15017" xr:uid="{5B295EA3-0EAD-48BB-84C7-2A3907A35281}"/>
    <cellStyle name="Note 3 3 2 5 4" xfId="19247" xr:uid="{4F0EFF1D-D13F-4586-B045-C3A8C2907A6B}"/>
    <cellStyle name="Note 3 3 2 5 5" xfId="10799" xr:uid="{41CDEE4F-3953-48F7-B8C2-C2AD1B2C8AED}"/>
    <cellStyle name="Note 3 3 2 6" xfId="2697" xr:uid="{00000000-0005-0000-0000-0000B9210000}"/>
    <cellStyle name="Note 3 3 2 6 2" xfId="6980" xr:uid="{00000000-0005-0000-0000-0000BA210000}"/>
    <cellStyle name="Note 3 3 2 6 2 2" xfId="23878" xr:uid="{8780716C-0BC3-40C0-9358-B68EB5E1BAE1}"/>
    <cellStyle name="Note 3 3 2 6 2 3" xfId="15430" xr:uid="{C590BF9B-44B6-4499-B56B-CFC5DABEDBFB}"/>
    <cellStyle name="Note 3 3 2 6 3" xfId="19660" xr:uid="{210BFB61-DB86-4B25-9216-7CA26D3ABE14}"/>
    <cellStyle name="Note 3 3 2 6 4" xfId="11212" xr:uid="{2E920129-A788-4F6E-8EF2-68BB252DD061}"/>
    <cellStyle name="Note 3 3 2 7" xfId="2756" xr:uid="{00000000-0005-0000-0000-0000BB210000}"/>
    <cellStyle name="Note 3 3 2 8" xfId="2837" xr:uid="{00000000-0005-0000-0000-0000BC210000}"/>
    <cellStyle name="Note 3 3 2 8 2" xfId="7060" xr:uid="{00000000-0005-0000-0000-0000BD210000}"/>
    <cellStyle name="Note 3 3 2 8 2 2" xfId="23958" xr:uid="{860DAFB9-653D-4BF3-8204-F14726765D95}"/>
    <cellStyle name="Note 3 3 2 8 2 3" xfId="15510" xr:uid="{A3D17832-8B53-4DD7-B594-A0525E4D06CB}"/>
    <cellStyle name="Note 3 3 2 8 3" xfId="19740" xr:uid="{B485C41D-66F5-4D1E-84C8-CA9A09ACA9B9}"/>
    <cellStyle name="Note 3 3 2 8 4" xfId="11292" xr:uid="{79D7C497-E654-4D69-949C-0821E478C321}"/>
    <cellStyle name="Note 3 3 2 9" xfId="4915" xr:uid="{00000000-0005-0000-0000-0000BE210000}"/>
    <cellStyle name="Note 3 3 2 9 2" xfId="21813" xr:uid="{E9BB3884-9C6A-4E3F-A5B7-13F899E67734}"/>
    <cellStyle name="Note 3 3 2 9 3" xfId="13365" xr:uid="{5025BB8C-F703-4BC9-9CF3-FCE51E191310}"/>
    <cellStyle name="Note 3 3 3" xfId="1018" xr:uid="{00000000-0005-0000-0000-0000BF210000}"/>
    <cellStyle name="Note 3 3 3 2" xfId="3250" xr:uid="{00000000-0005-0000-0000-0000C0210000}"/>
    <cellStyle name="Note 3 3 3 2 2" xfId="7472" xr:uid="{00000000-0005-0000-0000-0000C1210000}"/>
    <cellStyle name="Note 3 3 3 2 2 2" xfId="24370" xr:uid="{F67D5CB7-B12C-46FC-AF99-B0C8E33926A1}"/>
    <cellStyle name="Note 3 3 3 2 2 3" xfId="15922" xr:uid="{C8654F4D-13C8-44A9-A7EE-4712CAB2BEF5}"/>
    <cellStyle name="Note 3 3 3 2 3" xfId="20152" xr:uid="{5A793A51-5C69-4ED6-BAE1-205C69C484C1}"/>
    <cellStyle name="Note 3 3 3 2 4" xfId="11704" xr:uid="{08876C64-81FF-43DF-BF0B-D22DC5C13B4F}"/>
    <cellStyle name="Note 3 3 3 3" xfId="5327" xr:uid="{00000000-0005-0000-0000-0000C2210000}"/>
    <cellStyle name="Note 3 3 3 3 2" xfId="22225" xr:uid="{46461078-A81D-47BF-BA51-E598EF9B4D2F}"/>
    <cellStyle name="Note 3 3 3 3 3" xfId="13777" xr:uid="{40390A97-ACEB-4CE1-93BD-3A880AE649B1}"/>
    <cellStyle name="Note 3 3 3 4" xfId="18007" xr:uid="{3134B63D-8A61-466E-9670-CB5D1F3D27BB}"/>
    <cellStyle name="Note 3 3 3 5" xfId="9559" xr:uid="{D6784494-EE10-4460-B4F2-6F01F7CB9B7F}"/>
    <cellStyle name="Note 3 3 4" xfId="1433" xr:uid="{00000000-0005-0000-0000-0000C3210000}"/>
    <cellStyle name="Note 3 3 4 2" xfId="3663" xr:uid="{00000000-0005-0000-0000-0000C4210000}"/>
    <cellStyle name="Note 3 3 4 2 2" xfId="7885" xr:uid="{00000000-0005-0000-0000-0000C5210000}"/>
    <cellStyle name="Note 3 3 4 2 2 2" xfId="24783" xr:uid="{73DD4E7F-9B09-4C2E-B505-1D0D05604520}"/>
    <cellStyle name="Note 3 3 4 2 2 3" xfId="16335" xr:uid="{1A62909A-1683-4E6D-ABA3-7985F01A36B8}"/>
    <cellStyle name="Note 3 3 4 2 3" xfId="20565" xr:uid="{A78BB1F4-DADD-4455-B0CD-2C0501446AD8}"/>
    <cellStyle name="Note 3 3 4 2 4" xfId="12117" xr:uid="{5B5910B5-9164-4687-8E30-8B9BED4EC132}"/>
    <cellStyle name="Note 3 3 4 3" xfId="5740" xr:uid="{00000000-0005-0000-0000-0000C6210000}"/>
    <cellStyle name="Note 3 3 4 3 2" xfId="22638" xr:uid="{D0ED5587-E59E-4871-A7F9-E3087D73CF0D}"/>
    <cellStyle name="Note 3 3 4 3 3" xfId="14190" xr:uid="{2B4312F2-DEE1-4C8A-9D2F-60977C912280}"/>
    <cellStyle name="Note 3 3 4 4" xfId="18420" xr:uid="{526F265F-E81C-4611-B27F-40E6F97AC4D9}"/>
    <cellStyle name="Note 3 3 4 5" xfId="9972" xr:uid="{ECB8B157-9B00-458E-8BA7-32DFD3EB05D8}"/>
    <cellStyle name="Note 3 3 5" xfId="1847" xr:uid="{00000000-0005-0000-0000-0000C7210000}"/>
    <cellStyle name="Note 3 3 5 2" xfId="4076" xr:uid="{00000000-0005-0000-0000-0000C8210000}"/>
    <cellStyle name="Note 3 3 5 2 2" xfId="8298" xr:uid="{00000000-0005-0000-0000-0000C9210000}"/>
    <cellStyle name="Note 3 3 5 2 2 2" xfId="25196" xr:uid="{5CA36214-7C99-41DE-BF78-2FD29EA80759}"/>
    <cellStyle name="Note 3 3 5 2 2 3" xfId="16748" xr:uid="{C05328CA-4C74-4DB6-BF22-FC2FE36AC7C6}"/>
    <cellStyle name="Note 3 3 5 2 3" xfId="20978" xr:uid="{D3D488B1-CE7D-43BE-82EF-DBD73DFBF5DB}"/>
    <cellStyle name="Note 3 3 5 2 4" xfId="12530" xr:uid="{8D5725CC-0D03-45BE-85EF-5A52F0EDBDF0}"/>
    <cellStyle name="Note 3 3 5 3" xfId="6153" xr:uid="{00000000-0005-0000-0000-0000CA210000}"/>
    <cellStyle name="Note 3 3 5 3 2" xfId="23051" xr:uid="{B55AB5BD-DB99-4DDD-B1A8-EE831807A4EA}"/>
    <cellStyle name="Note 3 3 5 3 3" xfId="14603" xr:uid="{B3261D41-08AF-49AA-AC71-357826BC3D7F}"/>
    <cellStyle name="Note 3 3 5 4" xfId="18833" xr:uid="{F199CDD4-4A0F-40EB-AD91-4FA5247645D4}"/>
    <cellStyle name="Note 3 3 5 5" xfId="10385" xr:uid="{CD612284-3671-4A86-8793-44CDBA23F2B4}"/>
    <cellStyle name="Note 3 3 6" xfId="2260" xr:uid="{00000000-0005-0000-0000-0000CB210000}"/>
    <cellStyle name="Note 3 3 6 2" xfId="4489" xr:uid="{00000000-0005-0000-0000-0000CC210000}"/>
    <cellStyle name="Note 3 3 6 2 2" xfId="8711" xr:uid="{00000000-0005-0000-0000-0000CD210000}"/>
    <cellStyle name="Note 3 3 6 2 2 2" xfId="25609" xr:uid="{E7DDF0AC-C2EC-421D-8470-5DFBAA0A7CBE}"/>
    <cellStyle name="Note 3 3 6 2 2 3" xfId="17161" xr:uid="{0600703A-5C07-43E9-AE5E-F73E3A6AD9EF}"/>
    <cellStyle name="Note 3 3 6 2 3" xfId="21391" xr:uid="{FE0B1BF8-9FFD-4925-9AF9-649A217AAFEA}"/>
    <cellStyle name="Note 3 3 6 2 4" xfId="12943" xr:uid="{472CBDC9-B357-47B8-ABEB-FDF53C8CDAC5}"/>
    <cellStyle name="Note 3 3 6 3" xfId="6566" xr:uid="{00000000-0005-0000-0000-0000CE210000}"/>
    <cellStyle name="Note 3 3 6 3 2" xfId="23464" xr:uid="{B73961A5-9FF0-4F87-97B4-FBF19D6CC51E}"/>
    <cellStyle name="Note 3 3 6 3 3" xfId="15016" xr:uid="{E6043430-D69B-4124-ABBA-EF6051451FD2}"/>
    <cellStyle name="Note 3 3 6 4" xfId="19246" xr:uid="{A54D4523-CD1F-4C81-BA78-20F88C4EA4A9}"/>
    <cellStyle name="Note 3 3 6 5" xfId="10798" xr:uid="{F2C4AE4A-2EB4-47D1-AF82-CD31364C09DC}"/>
    <cellStyle name="Note 3 3 7" xfId="2696" xr:uid="{00000000-0005-0000-0000-0000CF210000}"/>
    <cellStyle name="Note 3 3 7 2" xfId="6979" xr:uid="{00000000-0005-0000-0000-0000D0210000}"/>
    <cellStyle name="Note 3 3 7 2 2" xfId="23877" xr:uid="{7E0FA099-3DBC-4728-B672-62B46D84A3FC}"/>
    <cellStyle name="Note 3 3 7 2 3" xfId="15429" xr:uid="{6DDB94C0-B151-4B66-B435-B19ED0560A72}"/>
    <cellStyle name="Note 3 3 7 3" xfId="19659" xr:uid="{A633FE83-8836-4571-AC54-08CFA5680400}"/>
    <cellStyle name="Note 3 3 7 4" xfId="11211" xr:uid="{62265696-692D-4691-88A1-A24DE83EBEA9}"/>
    <cellStyle name="Note 3 3 8" xfId="2755" xr:uid="{00000000-0005-0000-0000-0000D1210000}"/>
    <cellStyle name="Note 3 3 9" xfId="2836" xr:uid="{00000000-0005-0000-0000-0000D2210000}"/>
    <cellStyle name="Note 3 3 9 2" xfId="7059" xr:uid="{00000000-0005-0000-0000-0000D3210000}"/>
    <cellStyle name="Note 3 3 9 2 2" xfId="23957" xr:uid="{E042827D-1E2F-4AEF-91E2-3017411FF22E}"/>
    <cellStyle name="Note 3 3 9 2 3" xfId="15509" xr:uid="{31E30FA7-E256-45E9-ACEB-FB08C493BBF4}"/>
    <cellStyle name="Note 3 3 9 3" xfId="19739" xr:uid="{9AC20427-52BD-498E-B2DB-0748B7541A0A}"/>
    <cellStyle name="Note 3 3 9 4" xfId="11291" xr:uid="{AFC3116C-EACA-43D5-B250-E1EB797BD756}"/>
    <cellStyle name="Note 3 4" xfId="560" xr:uid="{00000000-0005-0000-0000-0000D4210000}"/>
    <cellStyle name="Note 3 4 10" xfId="17596" xr:uid="{5A4A70B8-4F1B-42D9-A061-438CE591AFA5}"/>
    <cellStyle name="Note 3 4 11" xfId="9148" xr:uid="{ECE21C19-946D-470D-9054-0880C8BC1E7D}"/>
    <cellStyle name="Note 3 4 2" xfId="1020" xr:uid="{00000000-0005-0000-0000-0000D5210000}"/>
    <cellStyle name="Note 3 4 2 2" xfId="3252" xr:uid="{00000000-0005-0000-0000-0000D6210000}"/>
    <cellStyle name="Note 3 4 2 2 2" xfId="7474" xr:uid="{00000000-0005-0000-0000-0000D7210000}"/>
    <cellStyle name="Note 3 4 2 2 2 2" xfId="24372" xr:uid="{9A44223B-A8A0-4685-947B-317F9D485B94}"/>
    <cellStyle name="Note 3 4 2 2 2 3" xfId="15924" xr:uid="{2C119AC2-5B8C-473D-B917-EC65F3C2695E}"/>
    <cellStyle name="Note 3 4 2 2 3" xfId="20154" xr:uid="{F6774E73-DEF9-4216-A353-F9279DB5918F}"/>
    <cellStyle name="Note 3 4 2 2 4" xfId="11706" xr:uid="{C3E4E79F-C584-430D-BB29-2886D64A6A0B}"/>
    <cellStyle name="Note 3 4 2 3" xfId="5329" xr:uid="{00000000-0005-0000-0000-0000D8210000}"/>
    <cellStyle name="Note 3 4 2 3 2" xfId="22227" xr:uid="{0CD67B10-ADC9-4CD7-8B8E-51E23502F823}"/>
    <cellStyle name="Note 3 4 2 3 3" xfId="13779" xr:uid="{05288B30-99FA-4906-A10D-EE8CE183B8CC}"/>
    <cellStyle name="Note 3 4 2 4" xfId="18009" xr:uid="{DECDA65A-1F37-48A8-B8A3-407535F2E6C0}"/>
    <cellStyle name="Note 3 4 2 5" xfId="9561" xr:uid="{0AC4F518-4312-4E6E-906F-1371DEEE9B39}"/>
    <cellStyle name="Note 3 4 3" xfId="1435" xr:uid="{00000000-0005-0000-0000-0000D9210000}"/>
    <cellStyle name="Note 3 4 3 2" xfId="3665" xr:uid="{00000000-0005-0000-0000-0000DA210000}"/>
    <cellStyle name="Note 3 4 3 2 2" xfId="7887" xr:uid="{00000000-0005-0000-0000-0000DB210000}"/>
    <cellStyle name="Note 3 4 3 2 2 2" xfId="24785" xr:uid="{8568D4D8-713E-471A-A153-6D7FD6C453F0}"/>
    <cellStyle name="Note 3 4 3 2 2 3" xfId="16337" xr:uid="{EDB36337-5C43-4CF6-A6C2-A7F4B5AB59AC}"/>
    <cellStyle name="Note 3 4 3 2 3" xfId="20567" xr:uid="{DC0440C4-396A-4FED-9FFD-71BCC3849DBB}"/>
    <cellStyle name="Note 3 4 3 2 4" xfId="12119" xr:uid="{0B35EF0B-FAAD-4215-938F-2185A848D23E}"/>
    <cellStyle name="Note 3 4 3 3" xfId="5742" xr:uid="{00000000-0005-0000-0000-0000DC210000}"/>
    <cellStyle name="Note 3 4 3 3 2" xfId="22640" xr:uid="{12F709BF-0952-4AD8-B698-6208CE46A62D}"/>
    <cellStyle name="Note 3 4 3 3 3" xfId="14192" xr:uid="{DC4CCD07-9C9F-4D76-9778-E5A2B16BB050}"/>
    <cellStyle name="Note 3 4 3 4" xfId="18422" xr:uid="{72DEF533-FA36-41D0-9899-ABC85A2FCA05}"/>
    <cellStyle name="Note 3 4 3 5" xfId="9974" xr:uid="{5AC3F03B-C494-4368-8123-D0A5E6F21225}"/>
    <cellStyle name="Note 3 4 4" xfId="1849" xr:uid="{00000000-0005-0000-0000-0000DD210000}"/>
    <cellStyle name="Note 3 4 4 2" xfId="4078" xr:uid="{00000000-0005-0000-0000-0000DE210000}"/>
    <cellStyle name="Note 3 4 4 2 2" xfId="8300" xr:uid="{00000000-0005-0000-0000-0000DF210000}"/>
    <cellStyle name="Note 3 4 4 2 2 2" xfId="25198" xr:uid="{71854C16-8642-45B3-907F-A87DD603B73E}"/>
    <cellStyle name="Note 3 4 4 2 2 3" xfId="16750" xr:uid="{63D64494-DBBF-4C96-95F2-3D8D8056084A}"/>
    <cellStyle name="Note 3 4 4 2 3" xfId="20980" xr:uid="{F5AA60AE-89F4-41D2-9060-68F4CAE598EA}"/>
    <cellStyle name="Note 3 4 4 2 4" xfId="12532" xr:uid="{D5513854-B17A-4E26-9EAE-FADCC1CB9A93}"/>
    <cellStyle name="Note 3 4 4 3" xfId="6155" xr:uid="{00000000-0005-0000-0000-0000E0210000}"/>
    <cellStyle name="Note 3 4 4 3 2" xfId="23053" xr:uid="{618A7B8F-48EB-4D51-ABDF-9291A06ED314}"/>
    <cellStyle name="Note 3 4 4 3 3" xfId="14605" xr:uid="{C658E3DB-31C4-4A27-BF9A-C382BB957EEE}"/>
    <cellStyle name="Note 3 4 4 4" xfId="18835" xr:uid="{658E1538-2158-4CEC-8A9D-4A4645C7C5DC}"/>
    <cellStyle name="Note 3 4 4 5" xfId="10387" xr:uid="{8492F11E-F29A-4249-AF6A-5C47DA1C3E22}"/>
    <cellStyle name="Note 3 4 5" xfId="2262" xr:uid="{00000000-0005-0000-0000-0000E1210000}"/>
    <cellStyle name="Note 3 4 5 2" xfId="4491" xr:uid="{00000000-0005-0000-0000-0000E2210000}"/>
    <cellStyle name="Note 3 4 5 2 2" xfId="8713" xr:uid="{00000000-0005-0000-0000-0000E3210000}"/>
    <cellStyle name="Note 3 4 5 2 2 2" xfId="25611" xr:uid="{CA477322-8C4B-4C40-A54F-37086C9E29B6}"/>
    <cellStyle name="Note 3 4 5 2 2 3" xfId="17163" xr:uid="{5A7684B7-5C46-4B01-8503-7989EB71911F}"/>
    <cellStyle name="Note 3 4 5 2 3" xfId="21393" xr:uid="{27E2AC4C-1002-4399-BD57-A32225CFA2DA}"/>
    <cellStyle name="Note 3 4 5 2 4" xfId="12945" xr:uid="{3B673436-C631-42F7-9EBA-124D382B7120}"/>
    <cellStyle name="Note 3 4 5 3" xfId="6568" xr:uid="{00000000-0005-0000-0000-0000E4210000}"/>
    <cellStyle name="Note 3 4 5 3 2" xfId="23466" xr:uid="{386EBD94-CE6F-407C-91F1-FBF4E75975DD}"/>
    <cellStyle name="Note 3 4 5 3 3" xfId="15018" xr:uid="{C3EC8D21-8355-4561-84D4-B174F32B1DFE}"/>
    <cellStyle name="Note 3 4 5 4" xfId="19248" xr:uid="{B8ED3C0C-0100-4674-B601-13DB39C1BAAC}"/>
    <cellStyle name="Note 3 4 5 5" xfId="10800" xr:uid="{D1F2BA5C-D281-4E0C-8B3F-5A902E62CA83}"/>
    <cellStyle name="Note 3 4 6" xfId="2698" xr:uid="{00000000-0005-0000-0000-0000E5210000}"/>
    <cellStyle name="Note 3 4 6 2" xfId="6981" xr:uid="{00000000-0005-0000-0000-0000E6210000}"/>
    <cellStyle name="Note 3 4 6 2 2" xfId="23879" xr:uid="{4C2642D5-11B1-4C83-B86D-9BC871294C9A}"/>
    <cellStyle name="Note 3 4 6 2 3" xfId="15431" xr:uid="{4C36BA37-7E87-4857-B2B6-D004D3125B57}"/>
    <cellStyle name="Note 3 4 6 3" xfId="19661" xr:uid="{F0F114CD-14AB-45B8-9709-DF54268E7EF9}"/>
    <cellStyle name="Note 3 4 6 4" xfId="11213" xr:uid="{3209D627-903B-4BD0-B764-259EF86727B7}"/>
    <cellStyle name="Note 3 4 7" xfId="2757" xr:uid="{00000000-0005-0000-0000-0000E7210000}"/>
    <cellStyle name="Note 3 4 8" xfId="2838" xr:uid="{00000000-0005-0000-0000-0000E8210000}"/>
    <cellStyle name="Note 3 4 8 2" xfId="7061" xr:uid="{00000000-0005-0000-0000-0000E9210000}"/>
    <cellStyle name="Note 3 4 8 2 2" xfId="23959" xr:uid="{C5F81337-28BB-444D-8F5C-FF837018C81E}"/>
    <cellStyle name="Note 3 4 8 2 3" xfId="15511" xr:uid="{43A5C47A-5641-4482-B2A2-9081C33F77F9}"/>
    <cellStyle name="Note 3 4 8 3" xfId="19741" xr:uid="{729AD17C-5463-45CA-BCE6-2F6F2CC778F5}"/>
    <cellStyle name="Note 3 4 8 4" xfId="11293" xr:uid="{43CFDDE9-4228-4B45-82CC-EDA6C7BBB1CD}"/>
    <cellStyle name="Note 3 4 9" xfId="4916" xr:uid="{00000000-0005-0000-0000-0000EA210000}"/>
    <cellStyle name="Note 3 4 9 2" xfId="21814" xr:uid="{70ABC5C4-3A73-4256-8D1E-6571A8CD89A0}"/>
    <cellStyle name="Note 3 4 9 3" xfId="13366" xr:uid="{C297A9F6-1201-4931-8729-03F2B9EFB41D}"/>
    <cellStyle name="Note 3 5" xfId="561" xr:uid="{00000000-0005-0000-0000-0000EB210000}"/>
    <cellStyle name="Note 3 5 10" xfId="17597" xr:uid="{4038716A-6617-40B9-99BD-35C4B8199AFA}"/>
    <cellStyle name="Note 3 5 11" xfId="9149" xr:uid="{3146AA7F-7459-4DD8-8CFB-E8F4DF271AAB}"/>
    <cellStyle name="Note 3 5 2" xfId="1021" xr:uid="{00000000-0005-0000-0000-0000EC210000}"/>
    <cellStyle name="Note 3 5 2 2" xfId="3253" xr:uid="{00000000-0005-0000-0000-0000ED210000}"/>
    <cellStyle name="Note 3 5 2 2 2" xfId="7475" xr:uid="{00000000-0005-0000-0000-0000EE210000}"/>
    <cellStyle name="Note 3 5 2 2 2 2" xfId="24373" xr:uid="{9F75098B-AA8A-4E1C-A543-3EF63965DABF}"/>
    <cellStyle name="Note 3 5 2 2 2 3" xfId="15925" xr:uid="{A15856AF-3B47-4ACA-AAB9-5C267DFF1546}"/>
    <cellStyle name="Note 3 5 2 2 3" xfId="20155" xr:uid="{3BD9E156-5CF6-4FCC-90DF-919C4F2753EF}"/>
    <cellStyle name="Note 3 5 2 2 4" xfId="11707" xr:uid="{A5EDED42-FA01-4048-9480-76F3DA1A42DD}"/>
    <cellStyle name="Note 3 5 2 3" xfId="5330" xr:uid="{00000000-0005-0000-0000-0000EF210000}"/>
    <cellStyle name="Note 3 5 2 3 2" xfId="22228" xr:uid="{B1C5F4D6-9FDC-4553-8771-AC24903CEF6E}"/>
    <cellStyle name="Note 3 5 2 3 3" xfId="13780" xr:uid="{EC348ADA-3072-4B09-8796-FC02010C9913}"/>
    <cellStyle name="Note 3 5 2 4" xfId="18010" xr:uid="{BD05B9ED-F608-4C8E-AE50-0AEB209E8EF7}"/>
    <cellStyle name="Note 3 5 2 5" xfId="9562" xr:uid="{854EFB3D-9351-4544-AA7A-484D3734CAB9}"/>
    <cellStyle name="Note 3 5 3" xfId="1436" xr:uid="{00000000-0005-0000-0000-0000F0210000}"/>
    <cellStyle name="Note 3 5 3 2" xfId="3666" xr:uid="{00000000-0005-0000-0000-0000F1210000}"/>
    <cellStyle name="Note 3 5 3 2 2" xfId="7888" xr:uid="{00000000-0005-0000-0000-0000F2210000}"/>
    <cellStyle name="Note 3 5 3 2 2 2" xfId="24786" xr:uid="{AF852F02-397A-4BC1-BDF2-A2D632E8987F}"/>
    <cellStyle name="Note 3 5 3 2 2 3" xfId="16338" xr:uid="{D39D2182-5819-4701-968B-980EB1A3D3FC}"/>
    <cellStyle name="Note 3 5 3 2 3" xfId="20568" xr:uid="{542B6C5B-DE72-4E4E-90CD-DB6E6D9BF331}"/>
    <cellStyle name="Note 3 5 3 2 4" xfId="12120" xr:uid="{A293048D-86F9-4596-B91A-C4A416DA2CD8}"/>
    <cellStyle name="Note 3 5 3 3" xfId="5743" xr:uid="{00000000-0005-0000-0000-0000F3210000}"/>
    <cellStyle name="Note 3 5 3 3 2" xfId="22641" xr:uid="{517BACA0-AAF1-4896-B8FF-21F92EAF92F5}"/>
    <cellStyle name="Note 3 5 3 3 3" xfId="14193" xr:uid="{484190BB-AED7-47C8-ACE5-F6AB69933F85}"/>
    <cellStyle name="Note 3 5 3 4" xfId="18423" xr:uid="{C01618C8-5F0A-48A2-A1A2-5E9D46CBF026}"/>
    <cellStyle name="Note 3 5 3 5" xfId="9975" xr:uid="{268CF5C0-FC16-4463-9380-C105C7F9D557}"/>
    <cellStyle name="Note 3 5 4" xfId="1850" xr:uid="{00000000-0005-0000-0000-0000F4210000}"/>
    <cellStyle name="Note 3 5 4 2" xfId="4079" xr:uid="{00000000-0005-0000-0000-0000F5210000}"/>
    <cellStyle name="Note 3 5 4 2 2" xfId="8301" xr:uid="{00000000-0005-0000-0000-0000F6210000}"/>
    <cellStyle name="Note 3 5 4 2 2 2" xfId="25199" xr:uid="{E5EF83CB-4AFE-45FD-A4E3-D6C6A0EB2B90}"/>
    <cellStyle name="Note 3 5 4 2 2 3" xfId="16751" xr:uid="{8EC642C9-7D5B-45B3-B338-0F1296385B53}"/>
    <cellStyle name="Note 3 5 4 2 3" xfId="20981" xr:uid="{392032DF-742D-4507-A309-3225B82E7156}"/>
    <cellStyle name="Note 3 5 4 2 4" xfId="12533" xr:uid="{AE7911CC-904A-45BE-B53F-42A9E2A44D6B}"/>
    <cellStyle name="Note 3 5 4 3" xfId="6156" xr:uid="{00000000-0005-0000-0000-0000F7210000}"/>
    <cellStyle name="Note 3 5 4 3 2" xfId="23054" xr:uid="{CDDEFF30-19E5-46D9-9A6F-0C206002737C}"/>
    <cellStyle name="Note 3 5 4 3 3" xfId="14606" xr:uid="{0D1275B5-0417-4DB7-92EF-84C6D1EADC0B}"/>
    <cellStyle name="Note 3 5 4 4" xfId="18836" xr:uid="{1849BE69-9FDA-4C89-8995-1FD5426A52CC}"/>
    <cellStyle name="Note 3 5 4 5" xfId="10388" xr:uid="{BE294227-DED1-4FE9-B99D-C4CFFDCC3EB9}"/>
    <cellStyle name="Note 3 5 5" xfId="2263" xr:uid="{00000000-0005-0000-0000-0000F8210000}"/>
    <cellStyle name="Note 3 5 5 2" xfId="4492" xr:uid="{00000000-0005-0000-0000-0000F9210000}"/>
    <cellStyle name="Note 3 5 5 2 2" xfId="8714" xr:uid="{00000000-0005-0000-0000-0000FA210000}"/>
    <cellStyle name="Note 3 5 5 2 2 2" xfId="25612" xr:uid="{E301B4A1-E939-4A25-89D7-113E422C35C3}"/>
    <cellStyle name="Note 3 5 5 2 2 3" xfId="17164" xr:uid="{C62DDE21-7B37-48F4-944B-B100ACA9AD86}"/>
    <cellStyle name="Note 3 5 5 2 3" xfId="21394" xr:uid="{9847D2B9-CD61-4C53-9269-5F3DD0A7358E}"/>
    <cellStyle name="Note 3 5 5 2 4" xfId="12946" xr:uid="{F1C385E5-9420-4C33-A945-FF2184D41A10}"/>
    <cellStyle name="Note 3 5 5 3" xfId="6569" xr:uid="{00000000-0005-0000-0000-0000FB210000}"/>
    <cellStyle name="Note 3 5 5 3 2" xfId="23467" xr:uid="{70B7B705-2BE5-4600-915F-5DF285A1545D}"/>
    <cellStyle name="Note 3 5 5 3 3" xfId="15019" xr:uid="{BFB12E7D-9CA4-4936-9280-A3F97672CC5C}"/>
    <cellStyle name="Note 3 5 5 4" xfId="19249" xr:uid="{4C208F4F-DA5F-4F34-B552-29D8905F4A86}"/>
    <cellStyle name="Note 3 5 5 5" xfId="10801" xr:uid="{CAD4084E-2CA7-4ED3-97F9-1422D4AD9DFD}"/>
    <cellStyle name="Note 3 5 6" xfId="2699" xr:uid="{00000000-0005-0000-0000-0000FC210000}"/>
    <cellStyle name="Note 3 5 6 2" xfId="6982" xr:uid="{00000000-0005-0000-0000-0000FD210000}"/>
    <cellStyle name="Note 3 5 6 2 2" xfId="23880" xr:uid="{CCAFD73C-4BEC-4305-A359-8B1BBE3C4E25}"/>
    <cellStyle name="Note 3 5 6 2 3" xfId="15432" xr:uid="{B4889935-FF8D-4D6B-AC4D-2CDC4183BF8F}"/>
    <cellStyle name="Note 3 5 6 3" xfId="19662" xr:uid="{E67B3AA2-A12C-4229-BA02-894EDE756EB8}"/>
    <cellStyle name="Note 3 5 6 4" xfId="11214" xr:uid="{55272588-D8AA-408C-AA76-BF6603A94BC3}"/>
    <cellStyle name="Note 3 5 7" xfId="2758" xr:uid="{00000000-0005-0000-0000-0000FE210000}"/>
    <cellStyle name="Note 3 5 8" xfId="2839" xr:uid="{00000000-0005-0000-0000-0000FF210000}"/>
    <cellStyle name="Note 3 5 8 2" xfId="7062" xr:uid="{00000000-0005-0000-0000-000000220000}"/>
    <cellStyle name="Note 3 5 8 2 2" xfId="23960" xr:uid="{66E89EA3-0AF8-4F0E-9585-7F7B81371087}"/>
    <cellStyle name="Note 3 5 8 2 3" xfId="15512" xr:uid="{1AF04B0B-A0FC-494E-82CD-92086EA4D5D7}"/>
    <cellStyle name="Note 3 5 8 3" xfId="19742" xr:uid="{DD1CCB4C-750C-4B1F-86CD-710995398A3D}"/>
    <cellStyle name="Note 3 5 8 4" xfId="11294" xr:uid="{9899047B-BB64-4EE2-9550-EC8048085EC2}"/>
    <cellStyle name="Note 3 5 9" xfId="4917" xr:uid="{00000000-0005-0000-0000-000001220000}"/>
    <cellStyle name="Note 3 5 9 2" xfId="21815" xr:uid="{54DF2989-689D-4F5A-95A1-005D689E7CD1}"/>
    <cellStyle name="Note 3 5 9 3" xfId="13367" xr:uid="{955AB7D5-37FE-496D-A211-16914E733849}"/>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21398" xr:uid="{F7DCC1EB-940D-498A-8AA7-32EFD5FAA70E}"/>
    <cellStyle name="Percent 3 3" xfId="12950" xr:uid="{46769DB7-CAA3-4397-8F48-4D131B065827}"/>
    <cellStyle name="Percent 4" xfId="4502" xr:uid="{00000000-0005-0000-0000-000007220000}"/>
    <cellStyle name="Percent 4 2" xfId="8717" xr:uid="{00000000-0005-0000-0000-000008220000}"/>
    <cellStyle name="Percent 4 2 2" xfId="25615" xr:uid="{D427067B-27DA-45ED-A6F8-32AE28A6BCB1}"/>
    <cellStyle name="Percent 4 2 3" xfId="17167" xr:uid="{D6874DDD-2BE8-4501-8EB8-E5B4AE8622BB}"/>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25631" xr:uid="{DF5A354D-EA06-4E45-87AF-DFDA6ABB838C}"/>
    <cellStyle name="Percent 4 3 2 2 2 2 3" xfId="17183" xr:uid="{39925E40-FD06-4B10-9FD8-C99CB589F445}"/>
    <cellStyle name="Percent 4 3 2 2 2 3" xfId="25628" xr:uid="{8EF7422E-5F44-4D4A-81E1-485D56C6E595}"/>
    <cellStyle name="Percent 4 3 2 2 2 4" xfId="17180" xr:uid="{6B0D076E-C182-4935-887E-B564753061CD}"/>
    <cellStyle name="Percent 4 3 2 2 3" xfId="25624" xr:uid="{095291BE-0952-42AA-91D9-8337D247042A}"/>
    <cellStyle name="Percent 4 3 2 2 4" xfId="17176" xr:uid="{FE6BDE53-4AE0-40FD-BE4A-A0CC4D962618}"/>
    <cellStyle name="Percent 4 3 2 3" xfId="25621" xr:uid="{EA7A21F3-B8FF-448D-A620-FFEB1A2380FD}"/>
    <cellStyle name="Percent 4 3 2 4" xfId="17173" xr:uid="{AD5F82BD-B108-453B-A3BF-1FB362EB1132}"/>
    <cellStyle name="Percent 4 3 3" xfId="25618" xr:uid="{E4016516-00A3-41C3-9508-F502B41B9D09}"/>
    <cellStyle name="Percent 4 3 4" xfId="17170" xr:uid="{8E7FB4E8-7ECC-4C9D-B86E-FD3E47FAF835}"/>
    <cellStyle name="Percent 4 4" xfId="21401" xr:uid="{6C7A1172-4514-47C3-8935-F81A78A4475E}"/>
    <cellStyle name="Percent 4 5" xfId="12953" xr:uid="{89FE5BDA-3FB8-492D-8DB3-B2F56F1EAB17}"/>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0" t="s">
        <v>549</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0" t="s">
        <v>2034</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0" t="s">
        <v>2035</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0" t="s">
        <v>2603</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15"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c r="A18" s="204"/>
      <c r="B18" s="204"/>
      <c r="C18" s="205"/>
      <c r="D18" s="519" t="s">
        <v>2602</v>
      </c>
      <c r="E18" s="441"/>
      <c r="G18" s="441"/>
      <c r="H18" s="441"/>
      <c r="I18" s="441"/>
      <c r="J18" s="1273" t="s">
        <v>2601</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0" t="s">
        <v>2036</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15"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0" t="s">
        <v>2037</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c r="A31" s="204"/>
      <c r="B31" s="204"/>
      <c r="C31" s="205"/>
      <c r="D31" s="455"/>
      <c r="E31" s="1261" t="s">
        <v>2517</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c r="A32" s="4"/>
      <c r="C32" s="2"/>
    </row>
    <row r="33" spans="1:38">
      <c r="A33" s="4"/>
      <c r="D33" s="1272" t="s">
        <v>2141</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c r="A35" s="4"/>
      <c r="D35" s="120"/>
      <c r="E35" s="1267" t="s">
        <v>2044</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0"/>
      <c r="E36" s="1267" t="s">
        <v>2045</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15" customHeight="1">
      <c r="A40" s="4"/>
      <c r="B40"/>
      <c r="C40" s="2"/>
      <c r="D40" s="4"/>
      <c r="E40" s="4" t="s">
        <v>652</v>
      </c>
      <c r="F40" s="1260" t="s">
        <v>1163</v>
      </c>
    </row>
    <row r="41" spans="1:38" s="1260" customFormat="1" ht="13.15" customHeight="1">
      <c r="A41" s="4"/>
      <c r="B41"/>
      <c r="C41" s="2"/>
      <c r="D41" s="4"/>
      <c r="E41" s="4"/>
    </row>
    <row r="42" spans="1:38">
      <c r="A42" s="4"/>
      <c r="C42" s="2"/>
      <c r="D42" s="4"/>
      <c r="E42" s="4"/>
      <c r="F42" s="35" t="s">
        <v>686</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266" t="s">
        <v>1246</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1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686</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348</v>
      </c>
      <c r="F48" s="1260" t="s">
        <v>2039</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686</v>
      </c>
      <c r="G54" s="1265" t="s">
        <v>1190</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574</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508</v>
      </c>
      <c r="G57" s="1265" t="s">
        <v>2040</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260" t="s">
        <v>1165</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15" customHeight="1">
      <c r="A67" s="4"/>
      <c r="C67" s="2"/>
      <c r="D67" s="4"/>
      <c r="E67" s="4"/>
      <c r="F67" t="s">
        <v>508</v>
      </c>
      <c r="G67" s="1260" t="s">
        <v>1166</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260" t="s">
        <v>1167</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c r="A72" s="4"/>
      <c r="C72" s="2"/>
      <c r="D72" s="4"/>
      <c r="E72" s="4"/>
      <c r="F72" s="8" t="s">
        <v>508</v>
      </c>
      <c r="G72" s="1260" t="s">
        <v>1168</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277</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0" t="s">
        <v>1169</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0" t="s">
        <v>1170</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t="s">
        <v>261</v>
      </c>
      <c r="F87" t="s">
        <v>865</v>
      </c>
      <c r="G87" s="4"/>
      <c r="L87" s="4"/>
      <c r="M87" s="4"/>
      <c r="P87" s="4"/>
      <c r="Q87" s="4"/>
      <c r="R87" s="4"/>
      <c r="S87" s="4"/>
      <c r="T87" s="4"/>
      <c r="U87" s="4"/>
      <c r="V87" s="4"/>
      <c r="W87" s="4"/>
      <c r="X87" s="4"/>
      <c r="Y87" s="4"/>
      <c r="Z87" s="4"/>
      <c r="AA87" s="4"/>
      <c r="AB87" s="4"/>
    </row>
    <row r="88" spans="1:37">
      <c r="A88" s="4"/>
      <c r="C88" s="2"/>
      <c r="D88" s="4"/>
      <c r="E88" s="4"/>
      <c r="G88" s="1263" t="s">
        <v>1171</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0" t="s">
        <v>1172</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260" t="s">
        <v>1173</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D98" s="99"/>
      <c r="E98" s="1264" t="s">
        <v>1174</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1185</v>
      </c>
      <c r="H103" s="2"/>
      <c r="I103" s="2"/>
      <c r="K103" s="2"/>
    </row>
    <row r="104" spans="1:38">
      <c r="B104" s="2"/>
      <c r="C104" s="2"/>
      <c r="D104" s="2" t="s">
        <v>206</v>
      </c>
      <c r="E104" s="2" t="s">
        <v>1187</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1014</v>
      </c>
      <c r="G117" s="4"/>
    </row>
    <row r="118" spans="2:10">
      <c r="F118" s="99" t="s">
        <v>1186</v>
      </c>
      <c r="G118" s="99"/>
    </row>
    <row r="119" spans="2:10">
      <c r="G119" s="99"/>
    </row>
    <row r="120" spans="2:10">
      <c r="E120" s="4" t="s">
        <v>762</v>
      </c>
      <c r="F120" s="98" t="s">
        <v>377</v>
      </c>
    </row>
    <row r="121" spans="2:10">
      <c r="E121" s="4"/>
      <c r="F121" s="4" t="s">
        <v>1006</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922</v>
      </c>
      <c r="F125" s="4"/>
    </row>
    <row r="126" spans="2:10"/>
    <row r="127" spans="2:10">
      <c r="D127" s="2" t="s">
        <v>340</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1212</v>
      </c>
      <c r="F136" s="4"/>
    </row>
    <row r="137" spans="4:37">
      <c r="F137" s="4"/>
    </row>
    <row r="138" spans="4:37">
      <c r="D138" s="2" t="s">
        <v>302</v>
      </c>
      <c r="E138" s="2" t="s">
        <v>2041</v>
      </c>
      <c r="F138" s="2"/>
      <c r="G138" s="2"/>
      <c r="H138" s="2"/>
    </row>
    <row r="139" spans="4:37">
      <c r="E139" t="s">
        <v>112</v>
      </c>
      <c r="F139" t="s">
        <v>52</v>
      </c>
    </row>
    <row r="140" spans="4:37">
      <c r="E140" t="s">
        <v>113</v>
      </c>
      <c r="F140" t="s">
        <v>465</v>
      </c>
    </row>
    <row r="141" spans="4:37"/>
    <row r="142" spans="4:37">
      <c r="D142" s="2" t="s">
        <v>428</v>
      </c>
      <c r="E142" s="2" t="s">
        <v>2042</v>
      </c>
    </row>
    <row r="143" spans="4:37">
      <c r="E143" s="204" t="s">
        <v>2043</v>
      </c>
      <c r="F143" s="204"/>
    </row>
    <row r="144" spans="4:37"/>
    <row r="145" spans="3:7">
      <c r="C145" s="2" t="s">
        <v>6</v>
      </c>
      <c r="G145" s="2" t="s">
        <v>379</v>
      </c>
    </row>
    <row r="146" spans="3:7">
      <c r="D146" s="2" t="s">
        <v>206</v>
      </c>
      <c r="E146" s="2" t="s">
        <v>135</v>
      </c>
    </row>
    <row r="147" spans="3:7">
      <c r="E147" t="s">
        <v>796</v>
      </c>
    </row>
    <row r="148" spans="3:7"/>
    <row r="149" spans="3:7">
      <c r="D149" s="2" t="s">
        <v>340</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302</v>
      </c>
      <c r="E161" s="2" t="s">
        <v>380</v>
      </c>
    </row>
    <row r="162" spans="3:20">
      <c r="E162" s="4" t="s">
        <v>928</v>
      </c>
      <c r="F162" s="4"/>
    </row>
    <row r="163" spans="3:20"/>
    <row r="164" spans="3:20">
      <c r="D164" s="2" t="s">
        <v>428</v>
      </c>
      <c r="E164" s="2" t="s">
        <v>171</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296</v>
      </c>
    </row>
    <row r="171" spans="3:20">
      <c r="F171" s="4"/>
    </row>
    <row r="172" spans="3:20">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206</v>
      </c>
      <c r="E176" s="2" t="s">
        <v>297</v>
      </c>
      <c r="G176" s="4"/>
      <c r="H176" s="4"/>
      <c r="I176" s="4"/>
      <c r="J176" s="4"/>
      <c r="K176" s="4"/>
      <c r="L176" s="4"/>
      <c r="M176" s="4"/>
      <c r="N176" s="4"/>
    </row>
    <row r="177" spans="2:19">
      <c r="E177" t="s">
        <v>112</v>
      </c>
      <c r="F177" s="4" t="s">
        <v>931</v>
      </c>
    </row>
    <row r="178" spans="2:19">
      <c r="F178" s="120" t="s">
        <v>1147</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340</v>
      </c>
      <c r="E183" s="2" t="s">
        <v>1007</v>
      </c>
    </row>
    <row r="184" spans="2:19">
      <c r="B184" s="4"/>
      <c r="C184" s="4"/>
      <c r="E184" s="4" t="s">
        <v>708</v>
      </c>
      <c r="F184" s="4"/>
      <c r="I184" s="4"/>
    </row>
    <row r="185" spans="2:19">
      <c r="B185" s="4"/>
      <c r="C185" s="4"/>
      <c r="E185" s="4" t="s">
        <v>1005</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513</v>
      </c>
      <c r="E190" s="2" t="s">
        <v>111</v>
      </c>
    </row>
    <row r="191" spans="2:19">
      <c r="B191" s="4"/>
      <c r="C191" s="2"/>
      <c r="E191" t="s">
        <v>112</v>
      </c>
      <c r="F191" s="4" t="s">
        <v>1015</v>
      </c>
      <c r="G191" s="4"/>
      <c r="H191" s="4"/>
      <c r="I191" s="4"/>
    </row>
    <row r="192" spans="2:19">
      <c r="B192" s="4"/>
      <c r="C192" s="2"/>
      <c r="F192" s="4" t="s">
        <v>652</v>
      </c>
      <c r="G192" s="3" t="s">
        <v>1206</v>
      </c>
    </row>
    <row r="193" spans="2:37">
      <c r="B193" s="4"/>
      <c r="C193" s="4"/>
      <c r="F193" s="4" t="s">
        <v>347</v>
      </c>
      <c r="G193" s="3" t="s">
        <v>1207</v>
      </c>
      <c r="I193" s="4"/>
      <c r="J193" s="4"/>
      <c r="M193" s="4"/>
      <c r="N193" s="4"/>
      <c r="O193" s="4"/>
      <c r="P193" s="4"/>
      <c r="Q193" s="4"/>
      <c r="R193" s="4"/>
      <c r="S193" s="4"/>
    </row>
    <row r="194" spans="2:37">
      <c r="B194" s="4"/>
      <c r="C194" s="4"/>
      <c r="F194" s="4" t="s">
        <v>348</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260" t="s">
        <v>1175</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347</v>
      </c>
      <c r="G242" s="136" t="s">
        <v>942</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652</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347</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286</v>
      </c>
      <c r="G268" s="4"/>
    </row>
    <row r="269" spans="2:21">
      <c r="B269" s="2"/>
      <c r="C269" s="2"/>
      <c r="E269" s="4" t="s">
        <v>254</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652</v>
      </c>
      <c r="G291" s="4" t="s">
        <v>259</v>
      </c>
      <c r="K291" s="4"/>
      <c r="L291" s="4"/>
      <c r="M291" s="4"/>
      <c r="N291" s="4"/>
      <c r="O291" s="4"/>
      <c r="P291" s="4"/>
      <c r="Q291" s="4"/>
      <c r="R291" s="4"/>
      <c r="S291" s="4"/>
      <c r="T291" s="4"/>
      <c r="U291" s="4"/>
      <c r="V291" s="4"/>
      <c r="W291" s="4"/>
    </row>
    <row r="292" spans="2:23">
      <c r="B292" s="2"/>
      <c r="D292" s="4"/>
      <c r="E292" s="4"/>
      <c r="F292" s="4" t="s">
        <v>347</v>
      </c>
      <c r="G292" s="4" t="s">
        <v>939</v>
      </c>
      <c r="H292" s="4"/>
      <c r="K292" s="4"/>
      <c r="L292" s="4"/>
      <c r="M292" s="4"/>
      <c r="N292" s="4"/>
      <c r="O292" s="4"/>
      <c r="P292" s="4"/>
      <c r="Q292" s="4"/>
      <c r="R292" s="4"/>
      <c r="S292" s="4"/>
      <c r="T292" s="4"/>
      <c r="U292" s="4"/>
      <c r="V292" s="4"/>
      <c r="W292" s="4"/>
    </row>
    <row r="293" spans="2:23">
      <c r="B293" s="2"/>
      <c r="D293" s="4"/>
      <c r="E293" s="4"/>
      <c r="F293" s="4" t="s">
        <v>348</v>
      </c>
      <c r="G293" s="4" t="s">
        <v>560</v>
      </c>
      <c r="K293" s="4"/>
      <c r="L293" s="4"/>
      <c r="M293" s="4"/>
      <c r="N293" s="4"/>
      <c r="O293" s="4"/>
      <c r="P293" s="4"/>
      <c r="Q293" s="4"/>
      <c r="R293" s="4"/>
      <c r="S293" s="4"/>
      <c r="T293" s="4"/>
      <c r="U293" s="4"/>
      <c r="V293" s="4"/>
      <c r="W293" s="4"/>
    </row>
    <row r="294" spans="2:23">
      <c r="B294" s="2"/>
      <c r="D294" s="4"/>
      <c r="E294" s="4"/>
      <c r="F294" s="4" t="s">
        <v>443</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288</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340</v>
      </c>
      <c r="E314" s="2" t="s">
        <v>750</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249</v>
      </c>
      <c r="D323" s="2" t="s">
        <v>206</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260" t="s">
        <v>1154</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F339" s="4"/>
      <c r="H339" s="4"/>
      <c r="I339" s="4"/>
      <c r="J339" s="4"/>
      <c r="K339" s="4"/>
      <c r="L339" s="4"/>
      <c r="M339" s="4"/>
      <c r="N339" s="4"/>
      <c r="O339" s="4"/>
      <c r="P339" s="4"/>
      <c r="Q339" s="4"/>
      <c r="R339" s="4"/>
      <c r="S339" s="4"/>
    </row>
    <row r="340" spans="2:37">
      <c r="B340" s="2"/>
      <c r="C340" s="2" t="s">
        <v>430</v>
      </c>
      <c r="G340" s="2" t="s">
        <v>1228</v>
      </c>
      <c r="I340" s="2"/>
      <c r="J340" s="4"/>
      <c r="K340" s="4"/>
      <c r="L340" s="4"/>
      <c r="M340" s="4"/>
      <c r="N340" s="4"/>
      <c r="O340" s="4"/>
      <c r="P340" s="4"/>
      <c r="Q340" s="4"/>
      <c r="R340" s="4"/>
      <c r="S340" s="4"/>
    </row>
    <row r="341" spans="2:37" ht="13.15" customHeight="1">
      <c r="B341" s="2"/>
      <c r="E341" s="1265" t="s">
        <v>1235</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0" t="s">
        <v>1237</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t="s">
        <v>113</v>
      </c>
      <c r="F350" s="1260" t="s">
        <v>1236</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268" t="s">
        <v>1226</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c r="A367"/>
      <c r="B367" s="2"/>
      <c r="C367"/>
      <c r="D367"/>
      <c r="E367" s="1266" t="s">
        <v>1258</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1259</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0" t="s">
        <v>1269</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K58" sqref="K58"/>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72" t="s">
        <v>1585</v>
      </c>
      <c r="B1" s="2672"/>
      <c r="C1" s="2672"/>
      <c r="D1" s="2672"/>
      <c r="E1" s="2672"/>
      <c r="F1" s="2672"/>
      <c r="G1" s="2672"/>
      <c r="H1" s="2672"/>
      <c r="I1" s="2672"/>
      <c r="J1" s="2672"/>
    </row>
    <row r="2" spans="1:13" ht="15" customHeight="1" thickBot="1">
      <c r="A2" s="1046"/>
      <c r="B2" s="1046"/>
      <c r="I2" s="1047"/>
      <c r="K2" s="1048"/>
    </row>
    <row r="3" spans="1:13" s="1051" customFormat="1" ht="20.100000000000001" customHeight="1">
      <c r="A3" s="1100"/>
      <c r="B3" s="1101"/>
      <c r="C3" s="1102"/>
      <c r="D3" s="1107"/>
      <c r="E3" s="1102"/>
      <c r="F3" s="1103" t="s">
        <v>1989</v>
      </c>
      <c r="G3" s="1102"/>
      <c r="H3" s="1104">
        <f>E18</f>
        <v>39384646</v>
      </c>
      <c r="I3" s="1105"/>
    </row>
    <row r="4" spans="1:13" s="1051" customFormat="1" ht="20.100000000000001" customHeight="1">
      <c r="B4" s="1094"/>
      <c r="D4" s="1108"/>
      <c r="F4" s="1092" t="s">
        <v>1991</v>
      </c>
      <c r="G4" s="1091" t="s">
        <v>1990</v>
      </c>
      <c r="H4" s="1093">
        <f>I18</f>
        <v>30715763.59599673</v>
      </c>
      <c r="I4" s="1095"/>
      <c r="K4" s="1055"/>
    </row>
    <row r="5" spans="1:13" s="1051" customFormat="1" ht="20.100000000000001" customHeight="1" thickBot="1">
      <c r="B5" s="1096"/>
      <c r="C5" s="1097"/>
      <c r="D5" s="1109"/>
      <c r="E5" s="1098"/>
      <c r="F5" s="1109" t="s">
        <v>1941</v>
      </c>
      <c r="G5" s="1110"/>
      <c r="H5" s="1106">
        <f>IFERROR(H3/H4,0)</f>
        <v>1.2822291028810076</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5" t="s">
        <v>1939</v>
      </c>
      <c r="C8" s="2676"/>
      <c r="D8" s="2676"/>
      <c r="E8" s="2677"/>
      <c r="G8" s="2652" t="s">
        <v>1940</v>
      </c>
      <c r="H8" s="2653"/>
      <c r="I8" s="2654"/>
      <c r="K8" s="1057"/>
    </row>
    <row r="9" spans="1:13" ht="15" customHeight="1">
      <c r="A9" s="1046"/>
      <c r="B9" s="2673" t="s">
        <v>1973</v>
      </c>
      <c r="C9" s="2673"/>
      <c r="D9" s="2673"/>
      <c r="E9" s="1059">
        <f>G33</f>
        <v>8037500</v>
      </c>
      <c r="G9" s="2665" t="s">
        <v>1971</v>
      </c>
      <c r="H9" s="2665"/>
      <c r="I9" s="1060">
        <f>SUMIF(Application!M554:M565,"Loan, Tax-Exempt",Application!AM554:AM565)</f>
        <v>20262958</v>
      </c>
      <c r="K9" s="1061"/>
      <c r="M9" s="1062"/>
    </row>
    <row r="10" spans="1:13" ht="15" customHeight="1" thickBot="1">
      <c r="A10" s="1046"/>
      <c r="B10" s="2673" t="s">
        <v>1974</v>
      </c>
      <c r="C10" s="2673"/>
      <c r="D10" s="2673"/>
      <c r="E10" s="1060">
        <f>G47</f>
        <v>16258896</v>
      </c>
      <c r="G10" s="2679" t="s">
        <v>1942</v>
      </c>
      <c r="H10" s="2679"/>
      <c r="I10" s="1140">
        <f>'Basis &amp; Credits'!AB78</f>
        <v>13350001</v>
      </c>
      <c r="M10" s="1062"/>
    </row>
    <row r="11" spans="1:13" ht="15" customHeight="1">
      <c r="A11" s="1046"/>
      <c r="B11" s="2666" t="s">
        <v>2262</v>
      </c>
      <c r="C11" s="2667"/>
      <c r="D11" s="2668"/>
      <c r="E11" s="1060">
        <f>SUM(E12,E13)</f>
        <v>460000</v>
      </c>
      <c r="G11" s="2664" t="s">
        <v>1982</v>
      </c>
      <c r="H11" s="2664"/>
      <c r="I11" s="1139">
        <f>I9+I10</f>
        <v>33612959</v>
      </c>
      <c r="M11" s="1062"/>
    </row>
    <row r="12" spans="1:13" ht="15" customHeight="1">
      <c r="A12" s="1063"/>
      <c r="B12" s="2674" t="s">
        <v>2264</v>
      </c>
      <c r="C12" s="2674"/>
      <c r="D12" s="2674"/>
      <c r="E12" s="1165">
        <f>G56</f>
        <v>0</v>
      </c>
      <c r="M12" s="1062"/>
    </row>
    <row r="13" spans="1:13" ht="15" customHeight="1">
      <c r="A13" s="1049"/>
      <c r="B13" s="2674" t="s">
        <v>2265</v>
      </c>
      <c r="C13" s="2674"/>
      <c r="D13" s="2674"/>
      <c r="E13" s="1165">
        <f>G65</f>
        <v>460000</v>
      </c>
      <c r="G13" s="2652" t="s">
        <v>2005</v>
      </c>
      <c r="H13" s="2653"/>
      <c r="I13" s="2654"/>
      <c r="M13" s="1062"/>
    </row>
    <row r="14" spans="1:13" ht="15" customHeight="1">
      <c r="A14" s="1049"/>
      <c r="B14" s="2666" t="s">
        <v>2263</v>
      </c>
      <c r="C14" s="2667"/>
      <c r="D14" s="2668"/>
      <c r="E14" s="1167">
        <f>MAX(E15,E16)+E17</f>
        <v>14628250</v>
      </c>
      <c r="G14" s="2665" t="s">
        <v>139</v>
      </c>
      <c r="H14" s="2665"/>
      <c r="I14" s="1064">
        <f>15%*(AND(G120="Yes",G122&lt;&gt;""))</f>
        <v>0</v>
      </c>
      <c r="M14" s="1062"/>
    </row>
    <row r="15" spans="1:13" ht="15" customHeight="1">
      <c r="A15" s="1049"/>
      <c r="B15" s="2649" t="s">
        <v>2269</v>
      </c>
      <c r="C15" s="2650"/>
      <c r="D15" s="2651"/>
      <c r="E15" s="1165">
        <f>G80</f>
        <v>4822500</v>
      </c>
      <c r="G15" s="1137" t="s">
        <v>1983</v>
      </c>
      <c r="H15" s="1137"/>
      <c r="I15" s="1064">
        <f>IF(Application!AJ1032&gt;0,10%,IF(Application!AJ1036&gt;0,5%,0))</f>
        <v>0</v>
      </c>
      <c r="M15" s="1062"/>
    </row>
    <row r="16" spans="1:13" ht="15" customHeight="1">
      <c r="A16" s="1049"/>
      <c r="B16" s="2649" t="s">
        <v>2268</v>
      </c>
      <c r="C16" s="2650"/>
      <c r="D16" s="2651"/>
      <c r="E16" s="1165">
        <f>G90</f>
        <v>0</v>
      </c>
      <c r="G16" s="2665" t="s">
        <v>1984</v>
      </c>
      <c r="H16" s="2665"/>
      <c r="I16" s="1064">
        <f>G132</f>
        <v>8.6192810457516339E-2</v>
      </c>
    </row>
    <row r="17" spans="1:21" ht="15" customHeight="1" thickBot="1">
      <c r="A17" s="1049"/>
      <c r="B17" s="2649" t="s">
        <v>2267</v>
      </c>
      <c r="C17" s="2650"/>
      <c r="D17" s="2651"/>
      <c r="E17" s="1165">
        <f>G115</f>
        <v>9805750</v>
      </c>
      <c r="G17" s="2665" t="s">
        <v>2277</v>
      </c>
      <c r="H17" s="2665"/>
      <c r="I17" s="1064">
        <f>IF(AND(G139="Yes",OR(G136,G137)),IF(G143&gt;15%,15%,G143),0)</f>
        <v>0</v>
      </c>
    </row>
    <row r="18" spans="1:21" ht="15" customHeight="1">
      <c r="A18" s="1046"/>
      <c r="B18" s="2678" t="s">
        <v>1938</v>
      </c>
      <c r="C18" s="2678"/>
      <c r="D18" s="2678"/>
      <c r="E18" s="1111">
        <f>SUM(E9:E11,E14)</f>
        <v>39384646</v>
      </c>
      <c r="G18" s="1138" t="s">
        <v>1972</v>
      </c>
      <c r="H18" s="1138"/>
      <c r="I18" s="1112">
        <f>I11-((I11*I14)+(I11*I15)+(I11*I16)+(I11*I17))</f>
        <v>30715763.59599673</v>
      </c>
      <c r="M18" s="1065">
        <f>SUM(Cdlac[Quantity])</f>
        <v>130</v>
      </c>
      <c r="O18" s="1084" t="s">
        <v>581</v>
      </c>
      <c r="P18" s="1044">
        <f>MATCH(Application!T189,Application!CB160:CB217,0)</f>
        <v>7</v>
      </c>
      <c r="T18" s="1065">
        <f>SUM(Cdlac[Population])</f>
        <v>0</v>
      </c>
    </row>
    <row r="19" spans="1:21" ht="15" customHeight="1">
      <c r="A19" s="1046"/>
      <c r="B19" s="1046"/>
      <c r="C19" s="1046"/>
      <c r="D19" s="1046"/>
      <c r="E19" s="1046"/>
      <c r="L19" s="1044" t="s">
        <v>1934</v>
      </c>
      <c r="M19" s="1044" t="s">
        <v>1933</v>
      </c>
      <c r="N19" s="1044" t="s">
        <v>1945</v>
      </c>
      <c r="O19" s="1044" t="s">
        <v>1946</v>
      </c>
      <c r="P19" s="1044" t="s">
        <v>1935</v>
      </c>
      <c r="Q19" s="1044" t="s">
        <v>2260</v>
      </c>
      <c r="R19" s="1044" t="s">
        <v>1936</v>
      </c>
      <c r="S19" s="1044" t="s">
        <v>1947</v>
      </c>
      <c r="T19" s="1044" t="s">
        <v>1953</v>
      </c>
      <c r="U19" s="1044" t="s">
        <v>384</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5</v>
      </c>
      <c r="N20" s="1071">
        <f>Application!AC718</f>
        <v>0.3</v>
      </c>
      <c r="O20" s="1071">
        <f>IF(Cdlac[[#This Row],[Quantity]]&gt;0,IF(Cdlac[[#This Row],[Federal]],30%,IF(AND(OR(NOT($G$38),$G$38=""),$G$43),40%,Cdlac[[#This Row],[iAMI]])),"")</f>
        <v>0.3</v>
      </c>
      <c r="P20" s="1065" cm="1">
        <f t="array" ref="P20">IF(Cdlac[[#This Row],[Quantity]]&gt;0,INDEX(TcacRents,$P$18,Cdlac[[#This Row],[Bedrooms]]+1)*Cdlac[[#This Row],[AMI]],"")</f>
        <v>898.8</v>
      </c>
      <c r="Q20" s="1164"/>
      <c r="R20" s="1065" cm="1">
        <f t="array" ref="R20">IF(Cdlac[[#This Row],[Quantity]]&gt;0,INDEX(HudFmrs,$P$18,Cdlac[[#This Row],[Bedrooms]]+1),"")</f>
        <v>2201</v>
      </c>
      <c r="S20" s="1065">
        <f>IF(Cdlac[[#This Row],[Quantity]]&gt;0,MAX(0,Cdlac[[#This Row],[Fair Market Rent]]-IF(AND($G$37,$G$38,$G$38&lt;&gt;"",NOT(Cdlac[[#This Row],[Federal]]),Cdlac[[#This Row],[Preservation Rent]]&lt;&gt;""),Cdlac[[#This Row],[Preservation Rent]],Cdlac[[#This Row],[Restricted Rent]])),"")</f>
        <v>1302.2</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8</v>
      </c>
      <c r="N21" s="1071">
        <f>Application!AC719</f>
        <v>0.5</v>
      </c>
      <c r="O21" s="1071">
        <f>IF(Cdlac[[#This Row],[Quantity]]&gt;0,IF(Cdlac[[#This Row],[Federal]],30%,IF(AND(OR(NOT($G$38),$G$38=""),$G$43),40%,Cdlac[[#This Row],[iAMI]])),"")</f>
        <v>0.5</v>
      </c>
      <c r="P21" s="1065" cm="1">
        <f t="array" ref="P21">IF(Cdlac[[#This Row],[Quantity]]&gt;0,INDEX(TcacRents,$P$18,Cdlac[[#This Row],[Bedrooms]]+1)*Cdlac[[#This Row],[AMI]],"")</f>
        <v>1498</v>
      </c>
      <c r="Q21" s="1164"/>
      <c r="R21" s="1065" cm="1">
        <f t="array" ref="R21">IF(Cdlac[[#This Row],[Quantity]]&gt;0,INDEX(HudFmrs,$P$18,Cdlac[[#This Row],[Bedrooms]]+1),"")</f>
        <v>2201</v>
      </c>
      <c r="S21" s="1065">
        <f>IF(Cdlac[[#This Row],[Quantity]]&gt;0,MAX(0,Cdlac[[#This Row],[Fair Market Rent]]-IF(AND($G$37,$G$38,$G$38&lt;&gt;"",NOT(Cdlac[[#This Row],[Federal]]),Cdlac[[#This Row],[Preservation Rent]]&lt;&gt;""),Cdlac[[#This Row],[Preservation Rent]],Cdlac[[#This Row],[Restricted Rent]])),"")</f>
        <v>703</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56" t="s">
        <v>1986</v>
      </c>
      <c r="D22" s="2656" t="s">
        <v>1987</v>
      </c>
      <c r="E22" s="2656" t="s">
        <v>1988</v>
      </c>
      <c r="F22" s="2656" t="s">
        <v>2608</v>
      </c>
      <c r="G22" s="2656" t="s">
        <v>1985</v>
      </c>
      <c r="H22" s="1070"/>
      <c r="I22" s="1069"/>
      <c r="L22" s="1044">
        <f>IFERROR(MIN(4,MATCH(Application!B720,UnitSizes,0)-1),"")</f>
        <v>1</v>
      </c>
      <c r="M22" s="1065">
        <f>Application!G720</f>
        <v>12</v>
      </c>
      <c r="N22" s="1071">
        <f>Application!AC720</f>
        <v>0.6</v>
      </c>
      <c r="O22" s="1071">
        <f>IF(Cdlac[[#This Row],[Quantity]]&gt;0,IF(Cdlac[[#This Row],[Federal]],30%,IF(AND(OR(NOT($G$38),$G$38=""),$G$43),40%,Cdlac[[#This Row],[iAMI]])),"")</f>
        <v>0.6</v>
      </c>
      <c r="P22" s="1065" cm="1">
        <f t="array" ref="P22">IF(Cdlac[[#This Row],[Quantity]]&gt;0,INDEX(TcacRents,$P$18,Cdlac[[#This Row],[Bedrooms]]+1)*Cdlac[[#This Row],[AMI]],"")</f>
        <v>1797.6</v>
      </c>
      <c r="Q22" s="1164"/>
      <c r="R22" s="1065" cm="1">
        <f t="array" ref="R22">IF(Cdlac[[#This Row],[Quantity]]&gt;0,INDEX(HudFmrs,$P$18,Cdlac[[#This Row],[Bedrooms]]+1),"")</f>
        <v>2201</v>
      </c>
      <c r="S22" s="1065">
        <f>IF(Cdlac[[#This Row],[Quantity]]&gt;0,MAX(0,Cdlac[[#This Row],[Fair Market Rent]]-IF(AND($G$37,$G$38,$G$38&lt;&gt;"",NOT(Cdlac[[#This Row],[Federal]]),Cdlac[[#This Row],[Preservation Rent]]&lt;&gt;""),Cdlac[[#This Row],[Preservation Rent]],Cdlac[[#This Row],[Restricted Rent]])),"")</f>
        <v>403.40000000000009</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57"/>
      <c r="D23" s="2657"/>
      <c r="E23" s="2657"/>
      <c r="F23" s="2657"/>
      <c r="G23" s="2657"/>
      <c r="H23" s="1070"/>
      <c r="I23" s="1069"/>
      <c r="L23" s="1044">
        <f>IFERROR(MIN(4,MATCH(Application!B721,UnitSizes,0)-1),"")</f>
        <v>1</v>
      </c>
      <c r="M23" s="1065">
        <f>Application!G721</f>
        <v>21</v>
      </c>
      <c r="N23" s="1071">
        <f>Application!AC721</f>
        <v>0.8</v>
      </c>
      <c r="O23" s="1071">
        <f>IF(Cdlac[[#This Row],[Quantity]]&gt;0,IF(Cdlac[[#This Row],[Federal]],30%,IF(AND(OR(NOT($G$38),$G$38=""),$G$43),40%,Cdlac[[#This Row],[iAMI]])),"")</f>
        <v>0.8</v>
      </c>
      <c r="P23" s="1065" cm="1">
        <f t="array" ref="P23">IF(Cdlac[[#This Row],[Quantity]]&gt;0,INDEX(TcacRents,$P$18,Cdlac[[#This Row],[Bedrooms]]+1)*Cdlac[[#This Row],[AMI]],"")</f>
        <v>2396.8000000000002</v>
      </c>
      <c r="Q23" s="1164"/>
      <c r="R23" s="1065" cm="1">
        <f t="array" ref="R23">IF(Cdlac[[#This Row],[Quantity]]&gt;0,INDEX(HudFmrs,$P$18,Cdlac[[#This Row],[Bedrooms]]+1),"")</f>
        <v>2201</v>
      </c>
      <c r="S23" s="1065">
        <f>IF(Cdlac[[#This Row],[Quantity]]&gt;0,MAX(0,Cdlac[[#This Row],[Fair Market Rent]]-IF(AND($G$37,$G$38,$G$38&lt;&gt;"",NOT(Cdlac[[#This Row],[Federal]]),Cdlac[[#This Row],[Preservation Rent]]&lt;&gt;""),Cdlac[[#This Row],[Preservation Rent]],Cdlac[[#This Row],[Restricted Rent]])),"")</f>
        <v>0</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7</v>
      </c>
      <c r="N24" s="1071">
        <f>Application!AC722</f>
        <v>0.3</v>
      </c>
      <c r="O24" s="1071">
        <f>IF(Cdlac[[#This Row],[Quantity]]&gt;0,IF(Cdlac[[#This Row],[Federal]],30%,IF(AND(OR(NOT($G$38),$G$38=""),$G$43),40%,Cdlac[[#This Row],[iAMI]])),"")</f>
        <v>0.3</v>
      </c>
      <c r="P24" s="1065" cm="1">
        <f t="array" ref="P24">IF(Cdlac[[#This Row],[Quantity]]&gt;0,INDEX(TcacRents,$P$18,Cdlac[[#This Row],[Bedrooms]]+1)*Cdlac[[#This Row],[AMI]],"")</f>
        <v>1078.8</v>
      </c>
      <c r="Q24" s="1164"/>
      <c r="R24" s="1065" cm="1">
        <f t="array" ref="R24">IF(Cdlac[[#This Row],[Quantity]]&gt;0,INDEX(HudFmrs,$P$18,Cdlac[[#This Row],[Bedrooms]]+1),"")</f>
        <v>2682</v>
      </c>
      <c r="S24" s="1065">
        <f>IF(Cdlac[[#This Row],[Quantity]]&gt;0,MAX(0,Cdlac[[#This Row],[Fair Market Rent]]-IF(AND($G$37,$G$38,$G$38&lt;&gt;"",NOT(Cdlac[[#This Row],[Federal]]),Cdlac[[#This Row],[Preservation Rent]]&lt;&gt;""),Cdlac[[#This Row],[Preservation Rent]],Cdlac[[#This Row],[Restricted Rent]])),"")</f>
        <v>1603.2</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46</v>
      </c>
      <c r="F25" s="1072">
        <f>E25</f>
        <v>46</v>
      </c>
      <c r="G25" s="1072">
        <f>D25*F25</f>
        <v>46</v>
      </c>
      <c r="L25" s="1044">
        <f>IFERROR(MIN(4,MATCH(Application!B723,UnitSizes,0)-1),"")</f>
        <v>2</v>
      </c>
      <c r="M25" s="1065">
        <f>Application!G723</f>
        <v>9</v>
      </c>
      <c r="N25" s="1071">
        <f>Application!AC723</f>
        <v>0.5</v>
      </c>
      <c r="O25" s="1071">
        <f>IF(Cdlac[[#This Row],[Quantity]]&gt;0,IF(Cdlac[[#This Row],[Federal]],30%,IF(AND(OR(NOT($G$38),$G$38=""),$G$43),40%,Cdlac[[#This Row],[iAMI]])),"")</f>
        <v>0.5</v>
      </c>
      <c r="P25" s="1065" cm="1">
        <f t="array" ref="P25">IF(Cdlac[[#This Row],[Quantity]]&gt;0,INDEX(TcacRents,$P$18,Cdlac[[#This Row],[Bedrooms]]+1)*Cdlac[[#This Row],[AMI]],"")</f>
        <v>1798</v>
      </c>
      <c r="Q25" s="1164"/>
      <c r="R25" s="1065" cm="1">
        <f t="array" ref="R25">IF(Cdlac[[#This Row],[Quantity]]&gt;0,INDEX(HudFmrs,$P$18,Cdlac[[#This Row],[Bedrooms]]+1),"")</f>
        <v>2682</v>
      </c>
      <c r="S25" s="1065">
        <f>IF(Cdlac[[#This Row],[Quantity]]&gt;0,MAX(0,Cdlac[[#This Row],[Fair Market Rent]]-IF(AND($G$37,$G$38,$G$38&lt;&gt;"",NOT(Cdlac[[#This Row],[Federal]]),Cdlac[[#This Row],[Preservation Rent]]&lt;&gt;""),Cdlac[[#This Row],[Preservation Rent]],Cdlac[[#This Row],[Restricted Rent]])),"")</f>
        <v>884</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42</v>
      </c>
      <c r="F26" s="1075">
        <f>SUM(E26:E28)-SUM(F27:F28)</f>
        <v>45</v>
      </c>
      <c r="G26" s="1072">
        <f>D26*F26</f>
        <v>56.25</v>
      </c>
      <c r="H26" s="1074"/>
      <c r="I26" s="1074"/>
      <c r="L26" s="1044">
        <f>IFERROR(MIN(4,MATCH(Application!B724,UnitSizes,0)-1),"")</f>
        <v>2</v>
      </c>
      <c r="M26" s="1065">
        <f>Application!G724</f>
        <v>13</v>
      </c>
      <c r="N26" s="1071">
        <f>Application!AC724</f>
        <v>0.6</v>
      </c>
      <c r="O26" s="1071">
        <f>IF(Cdlac[[#This Row],[Quantity]]&gt;0,IF(Cdlac[[#This Row],[Federal]],30%,IF(AND(OR(NOT($G$38),$G$38=""),$G$43),40%,Cdlac[[#This Row],[iAMI]])),"")</f>
        <v>0.6</v>
      </c>
      <c r="P26" s="1065" cm="1">
        <f t="array" ref="P26">IF(Cdlac[[#This Row],[Quantity]]&gt;0,INDEX(TcacRents,$P$18,Cdlac[[#This Row],[Bedrooms]]+1)*Cdlac[[#This Row],[AMI]],"")</f>
        <v>2157.6</v>
      </c>
      <c r="Q26" s="1164"/>
      <c r="R26" s="1065" cm="1">
        <f t="array" ref="R26">IF(Cdlac[[#This Row],[Quantity]]&gt;0,INDEX(HudFmrs,$P$18,Cdlac[[#This Row],[Bedrooms]]+1),"")</f>
        <v>2682</v>
      </c>
      <c r="S26" s="1065">
        <f>IF(Cdlac[[#This Row],[Quantity]]&gt;0,MAX(0,Cdlac[[#This Row],[Fair Market Rent]]-IF(AND($G$37,$G$38,$G$38&lt;&gt;"",NOT(Cdlac[[#This Row],[Federal]]),Cdlac[[#This Row],[Preservation Rent]]&lt;&gt;""),Cdlac[[#This Row],[Preservation Rent]],Cdlac[[#This Row],[Restricted Rent]])),"")</f>
        <v>524.40000000000009</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42</v>
      </c>
      <c r="F27" s="1075">
        <f>MIN(E27,ROUNDDOWN(E29*30%,0))</f>
        <v>39</v>
      </c>
      <c r="G27" s="1072">
        <f>D27*F27</f>
        <v>58.5</v>
      </c>
      <c r="H27" s="1074"/>
      <c r="I27" s="1074"/>
      <c r="L27" s="1044">
        <f>IFERROR(MIN(4,MATCH(Application!B725,UnitSizes,0)-1),"")</f>
        <v>2</v>
      </c>
      <c r="M27" s="1065">
        <f>Application!G725</f>
        <v>13</v>
      </c>
      <c r="N27" s="1071">
        <f>Application!AC725</f>
        <v>0.8</v>
      </c>
      <c r="O27" s="1071">
        <f>IF(Cdlac[[#This Row],[Quantity]]&gt;0,IF(Cdlac[[#This Row],[Federal]],30%,IF(AND(OR(NOT($G$38),$G$38=""),$G$43),40%,Cdlac[[#This Row],[iAMI]])),"")</f>
        <v>0.8</v>
      </c>
      <c r="P27" s="1065" cm="1">
        <f t="array" ref="P27">IF(Cdlac[[#This Row],[Quantity]]&gt;0,INDEX(TcacRents,$P$18,Cdlac[[#This Row],[Bedrooms]]+1)*Cdlac[[#This Row],[AMI]],"")</f>
        <v>2876.8</v>
      </c>
      <c r="Q27" s="1164"/>
      <c r="R27" s="1065" cm="1">
        <f t="array" ref="R27">IF(Cdlac[[#This Row],[Quantity]]&gt;0,INDEX(HudFmrs,$P$18,Cdlac[[#This Row],[Bedrooms]]+1),"")</f>
        <v>2682</v>
      </c>
      <c r="S27" s="1065">
        <f>IF(Cdlac[[#This Row],[Quantity]]&gt;0,MAX(0,Cdlac[[#This Row],[Fair Market Rent]]-IF(AND($G$37,$G$38,$G$38&lt;&gt;"",NOT(Cdlac[[#This Row],[Federal]]),Cdlac[[#This Row],[Preservation Rent]]&lt;&gt;""),Cdlac[[#This Row],[Preservation Rent]],Cdlac[[#This Row],[Restricted Rent]])),"")</f>
        <v>0</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3</v>
      </c>
      <c r="M28" s="1065">
        <f>Application!G726</f>
        <v>11</v>
      </c>
      <c r="N28" s="1071">
        <f>Application!AC726</f>
        <v>0.3</v>
      </c>
      <c r="O28" s="1071">
        <f>IF(Cdlac[[#This Row],[Quantity]]&gt;0,IF(Cdlac[[#This Row],[Federal]],30%,IF(AND(OR(NOT($G$38),$G$38=""),$G$43),40%,Cdlac[[#This Row],[iAMI]])),"")</f>
        <v>0.3</v>
      </c>
      <c r="P28" s="1065" cm="1">
        <f t="array" ref="P28">IF(Cdlac[[#This Row],[Quantity]]&gt;0,INDEX(TcacRents,$P$18,Cdlac[[#This Row],[Bedrooms]]+1)*Cdlac[[#This Row],[AMI]],"")</f>
        <v>1246.2</v>
      </c>
      <c r="Q28" s="1164"/>
      <c r="R28" s="1065" cm="1">
        <f t="array" ref="R28">IF(Cdlac[[#This Row],[Quantity]]&gt;0,INDEX(HudFmrs,$P$18,Cdlac[[#This Row],[Bedrooms]]+1),"")</f>
        <v>3432</v>
      </c>
      <c r="S28" s="1065">
        <f>IF(Cdlac[[#This Row],[Quantity]]&gt;0,MAX(0,Cdlac[[#This Row],[Fair Market Rent]]-IF(AND($G$37,$G$38,$G$38&lt;&gt;"",NOT(Cdlac[[#This Row],[Federal]]),Cdlac[[#This Row],[Preservation Rent]]&lt;&gt;""),Cdlac[[#This Row],[Preservation Rent]],Cdlac[[#This Row],[Restricted Rent]])),"")</f>
        <v>2185.8000000000002</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58" t="s">
        <v>1586</v>
      </c>
      <c r="D29" s="2659"/>
      <c r="E29" s="1089">
        <f>SUM(E24:E28)</f>
        <v>130</v>
      </c>
      <c r="F29" s="1089">
        <f>SUM(F24:F28)</f>
        <v>130</v>
      </c>
      <c r="G29" s="1090">
        <f>SUMPRODUCT(D24:D28,F24:F28)</f>
        <v>160.75</v>
      </c>
      <c r="H29" s="1074"/>
      <c r="I29" s="1074"/>
      <c r="L29" s="1044">
        <f>IFERROR(MIN(4,MATCH(Application!B727,UnitSizes,0)-1),"")</f>
        <v>3</v>
      </c>
      <c r="M29" s="1065">
        <f>Application!G727</f>
        <v>10</v>
      </c>
      <c r="N29" s="1071">
        <f>Application!AC727</f>
        <v>0.5</v>
      </c>
      <c r="O29" s="1071">
        <f>IF(Cdlac[[#This Row],[Quantity]]&gt;0,IF(Cdlac[[#This Row],[Federal]],30%,IF(AND(OR(NOT($G$38),$G$38=""),$G$43),40%,Cdlac[[#This Row],[iAMI]])),"")</f>
        <v>0.5</v>
      </c>
      <c r="P29" s="1065" cm="1">
        <f t="array" ref="P29">IF(Cdlac[[#This Row],[Quantity]]&gt;0,INDEX(TcacRents,$P$18,Cdlac[[#This Row],[Bedrooms]]+1)*Cdlac[[#This Row],[AMI]],"")</f>
        <v>2077</v>
      </c>
      <c r="Q29" s="1164"/>
      <c r="R29" s="1065" cm="1">
        <f t="array" ref="R29">IF(Cdlac[[#This Row],[Quantity]]&gt;0,INDEX(HudFmrs,$P$18,Cdlac[[#This Row],[Bedrooms]]+1),"")</f>
        <v>3432</v>
      </c>
      <c r="S29" s="1065">
        <f>IF(Cdlac[[#This Row],[Quantity]]&gt;0,MAX(0,Cdlac[[#This Row],[Fair Market Rent]]-IF(AND($G$37,$G$38,$G$38&lt;&gt;"",NOT(Cdlac[[#This Row],[Federal]]),Cdlac[[#This Row],[Preservation Rent]]&lt;&gt;""),Cdlac[[#This Row],[Preservation Rent]],Cdlac[[#This Row],[Restricted Rent]])),"")</f>
        <v>1355</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3</v>
      </c>
      <c r="M30" s="1065">
        <f>Application!G728</f>
        <v>9</v>
      </c>
      <c r="N30" s="1071">
        <f>Application!AC728</f>
        <v>0.6</v>
      </c>
      <c r="O30" s="1071">
        <f>IF(Cdlac[[#This Row],[Quantity]]&gt;0,IF(Cdlac[[#This Row],[Federal]],30%,IF(AND(OR(NOT($G$38),$G$38=""),$G$43),40%,Cdlac[[#This Row],[iAMI]])),"")</f>
        <v>0.6</v>
      </c>
      <c r="P30" s="1065" cm="1">
        <f t="array" ref="P30">IF(Cdlac[[#This Row],[Quantity]]&gt;0,INDEX(TcacRents,$P$18,Cdlac[[#This Row],[Bedrooms]]+1)*Cdlac[[#This Row],[AMI]],"")</f>
        <v>2492.4</v>
      </c>
      <c r="Q30" s="1164"/>
      <c r="R30" s="1065" cm="1">
        <f t="array" ref="R30">IF(Cdlac[[#This Row],[Quantity]]&gt;0,INDEX(HudFmrs,$P$18,Cdlac[[#This Row],[Bedrooms]]+1),"")</f>
        <v>3432</v>
      </c>
      <c r="S30" s="1065">
        <f>IF(Cdlac[[#This Row],[Quantity]]&gt;0,MAX(0,Cdlac[[#This Row],[Fair Market Rent]]-IF(AND($G$37,$G$38,$G$38&lt;&gt;"",NOT(Cdlac[[#This Row],[Federal]]),Cdlac[[#This Row],[Preservation Rent]]&lt;&gt;""),Cdlac[[#This Row],[Preservation Rent]],Cdlac[[#This Row],[Restricted Rent]])),"")</f>
        <v>939.59999999999991</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1985</v>
      </c>
      <c r="G31" s="1114">
        <f>G29</f>
        <v>160.75</v>
      </c>
      <c r="H31" s="1074"/>
      <c r="I31" s="1074"/>
      <c r="L31" s="1044">
        <f>IFERROR(MIN(4,MATCH(Application!B729,UnitSizes,0)-1),"")</f>
        <v>3</v>
      </c>
      <c r="M31" s="1065">
        <f>Application!G729</f>
        <v>12</v>
      </c>
      <c r="N31" s="1071">
        <f>Application!AC729</f>
        <v>0.8</v>
      </c>
      <c r="O31" s="1071">
        <f>IF(Cdlac[[#This Row],[Quantity]]&gt;0,IF(Cdlac[[#This Row],[Federal]],30%,IF(AND(OR(NOT($G$38),$G$38=""),$G$43),40%,Cdlac[[#This Row],[iAMI]])),"")</f>
        <v>0.8</v>
      </c>
      <c r="P31" s="1065" cm="1">
        <f t="array" ref="P31">IF(Cdlac[[#This Row],[Quantity]]&gt;0,INDEX(TcacRents,$P$18,Cdlac[[#This Row],[Bedrooms]]+1)*Cdlac[[#This Row],[AMI]],"")</f>
        <v>3323.2000000000003</v>
      </c>
      <c r="Q31" s="1164"/>
      <c r="R31" s="1065" cm="1">
        <f t="array" ref="R31">IF(Cdlac[[#This Row],[Quantity]]&gt;0,INDEX(HudFmrs,$P$18,Cdlac[[#This Row],[Bedrooms]]+1),"")</f>
        <v>3432</v>
      </c>
      <c r="S31" s="1065">
        <f>IF(Cdlac[[#This Row],[Quantity]]&gt;0,MAX(0,Cdlac[[#This Row],[Fair Market Rent]]-IF(AND($G$37,$G$38,$G$38&lt;&gt;"",NOT(Cdlac[[#This Row],[Federal]]),Cdlac[[#This Row],[Preservation Rent]]&lt;&gt;""),Cdlac[[#This Row],[Preservation Rent]],Cdlac[[#This Row],[Restricted Rent]])),"")</f>
        <v>108.79999999999973</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1944</v>
      </c>
      <c r="F32" s="1113" t="s">
        <v>1992</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1978</v>
      </c>
      <c r="F33" s="1046"/>
      <c r="G33" s="1119">
        <f>G32*G31</f>
        <v>8037500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2258</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2259</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61" t="str">
        <f>IF(AND(G37,G38,G38&lt;&gt;""),"Enter the average rent charged for each unit type over the last three years, as documented with rent rolls or property audits, in cells Q20:Q44","")</f>
        <v/>
      </c>
      <c r="D39" s="2661"/>
      <c r="E39" s="2661"/>
      <c r="F39" s="2661"/>
      <c r="G39" s="2661"/>
      <c r="H39" s="2661"/>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61"/>
      <c r="D40" s="2661"/>
      <c r="E40" s="2661"/>
      <c r="F40" s="2661"/>
      <c r="G40" s="2661"/>
      <c r="H40" s="2661"/>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61"/>
      <c r="D41" s="2661"/>
      <c r="E41" s="2661"/>
      <c r="F41" s="2661"/>
      <c r="G41" s="2661"/>
      <c r="H41" s="2661"/>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2003</v>
      </c>
      <c r="G42" s="1120" cm="1">
        <f t="array" ref="G42">SUMPRODUCT(Cdlac[Quantity],Cdlac[iAMI],IF(Cdlac[Federal],0,1))/SUMIFS(Cdlac[Quantity],Cdlac[Federal],FALSE)</f>
        <v>0.59692307692307689</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1998</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1948</v>
      </c>
      <c r="G45" s="1078">
        <f>IFERROR(SUMPRODUCT(Cdlac[Quantity],Cdlac[Delta]),0)</f>
        <v>90327.2</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2004</v>
      </c>
      <c r="F46" s="1113" t="s">
        <v>1992</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1943</v>
      </c>
      <c r="F47" s="1046"/>
      <c r="G47" s="1123">
        <f>G45*G46</f>
        <v>16258896</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1993</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1994</v>
      </c>
      <c r="G52" s="1114">
        <f>ROUNDDOWN(E29*50%,0)</f>
        <v>65</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1954</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1944</v>
      </c>
      <c r="F55" s="1113" t="s">
        <v>1992</v>
      </c>
      <c r="G55" s="1124">
        <v>10000</v>
      </c>
      <c r="M55" s="1065"/>
      <c r="N55" s="1071"/>
      <c r="O55" s="1071"/>
      <c r="P55" s="1065"/>
      <c r="Q55" s="1164"/>
      <c r="R55" s="1065"/>
      <c r="S55" s="1065"/>
    </row>
    <row r="56" spans="2:21" ht="15" customHeight="1">
      <c r="E56" s="1118" t="s">
        <v>1977</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1995</v>
      </c>
      <c r="G60" s="1079">
        <f>SUMIFS(Cdlac[Quantity],Cdlac[iAMI],"&lt;=30%")</f>
        <v>23</v>
      </c>
    </row>
    <row r="61" spans="2:21" ht="15" customHeight="1">
      <c r="E61" s="1117" t="s">
        <v>1994</v>
      </c>
      <c r="G61" s="1079">
        <f>ROUNDDOWN(E29*50%,0)</f>
        <v>65</v>
      </c>
    </row>
    <row r="62" spans="2:21" ht="15" customHeight="1">
      <c r="E62" s="1117"/>
      <c r="G62" s="1079"/>
    </row>
    <row r="63" spans="2:21" ht="15" customHeight="1">
      <c r="E63" s="1117" t="s">
        <v>1954</v>
      </c>
      <c r="G63" s="1114">
        <f>MIN(G60:G61)</f>
        <v>23</v>
      </c>
    </row>
    <row r="64" spans="2:21" ht="15" customHeight="1">
      <c r="E64" s="1117" t="s">
        <v>1944</v>
      </c>
      <c r="F64" s="1113" t="s">
        <v>1992</v>
      </c>
      <c r="G64" s="1124">
        <v>20000</v>
      </c>
    </row>
    <row r="65" spans="2:14" ht="15" customHeight="1">
      <c r="E65" s="1118" t="s">
        <v>1976</v>
      </c>
      <c r="F65" s="1046"/>
      <c r="G65" s="1123">
        <f>G63*G64</f>
        <v>460000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1980</v>
      </c>
      <c r="G69" s="1043" t="s">
        <v>544</v>
      </c>
    </row>
    <row r="70" spans="2:14" ht="15" customHeight="1">
      <c r="C70" s="1077" t="s">
        <v>1981</v>
      </c>
      <c r="G70" s="1081" t="str">
        <f>IF(Application!D211="Large Family","Yes","No")</f>
        <v>Yes</v>
      </c>
    </row>
    <row r="71" spans="2:14" ht="15" customHeight="1" thickBot="1">
      <c r="C71" s="1077" t="s">
        <v>1967</v>
      </c>
      <c r="G71" s="1043"/>
    </row>
    <row r="72" spans="2:14" ht="15" customHeight="1">
      <c r="C72" s="1077" t="s">
        <v>1968</v>
      </c>
      <c r="G72" s="1044" t="str">
        <f>Application!T193</f>
        <v>Highest Resource</v>
      </c>
      <c r="L72" s="2669" t="s">
        <v>1969</v>
      </c>
      <c r="M72" s="2670"/>
      <c r="N72" s="1131">
        <v>30000</v>
      </c>
    </row>
    <row r="73" spans="2:14" ht="15" customHeight="1">
      <c r="C73" s="2671" t="s">
        <v>2261</v>
      </c>
      <c r="D73" s="2671"/>
      <c r="E73" s="2671"/>
      <c r="F73" s="2671"/>
      <c r="G73" s="1043"/>
      <c r="L73" s="2680" t="s">
        <v>1937</v>
      </c>
      <c r="M73" s="2681"/>
      <c r="N73" s="1132">
        <v>20000</v>
      </c>
    </row>
    <row r="74" spans="2:14" ht="15" customHeight="1" thickBot="1">
      <c r="C74" s="2671"/>
      <c r="D74" s="2671"/>
      <c r="E74" s="2671"/>
      <c r="F74" s="2671"/>
      <c r="L74" s="2682" t="s">
        <v>1970</v>
      </c>
      <c r="M74" s="2683"/>
      <c r="N74" s="1133">
        <v>10000</v>
      </c>
    </row>
    <row r="75" spans="2:14" ht="15" customHeight="1">
      <c r="C75" s="1077"/>
    </row>
    <row r="76" spans="2:14" ht="15" customHeight="1">
      <c r="E76" s="1084" t="s">
        <v>1999</v>
      </c>
      <c r="G76" s="1079" t="b">
        <f>OR(AND(COUNTIFS(G70:G71,"Yes")&gt;=1,G69="Yes"),G73="Yes")</f>
        <v>1</v>
      </c>
    </row>
    <row r="77" spans="2:14" ht="15" customHeight="1">
      <c r="E77" s="1084"/>
      <c r="G77" s="1079"/>
    </row>
    <row r="78" spans="2:14" ht="15" customHeight="1">
      <c r="E78" s="1084" t="s">
        <v>1944</v>
      </c>
      <c r="G78" s="1078">
        <f>IFERROR(IF($G$73="Yes",30000,INDEX(N72:N74,MATCH(LEFT(G72,17),L72:L74,0))),0)</f>
        <v>30000</v>
      </c>
    </row>
    <row r="79" spans="2:14" ht="15" customHeight="1">
      <c r="E79" s="1084" t="str">
        <f>E96</f>
        <v>Bedroom-Adjusted Low-Income Units</v>
      </c>
      <c r="F79" s="1113" t="s">
        <v>1992</v>
      </c>
      <c r="G79" s="1114">
        <f>G29</f>
        <v>160.75</v>
      </c>
    </row>
    <row r="80" spans="2:14" ht="15" customHeight="1">
      <c r="D80" s="1046"/>
      <c r="E80" s="1118" t="s">
        <v>2266</v>
      </c>
      <c r="F80" s="1046"/>
      <c r="G80" s="1123">
        <f>G79*G78*G76</f>
        <v>4822500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1975</v>
      </c>
      <c r="G84" s="1043"/>
    </row>
    <row r="85" spans="2:9" ht="15" customHeight="1">
      <c r="F85" s="1116"/>
    </row>
    <row r="86" spans="2:9" ht="15" customHeight="1">
      <c r="E86" s="1084" t="s">
        <v>1999</v>
      </c>
      <c r="G86" s="1079" t="b">
        <f>G84="Yes"</f>
        <v>0</v>
      </c>
    </row>
    <row r="87" spans="2:9" ht="15" customHeight="1"/>
    <row r="88" spans="2:9" ht="15" customHeight="1">
      <c r="E88" s="1084" t="str">
        <f>E96</f>
        <v>Bedroom-Adjusted Low-Income Units</v>
      </c>
      <c r="G88" s="1114">
        <f>G29</f>
        <v>160.75</v>
      </c>
    </row>
    <row r="89" spans="2:9" ht="15" customHeight="1">
      <c r="E89" s="1084" t="s">
        <v>1944</v>
      </c>
      <c r="F89" s="1113" t="s">
        <v>1992</v>
      </c>
      <c r="G89" s="1050">
        <v>20000</v>
      </c>
    </row>
    <row r="90" spans="2:9" ht="15" customHeight="1">
      <c r="E90" s="1118" t="s">
        <v>2270</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1955</v>
      </c>
      <c r="G94" s="1114">
        <f>VLOOKUP('Points System'!$H$606,'Points System'!$AO$586:$AP$591,2,FALSE)</f>
        <v>7</v>
      </c>
    </row>
    <row r="95" spans="2:9" ht="15" customHeight="1">
      <c r="E95" s="1084" t="s">
        <v>1944</v>
      </c>
      <c r="F95" s="1113" t="s">
        <v>1992</v>
      </c>
      <c r="G95" s="1076">
        <v>4000</v>
      </c>
    </row>
    <row r="96" spans="2:9" ht="15" customHeight="1" thickBot="1">
      <c r="E96" s="1084" t="s">
        <v>1996</v>
      </c>
      <c r="F96" s="1113" t="s">
        <v>1992</v>
      </c>
      <c r="G96" s="1126">
        <f>G29</f>
        <v>160.75</v>
      </c>
    </row>
    <row r="97" spans="2:14" ht="15" customHeight="1">
      <c r="E97" s="1118" t="s">
        <v>1961</v>
      </c>
      <c r="F97" s="1046"/>
      <c r="G97" s="1123">
        <f>G94*G95*G96</f>
        <v>4501000</v>
      </c>
      <c r="L97" s="1127" t="str">
        <f>'Points System'!H638</f>
        <v>(ii)</v>
      </c>
      <c r="M97" s="2688" t="s">
        <v>1405</v>
      </c>
      <c r="N97" s="2689"/>
    </row>
    <row r="98" spans="2:14" ht="15" customHeight="1">
      <c r="C98" s="1077"/>
      <c r="G98" s="1114"/>
      <c r="L98" s="1128" t="str">
        <f>'Points System'!H650</f>
        <v>N/A</v>
      </c>
      <c r="M98" s="2684" t="s">
        <v>1956</v>
      </c>
      <c r="N98" s="2685"/>
    </row>
    <row r="99" spans="2:14" ht="15" customHeight="1">
      <c r="E99" s="1084" t="s">
        <v>1997</v>
      </c>
      <c r="G99" s="1126">
        <f>COUNTIFS(L97:L104,"(i)")</f>
        <v>2</v>
      </c>
      <c r="L99" s="1128" t="str">
        <f>'Points System'!H685</f>
        <v>(i)</v>
      </c>
      <c r="M99" s="2684" t="s">
        <v>1957</v>
      </c>
      <c r="N99" s="2685"/>
    </row>
    <row r="100" spans="2:14" ht="15" customHeight="1">
      <c r="E100" s="1084" t="s">
        <v>1944</v>
      </c>
      <c r="F100" s="1113" t="s">
        <v>1992</v>
      </c>
      <c r="G100" s="1124">
        <v>4000</v>
      </c>
      <c r="L100" s="1128" t="str">
        <f>IF(OR('Points System'!H709="(ii)",'Points System'!H709="(i)"),"(i)","N/A")</f>
        <v>N/A</v>
      </c>
      <c r="M100" s="2684" t="s">
        <v>1958</v>
      </c>
      <c r="N100" s="2685"/>
    </row>
    <row r="101" spans="2:14" ht="15" customHeight="1">
      <c r="E101" s="1118" t="s">
        <v>1962</v>
      </c>
      <c r="F101" s="1046"/>
      <c r="G101" s="1123">
        <f>G96*G99*G100</f>
        <v>1286000</v>
      </c>
      <c r="L101" s="1129" t="str">
        <f>'Points System'!H723</f>
        <v>N/A</v>
      </c>
      <c r="M101" s="2684" t="s">
        <v>1431</v>
      </c>
      <c r="N101" s="2685"/>
    </row>
    <row r="102" spans="2:14" ht="15" customHeight="1">
      <c r="L102" s="1128" t="str">
        <f>'Points System'!H735</f>
        <v>N/A</v>
      </c>
      <c r="M102" s="2684" t="s">
        <v>1959</v>
      </c>
      <c r="N102" s="2685"/>
    </row>
    <row r="103" spans="2:14" ht="15" customHeight="1">
      <c r="C103" s="1080" t="s">
        <v>1964</v>
      </c>
      <c r="L103" s="1128" t="str">
        <f>'Points System'!H751</f>
        <v>(ii)</v>
      </c>
      <c r="M103" s="2684" t="s">
        <v>1960</v>
      </c>
      <c r="N103" s="2685"/>
    </row>
    <row r="104" spans="2:14" ht="15" customHeight="1" thickBot="1">
      <c r="C104" s="1077" t="s">
        <v>1965</v>
      </c>
      <c r="G104" s="1043"/>
      <c r="L104" s="1130" t="str">
        <f>'Points System'!H763</f>
        <v>(i)</v>
      </c>
      <c r="M104" s="2686" t="s">
        <v>1434</v>
      </c>
      <c r="N104" s="2687"/>
    </row>
    <row r="105" spans="2:14" ht="15" customHeight="1">
      <c r="C105" s="1077" t="s">
        <v>1966</v>
      </c>
      <c r="G105" s="1043"/>
    </row>
    <row r="106" spans="2:14" ht="15" customHeight="1">
      <c r="C106" s="1077" t="s">
        <v>2139</v>
      </c>
      <c r="G106" s="1043" t="s">
        <v>544</v>
      </c>
    </row>
    <row r="107" spans="2:14" ht="15" customHeight="1">
      <c r="C107" s="1077" t="s">
        <v>2140</v>
      </c>
      <c r="G107" s="1043"/>
    </row>
    <row r="108" spans="2:14" ht="15" customHeight="1"/>
    <row r="109" spans="2:14" ht="15" customHeight="1">
      <c r="B109" s="1078"/>
      <c r="C109" s="1077"/>
      <c r="E109" s="1084" t="s">
        <v>1999</v>
      </c>
      <c r="G109" s="1079" t="b">
        <f>COUNTIFS(G104:G107,"Yes")&gt;=1</f>
        <v>1</v>
      </c>
    </row>
    <row r="110" spans="2:14" ht="15" customHeight="1">
      <c r="E110" s="1077"/>
    </row>
    <row r="111" spans="2:14" ht="15" customHeight="1">
      <c r="E111" s="1084" t="s">
        <v>1996</v>
      </c>
      <c r="F111" s="1113" t="s">
        <v>1992</v>
      </c>
      <c r="G111" s="1114">
        <f>G29</f>
        <v>160.75</v>
      </c>
    </row>
    <row r="112" spans="2:14" ht="15" customHeight="1">
      <c r="E112" s="1084" t="s">
        <v>1944</v>
      </c>
      <c r="F112" s="1113" t="s">
        <v>1992</v>
      </c>
      <c r="G112" s="1124">
        <v>25000</v>
      </c>
    </row>
    <row r="113" spans="2:9" ht="15" customHeight="1">
      <c r="E113" s="1118" t="s">
        <v>1963</v>
      </c>
      <c r="F113" s="1046"/>
      <c r="G113" s="1123">
        <f>G109*G112*G96</f>
        <v>4018750</v>
      </c>
    </row>
    <row r="114" spans="2:9" ht="15" customHeight="1">
      <c r="C114" s="1077"/>
      <c r="E114" s="1077"/>
    </row>
    <row r="115" spans="2:9" ht="15" customHeight="1">
      <c r="E115" s="1118" t="s">
        <v>2271</v>
      </c>
      <c r="G115" s="1123">
        <f>G113+G101+G97</f>
        <v>9805750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60" t="s">
        <v>2226</v>
      </c>
      <c r="D119" s="2660"/>
      <c r="E119" s="2660"/>
      <c r="F119" s="2660"/>
    </row>
    <row r="120" spans="2:9" ht="15" customHeight="1">
      <c r="C120" s="2660"/>
      <c r="D120" s="2660"/>
      <c r="E120" s="2660"/>
      <c r="F120" s="2660"/>
      <c r="G120" s="1043"/>
    </row>
    <row r="121" spans="2:9" ht="15" customHeight="1"/>
    <row r="122" spans="2:9" ht="15" customHeight="1">
      <c r="C122" s="1044" t="s">
        <v>2228</v>
      </c>
      <c r="G122" s="2662"/>
      <c r="H122" s="2662"/>
    </row>
    <row r="123" spans="2:9" ht="15" customHeight="1">
      <c r="G123" s="2662"/>
      <c r="H123" s="2662"/>
    </row>
    <row r="124" spans="2:9" ht="15" customHeight="1">
      <c r="G124" s="2663"/>
      <c r="H124" s="2663"/>
    </row>
    <row r="125" spans="2:9" ht="15" customHeight="1">
      <c r="G125" s="1160"/>
      <c r="H125" s="1160"/>
    </row>
    <row r="126" spans="2:9" ht="15" customHeight="1">
      <c r="B126" s="1066" t="s">
        <v>2001</v>
      </c>
      <c r="C126" s="1067"/>
      <c r="D126" s="1067"/>
      <c r="E126" s="1067"/>
      <c r="F126" s="1067"/>
      <c r="G126" s="1067"/>
      <c r="H126" s="1067"/>
      <c r="I126" s="1068"/>
    </row>
    <row r="128" spans="2:9">
      <c r="E128" s="1084" t="s">
        <v>581</v>
      </c>
      <c r="G128" s="1044" t="str">
        <f>IF(Application!T189="","",Application!T189)</f>
        <v>Contra Costa</v>
      </c>
    </row>
    <row r="129" spans="2:9">
      <c r="E129" s="1084"/>
      <c r="G129" s="1078"/>
    </row>
    <row r="130" spans="2:9">
      <c r="E130" s="1084" t="str">
        <f>"2-Bedroom "&amp;G128&amp;" County Basis Limit"</f>
        <v>2-Bedroom Contra Costa County Basis Limit</v>
      </c>
      <c r="G130" s="1078">
        <f>Application!R988</f>
        <v>658400</v>
      </c>
    </row>
    <row r="131" spans="2:9">
      <c r="E131" s="1084" t="s">
        <v>2000</v>
      </c>
      <c r="G131" s="1078">
        <f>MEDIAN((Application!CU160:CU217))</f>
        <v>489600</v>
      </c>
    </row>
    <row r="132" spans="2:9" ht="15">
      <c r="D132" s="1046"/>
      <c r="E132" s="1118" t="s">
        <v>2002</v>
      </c>
      <c r="F132" s="1134"/>
      <c r="G132" s="1135">
        <f>((G130-G131)/G131)*0.25</f>
        <v>8.6192810457516339E-2</v>
      </c>
      <c r="H132" s="1042"/>
      <c r="I132" s="1042"/>
    </row>
    <row r="133" spans="2:9">
      <c r="D133" s="1045"/>
      <c r="E133" s="1045"/>
    </row>
    <row r="134" spans="2:9" ht="15">
      <c r="B134" s="1066" t="s">
        <v>2272</v>
      </c>
      <c r="C134" s="1067"/>
      <c r="D134" s="1067"/>
      <c r="E134" s="1067"/>
      <c r="F134" s="1067"/>
      <c r="G134" s="1067"/>
      <c r="H134" s="1067"/>
      <c r="I134" s="1068"/>
    </row>
    <row r="136" spans="2:9">
      <c r="E136" s="1084" t="s">
        <v>2258</v>
      </c>
      <c r="G136" s="1044" t="b">
        <f>G37</f>
        <v>0</v>
      </c>
    </row>
    <row r="137" spans="2:9">
      <c r="E137" s="1084" t="s">
        <v>2273</v>
      </c>
      <c r="G137" s="1044" t="b">
        <f>OR('Points System'!B52="Yes", 'Points System'!B56="Yes",'Points System'!B58="Yes")</f>
        <v>0</v>
      </c>
    </row>
    <row r="138" spans="2:9">
      <c r="C138" s="2655" t="s">
        <v>2274</v>
      </c>
      <c r="D138" s="2655"/>
      <c r="E138" s="2655"/>
      <c r="F138" s="2655"/>
    </row>
    <row r="139" spans="2:9">
      <c r="B139" s="1045"/>
      <c r="C139" s="2655"/>
      <c r="D139" s="2655"/>
      <c r="E139" s="2655"/>
      <c r="F139" s="2655"/>
      <c r="G139" s="1043"/>
    </row>
    <row r="140" spans="2:9">
      <c r="B140" s="1045"/>
      <c r="C140" s="1045"/>
      <c r="D140" s="1045"/>
      <c r="E140" s="1045"/>
      <c r="F140" s="1045"/>
    </row>
    <row r="141" spans="2:9" ht="14.25" customHeight="1">
      <c r="E141" s="1084" t="s">
        <v>2276</v>
      </c>
      <c r="G141" s="1169"/>
    </row>
    <row r="143" spans="2:9">
      <c r="E143" s="1084" t="s">
        <v>2278</v>
      </c>
      <c r="G143" s="1168">
        <f>IF(I9=0,0,G141/I9)</f>
        <v>0</v>
      </c>
    </row>
    <row r="144" spans="2:9">
      <c r="E144" s="1084" t="s">
        <v>2275</v>
      </c>
      <c r="G144" s="1166">
        <f>I9*0.15</f>
        <v>3039443.6999999997</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5"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90" t="s">
        <v>908</v>
      </c>
      <c r="B1" s="2690"/>
      <c r="C1" s="2690"/>
      <c r="D1" s="2690"/>
      <c r="E1" s="2690"/>
      <c r="F1" s="2690"/>
      <c r="G1" s="2690"/>
      <c r="H1" s="2690"/>
      <c r="I1" s="2690"/>
      <c r="J1" s="2690"/>
      <c r="K1" s="204"/>
      <c r="L1" s="204"/>
    </row>
    <row r="2" spans="1:12">
      <c r="A2" s="210"/>
      <c r="B2" s="210"/>
      <c r="C2" s="210"/>
      <c r="D2" s="210"/>
      <c r="E2" s="210"/>
      <c r="F2" s="210"/>
      <c r="G2" s="210"/>
      <c r="H2" s="210"/>
      <c r="I2" s="210"/>
      <c r="J2" s="210"/>
    </row>
    <row r="3" spans="1:12" ht="100.5">
      <c r="A3" s="426" t="s">
        <v>909</v>
      </c>
      <c r="B3" s="426" t="s">
        <v>2253</v>
      </c>
      <c r="C3" s="426" t="s">
        <v>2254</v>
      </c>
      <c r="D3" s="1146" t="s">
        <v>2255</v>
      </c>
      <c r="E3" s="204"/>
      <c r="F3" s="1146" t="s">
        <v>910</v>
      </c>
      <c r="G3" s="426" t="s">
        <v>911</v>
      </c>
      <c r="H3" s="427"/>
      <c r="I3" s="426" t="s">
        <v>912</v>
      </c>
      <c r="J3" s="426" t="s">
        <v>913</v>
      </c>
      <c r="K3" s="204"/>
      <c r="L3" s="305"/>
    </row>
    <row r="4" spans="1:12">
      <c r="A4" s="428" t="str">
        <f>Application!B718</f>
        <v>1 Bedroom</v>
      </c>
      <c r="B4" s="1082">
        <f>Application!G718</f>
        <v>5</v>
      </c>
      <c r="C4" s="1162"/>
      <c r="D4" s="428">
        <f>Application!O718</f>
        <v>858</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8</v>
      </c>
      <c r="C5" s="1162"/>
      <c r="D5" s="428">
        <f>Application!O719</f>
        <v>1458</v>
      </c>
      <c r="E5" s="429"/>
      <c r="F5" s="1083"/>
      <c r="G5" s="428">
        <f t="shared" ref="G5:G38" si="2">F5*B5</f>
        <v>0</v>
      </c>
      <c r="H5" s="429"/>
      <c r="I5" s="428" t="str">
        <f t="shared" si="0"/>
        <v/>
      </c>
      <c r="J5" s="428" t="str">
        <f t="shared" si="1"/>
        <v/>
      </c>
      <c r="K5" s="204"/>
      <c r="L5" s="305"/>
    </row>
    <row r="6" spans="1:12">
      <c r="A6" s="428" t="str">
        <f>Application!B720</f>
        <v>1 Bedroom</v>
      </c>
      <c r="B6" s="1082">
        <f>Application!G720</f>
        <v>12</v>
      </c>
      <c r="C6" s="1162"/>
      <c r="D6" s="428">
        <f>Application!O720</f>
        <v>1757</v>
      </c>
      <c r="E6" s="429"/>
      <c r="F6" s="1083"/>
      <c r="G6" s="428">
        <f t="shared" si="2"/>
        <v>0</v>
      </c>
      <c r="H6" s="429"/>
      <c r="I6" s="428" t="str">
        <f t="shared" si="0"/>
        <v/>
      </c>
      <c r="J6" s="428" t="str">
        <f t="shared" si="1"/>
        <v/>
      </c>
      <c r="K6" s="204"/>
      <c r="L6" s="305"/>
    </row>
    <row r="7" spans="1:12">
      <c r="A7" s="428" t="str">
        <f>Application!B721</f>
        <v>1 Bedroom</v>
      </c>
      <c r="B7" s="1082">
        <f>Application!G721</f>
        <v>21</v>
      </c>
      <c r="C7" s="1162"/>
      <c r="D7" s="428">
        <f>Application!O721</f>
        <v>2356</v>
      </c>
      <c r="E7" s="429"/>
      <c r="F7" s="1083"/>
      <c r="G7" s="428">
        <f t="shared" si="2"/>
        <v>0</v>
      </c>
      <c r="H7" s="429"/>
      <c r="I7" s="428" t="str">
        <f t="shared" si="0"/>
        <v/>
      </c>
      <c r="J7" s="428" t="str">
        <f t="shared" si="1"/>
        <v/>
      </c>
      <c r="K7" s="204"/>
      <c r="L7" s="305"/>
    </row>
    <row r="8" spans="1:12">
      <c r="A8" s="428" t="str">
        <f>Application!B722</f>
        <v>2 Bedrooms</v>
      </c>
      <c r="B8" s="1082">
        <f>Application!G722</f>
        <v>7</v>
      </c>
      <c r="C8" s="1162"/>
      <c r="D8" s="428">
        <f>Application!O722</f>
        <v>1042</v>
      </c>
      <c r="E8" s="429"/>
      <c r="F8" s="1083"/>
      <c r="G8" s="428">
        <f t="shared" si="2"/>
        <v>0</v>
      </c>
      <c r="H8" s="429"/>
      <c r="I8" s="428" t="str">
        <f t="shared" si="0"/>
        <v/>
      </c>
      <c r="J8" s="428" t="str">
        <f t="shared" si="1"/>
        <v/>
      </c>
      <c r="K8" s="204"/>
      <c r="L8" s="305"/>
    </row>
    <row r="9" spans="1:12">
      <c r="A9" s="428" t="str">
        <f>Application!B723</f>
        <v>2 Bedrooms</v>
      </c>
      <c r="B9" s="1082">
        <f>Application!G723</f>
        <v>9</v>
      </c>
      <c r="C9" s="1162"/>
      <c r="D9" s="428">
        <f>Application!O723</f>
        <v>1762</v>
      </c>
      <c r="E9" s="429"/>
      <c r="F9" s="1083"/>
      <c r="G9" s="428">
        <f t="shared" si="2"/>
        <v>0</v>
      </c>
      <c r="H9" s="429"/>
      <c r="I9" s="428" t="str">
        <f t="shared" si="0"/>
        <v/>
      </c>
      <c r="J9" s="428" t="str">
        <f t="shared" si="1"/>
        <v/>
      </c>
      <c r="K9" s="204"/>
      <c r="L9" s="305"/>
    </row>
    <row r="10" spans="1:12">
      <c r="A10" s="428" t="str">
        <f>Application!B724</f>
        <v>2 Bedrooms</v>
      </c>
      <c r="B10" s="1082">
        <f>Application!G724</f>
        <v>13</v>
      </c>
      <c r="C10" s="1162"/>
      <c r="D10" s="428">
        <f>Application!O724</f>
        <v>2121</v>
      </c>
      <c r="E10" s="429"/>
      <c r="F10" s="1083"/>
      <c r="G10" s="428">
        <f t="shared" si="2"/>
        <v>0</v>
      </c>
      <c r="H10" s="429"/>
      <c r="I10" s="428" t="str">
        <f t="shared" si="0"/>
        <v/>
      </c>
      <c r="J10" s="428" t="str">
        <f t="shared" si="1"/>
        <v/>
      </c>
      <c r="K10" s="204"/>
      <c r="L10" s="305"/>
    </row>
    <row r="11" spans="1:12">
      <c r="A11" s="428" t="str">
        <f>Application!B725</f>
        <v>2 Bedrooms</v>
      </c>
      <c r="B11" s="1082">
        <f>Application!G725</f>
        <v>13</v>
      </c>
      <c r="C11" s="1162"/>
      <c r="D11" s="428">
        <f>Application!O725</f>
        <v>2619</v>
      </c>
      <c r="E11" s="429"/>
      <c r="F11" s="1083"/>
      <c r="G11" s="428">
        <f t="shared" si="2"/>
        <v>0</v>
      </c>
      <c r="H11" s="429"/>
      <c r="I11" s="428" t="str">
        <f t="shared" si="0"/>
        <v/>
      </c>
      <c r="J11" s="428" t="str">
        <f t="shared" si="1"/>
        <v/>
      </c>
      <c r="K11" s="204"/>
      <c r="L11" s="305"/>
    </row>
    <row r="12" spans="1:12">
      <c r="A12" s="428" t="str">
        <f>Application!B726</f>
        <v>3 Bedrooms</v>
      </c>
      <c r="B12" s="1082">
        <f>Application!G726</f>
        <v>11</v>
      </c>
      <c r="C12" s="1162"/>
      <c r="D12" s="428">
        <f>Application!O726</f>
        <v>1202</v>
      </c>
      <c r="E12" s="429"/>
      <c r="F12" s="1083"/>
      <c r="G12" s="428">
        <f t="shared" si="2"/>
        <v>0</v>
      </c>
      <c r="H12" s="429"/>
      <c r="I12" s="428" t="str">
        <f t="shared" si="0"/>
        <v/>
      </c>
      <c r="J12" s="428" t="str">
        <f t="shared" si="1"/>
        <v/>
      </c>
      <c r="K12" s="204"/>
      <c r="L12" s="305"/>
    </row>
    <row r="13" spans="1:12">
      <c r="A13" s="428" t="str">
        <f>Application!B727</f>
        <v>3 Bedrooms</v>
      </c>
      <c r="B13" s="1082">
        <f>Application!G727</f>
        <v>10</v>
      </c>
      <c r="C13" s="1162"/>
      <c r="D13" s="428">
        <f>Application!O727</f>
        <v>2033</v>
      </c>
      <c r="E13" s="429"/>
      <c r="F13" s="1083"/>
      <c r="G13" s="428">
        <f t="shared" si="2"/>
        <v>0</v>
      </c>
      <c r="H13" s="429"/>
      <c r="I13" s="428" t="str">
        <f t="shared" si="0"/>
        <v/>
      </c>
      <c r="J13" s="428" t="str">
        <f t="shared" si="1"/>
        <v/>
      </c>
      <c r="K13" s="204"/>
      <c r="L13" s="305"/>
    </row>
    <row r="14" spans="1:12">
      <c r="A14" s="428" t="str">
        <f>Application!B728</f>
        <v>3 Bedrooms</v>
      </c>
      <c r="B14" s="1082">
        <f>Application!G728</f>
        <v>9</v>
      </c>
      <c r="C14" s="1162"/>
      <c r="D14" s="428">
        <f>Application!O728</f>
        <v>2448</v>
      </c>
      <c r="E14" s="429"/>
      <c r="F14" s="1083"/>
      <c r="G14" s="428">
        <f t="shared" si="2"/>
        <v>0</v>
      </c>
      <c r="H14" s="429"/>
      <c r="I14" s="428" t="str">
        <f t="shared" si="0"/>
        <v/>
      </c>
      <c r="J14" s="428" t="str">
        <f t="shared" si="1"/>
        <v/>
      </c>
      <c r="K14" s="204"/>
      <c r="L14" s="305"/>
    </row>
    <row r="15" spans="1:12">
      <c r="A15" s="428" t="str">
        <f>Application!B729</f>
        <v>3 Bedrooms</v>
      </c>
      <c r="B15" s="1082">
        <f>Application!G729</f>
        <v>12</v>
      </c>
      <c r="C15" s="1162"/>
      <c r="D15" s="428">
        <f>Application!O729</f>
        <v>3096</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914</v>
      </c>
      <c r="B40" s="431"/>
      <c r="C40" s="431"/>
      <c r="D40" s="432">
        <f>Application!O753</f>
        <v>264022</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2256</v>
      </c>
    </row>
    <row r="43" spans="1:12">
      <c r="A43" s="2691" t="s">
        <v>2495</v>
      </c>
      <c r="B43" s="2691"/>
      <c r="C43" s="2691"/>
      <c r="D43" s="2691"/>
      <c r="E43" s="2691"/>
      <c r="F43" s="2691"/>
      <c r="G43" s="2691"/>
      <c r="H43" s="2691"/>
      <c r="I43" s="2691"/>
      <c r="J43" s="2691"/>
    </row>
    <row r="44" spans="1:12">
      <c r="A44" s="2691"/>
      <c r="B44" s="2691"/>
      <c r="C44" s="2691"/>
      <c r="D44" s="2691"/>
      <c r="E44" s="2691"/>
      <c r="F44" s="2691"/>
      <c r="G44" s="2691"/>
      <c r="H44" s="2691"/>
      <c r="I44" s="2691"/>
      <c r="J44" s="2691"/>
    </row>
    <row r="45" spans="1:12">
      <c r="A45" s="2691" t="s">
        <v>2257</v>
      </c>
      <c r="B45" s="2691"/>
      <c r="C45" s="2691"/>
      <c r="D45" s="2691"/>
      <c r="E45" s="2691"/>
      <c r="F45" s="2691"/>
      <c r="G45" s="2691"/>
      <c r="H45" s="2691"/>
      <c r="I45" s="2691"/>
      <c r="J45" s="2691"/>
    </row>
    <row r="46" spans="1:12">
      <c r="A46" s="2691"/>
      <c r="B46" s="2691"/>
      <c r="C46" s="2691"/>
      <c r="D46" s="2691"/>
      <c r="E46" s="2691"/>
      <c r="F46" s="2691"/>
      <c r="G46" s="2691"/>
      <c r="H46" s="2691"/>
      <c r="I46" s="2691"/>
      <c r="J46" s="2691"/>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C1" workbookViewId="0">
      <selection activeCell="AG63" sqref="AG63"/>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2093</v>
      </c>
      <c r="B1" s="211"/>
    </row>
    <row r="2" spans="1:34"/>
    <row r="3" spans="1:34" ht="15.7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25">
      <c r="A4" s="219" t="s">
        <v>836</v>
      </c>
      <c r="C4" s="237">
        <v>1.0249999999999999</v>
      </c>
      <c r="E4" s="219">
        <f>Application!Y801</f>
        <v>3168264</v>
      </c>
      <c r="G4" s="219">
        <f>E4*$C$4</f>
        <v>3247470.5999999996</v>
      </c>
      <c r="I4" s="219">
        <f>G4*$C$4</f>
        <v>3328657.3649999993</v>
      </c>
      <c r="K4" s="219">
        <f>I4*$C$4</f>
        <v>3411873.799124999</v>
      </c>
      <c r="M4" s="219">
        <f>K4*$C$4</f>
        <v>3497170.6441031238</v>
      </c>
      <c r="O4" s="219">
        <f>M4*$C$4</f>
        <v>3584599.9102057014</v>
      </c>
      <c r="Q4" s="219">
        <f>O4*$C$4</f>
        <v>3674214.9079608438</v>
      </c>
      <c r="S4" s="219">
        <f>Q4*$C$4</f>
        <v>3766070.2806598647</v>
      </c>
      <c r="U4" s="219">
        <f>S4*$C$4</f>
        <v>3860222.0376763609</v>
      </c>
      <c r="W4" s="219">
        <f>U4*$C$4</f>
        <v>3956727.5886182697</v>
      </c>
      <c r="Y4" s="219">
        <f>W4*$C$4</f>
        <v>4055645.7783337259</v>
      </c>
      <c r="AA4" s="219">
        <f>Y4*$C$4</f>
        <v>4157036.9227920687</v>
      </c>
      <c r="AC4" s="219">
        <f>AA4*$C$4</f>
        <v>4260962.8458618699</v>
      </c>
      <c r="AE4" s="219">
        <f>AC4*$C$4</f>
        <v>4367486.9170084158</v>
      </c>
      <c r="AG4" s="219">
        <f>AE4*$C$4</f>
        <v>4476674.0899336254</v>
      </c>
    </row>
    <row r="5" spans="1:34" s="210" customFormat="1" ht="14.25">
      <c r="B5" s="210" t="s">
        <v>837</v>
      </c>
      <c r="C5" s="238">
        <f>IF(Application!$D$211="Special Needs",(((0.1*Application!$T$212)+(0.05*(1-Application!$T$212)))),0.05)</f>
        <v>0.05</v>
      </c>
      <c r="E5" s="221">
        <f>-E4*$C$5</f>
        <v>-158413.20000000001</v>
      </c>
      <c r="F5" s="221"/>
      <c r="G5" s="221">
        <f>-G4*$C$5</f>
        <v>-162373.53</v>
      </c>
      <c r="H5" s="221"/>
      <c r="I5" s="221">
        <f>-I4*$C$5</f>
        <v>-166432.86824999997</v>
      </c>
      <c r="J5" s="221"/>
      <c r="K5" s="221">
        <f>-K4*$C$5</f>
        <v>-170593.68995624996</v>
      </c>
      <c r="L5" s="221"/>
      <c r="M5" s="221">
        <f>-M4*$C$5</f>
        <v>-174858.5322051562</v>
      </c>
      <c r="N5" s="221"/>
      <c r="O5" s="221">
        <f>-O4*$C$5</f>
        <v>-179229.99551028508</v>
      </c>
      <c r="P5" s="221"/>
      <c r="Q5" s="221">
        <f>-Q4*$C$5</f>
        <v>-183710.7453980422</v>
      </c>
      <c r="R5" s="221"/>
      <c r="S5" s="221">
        <f>-S4*$C$5</f>
        <v>-188303.51403299323</v>
      </c>
      <c r="T5" s="221"/>
      <c r="U5" s="221">
        <f>-U4*$C$5</f>
        <v>-193011.10188381805</v>
      </c>
      <c r="V5" s="221"/>
      <c r="W5" s="221">
        <f>-W4*$C$5</f>
        <v>-197836.37943091348</v>
      </c>
      <c r="X5" s="221"/>
      <c r="Y5" s="221">
        <f>-Y4*$C$5</f>
        <v>-202782.28891668632</v>
      </c>
      <c r="Z5" s="221"/>
      <c r="AA5" s="221">
        <f>-AA4*$C$5</f>
        <v>-207851.84613960344</v>
      </c>
      <c r="AB5" s="221"/>
      <c r="AC5" s="221">
        <f>-AC4*$C$5</f>
        <v>-213048.14229309349</v>
      </c>
      <c r="AD5" s="221"/>
      <c r="AE5" s="221">
        <f>-AE4*$C$5</f>
        <v>-218374.3458504208</v>
      </c>
      <c r="AF5" s="221"/>
      <c r="AG5" s="221">
        <f>-AG4*$C$5</f>
        <v>-223833.70449668128</v>
      </c>
    </row>
    <row r="6" spans="1:34" s="210" customFormat="1" ht="14.25">
      <c r="A6" s="210" t="s">
        <v>835</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837</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287</v>
      </c>
      <c r="C8" s="237">
        <v>1.0249999999999999</v>
      </c>
      <c r="E8" s="222">
        <f>Application!Z817</f>
        <v>19650</v>
      </c>
      <c r="F8" s="222"/>
      <c r="G8" s="222">
        <f>E8*$C$8</f>
        <v>20141.25</v>
      </c>
      <c r="H8" s="222"/>
      <c r="I8" s="222">
        <f>G8*$C$8</f>
        <v>20644.78125</v>
      </c>
      <c r="J8" s="222"/>
      <c r="K8" s="222">
        <f>I8*$C$8</f>
        <v>21160.900781249999</v>
      </c>
      <c r="L8" s="222"/>
      <c r="M8" s="222">
        <f>K8*$C$8</f>
        <v>21689.923300781247</v>
      </c>
      <c r="N8" s="222"/>
      <c r="O8" s="222">
        <f>M8*$C$8</f>
        <v>22232.171383300778</v>
      </c>
      <c r="P8" s="222"/>
      <c r="Q8" s="222">
        <f>O8*$C$8</f>
        <v>22787.975667883296</v>
      </c>
      <c r="R8" s="222"/>
      <c r="S8" s="222">
        <f>Q8*$C$8</f>
        <v>23357.675059580375</v>
      </c>
      <c r="T8" s="222"/>
      <c r="U8" s="222">
        <f>S8*$C$8</f>
        <v>23941.616936069884</v>
      </c>
      <c r="V8" s="222"/>
      <c r="W8" s="222">
        <f>U8*$C$8</f>
        <v>24540.157359471628</v>
      </c>
      <c r="X8" s="222"/>
      <c r="Y8" s="222">
        <f>W8*$C$8</f>
        <v>25153.661293458415</v>
      </c>
      <c r="Z8" s="222"/>
      <c r="AA8" s="222">
        <f>Y8*$C$8</f>
        <v>25782.502825794872</v>
      </c>
      <c r="AB8" s="222"/>
      <c r="AC8" s="222">
        <f>AA8*$C$8</f>
        <v>26427.065396439742</v>
      </c>
      <c r="AD8" s="222"/>
      <c r="AE8" s="222">
        <f>AC8*$C$8</f>
        <v>27087.742031350735</v>
      </c>
      <c r="AF8" s="222"/>
      <c r="AG8" s="222">
        <f>AE8*$C$8</f>
        <v>27764.935582134502</v>
      </c>
    </row>
    <row r="9" spans="1:34" s="210" customFormat="1" ht="14.25">
      <c r="B9" s="210" t="s">
        <v>837</v>
      </c>
      <c r="C9" s="238">
        <f>IF(Application!$D$211="Special Needs",(((0.1*Application!$T$212)+(0.05*(1-Application!$T$212)))),0.05)</f>
        <v>0.05</v>
      </c>
      <c r="E9" s="221">
        <f>-E8*$C$9</f>
        <v>-982.5</v>
      </c>
      <c r="F9" s="221"/>
      <c r="G9" s="221">
        <f>-G8*$C$9</f>
        <v>-1007.0625</v>
      </c>
      <c r="H9" s="221"/>
      <c r="I9" s="221">
        <f>-I8*$C$9</f>
        <v>-1032.2390625</v>
      </c>
      <c r="J9" s="221"/>
      <c r="K9" s="221">
        <f>-K8*$C$9</f>
        <v>-1058.0450390624999</v>
      </c>
      <c r="L9" s="221"/>
      <c r="M9" s="221">
        <f>-M8*$C$9</f>
        <v>-1084.4961650390624</v>
      </c>
      <c r="N9" s="221"/>
      <c r="O9" s="221">
        <f>-O8*$C$9</f>
        <v>-1111.6085691650389</v>
      </c>
      <c r="P9" s="221"/>
      <c r="Q9" s="221">
        <f>-Q8*$C$9</f>
        <v>-1139.3987833941649</v>
      </c>
      <c r="R9" s="221"/>
      <c r="S9" s="221">
        <f>-S8*$C$9</f>
        <v>-1167.8837529790187</v>
      </c>
      <c r="T9" s="221"/>
      <c r="U9" s="221">
        <f>-U8*$C$9</f>
        <v>-1197.0808468034943</v>
      </c>
      <c r="V9" s="221"/>
      <c r="W9" s="221">
        <f>-W8*$C$9</f>
        <v>-1227.0078679735814</v>
      </c>
      <c r="X9" s="221"/>
      <c r="Y9" s="221">
        <f>-Y8*$C$9</f>
        <v>-1257.6830646729209</v>
      </c>
      <c r="Z9" s="221"/>
      <c r="AA9" s="221">
        <f>-AA8*$C$9</f>
        <v>-1289.1251412897436</v>
      </c>
      <c r="AB9" s="221"/>
      <c r="AC9" s="221">
        <f>-AC8*$C$9</f>
        <v>-1321.3532698219872</v>
      </c>
      <c r="AD9" s="221"/>
      <c r="AE9" s="221">
        <f>-AE8*$C$9</f>
        <v>-1354.3871015675368</v>
      </c>
      <c r="AF9" s="221"/>
      <c r="AG9" s="221">
        <f>-AG8*$C$9</f>
        <v>-1388.2467791067252</v>
      </c>
    </row>
    <row r="10" spans="1:34" s="210" customFormat="1" ht="14.25">
      <c r="A10" s="1143" t="s">
        <v>2222</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858</v>
      </c>
      <c r="C11" s="216"/>
      <c r="E11" s="223">
        <f>SUM(E4:E10)</f>
        <v>3028518.3</v>
      </c>
      <c r="G11" s="223">
        <f>SUM(G4:G10)</f>
        <v>3104231.2574999998</v>
      </c>
      <c r="I11" s="223">
        <f>SUM(I4:I10)</f>
        <v>3181837.0389374993</v>
      </c>
      <c r="K11" s="223">
        <f>SUM(K4:K10)</f>
        <v>3261382.9649109365</v>
      </c>
      <c r="M11" s="223">
        <f>SUM(M4:M10)</f>
        <v>3342917.53903371</v>
      </c>
      <c r="O11" s="223">
        <f>SUM(O4:O10)</f>
        <v>3426490.4775095517</v>
      </c>
      <c r="Q11" s="223">
        <f>SUM(Q4:Q10)</f>
        <v>3512152.7394472905</v>
      </c>
      <c r="S11" s="223">
        <f>SUM(S4:S10)</f>
        <v>3599956.5579334726</v>
      </c>
      <c r="U11" s="223">
        <f>SUM(U4:U10)</f>
        <v>3689955.4718818096</v>
      </c>
      <c r="W11" s="223">
        <f>SUM(W4:W10)</f>
        <v>3782204.3586788541</v>
      </c>
      <c r="Y11" s="223">
        <f>SUM(Y4:Y10)</f>
        <v>3876759.4676458249</v>
      </c>
      <c r="AA11" s="223">
        <f>SUM(AA4:AA10)</f>
        <v>3973678.4543369706</v>
      </c>
      <c r="AC11" s="223">
        <f>SUM(AC4:AC10)</f>
        <v>4073020.4156953939</v>
      </c>
      <c r="AE11" s="223">
        <f>SUM(AE4:AE10)</f>
        <v>4174845.9260877785</v>
      </c>
      <c r="AG11" s="223">
        <f>SUM(AG4:AG10)</f>
        <v>4279217.074239972</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840</v>
      </c>
      <c r="C15" s="176"/>
      <c r="E15" s="219">
        <f>Application!W847</f>
        <v>158470</v>
      </c>
      <c r="G15" s="219">
        <f>E15*$C$14</f>
        <v>164016.44999999998</v>
      </c>
      <c r="I15" s="219">
        <f>G15*$C$14</f>
        <v>169757.02574999997</v>
      </c>
      <c r="K15" s="219">
        <f>I15*$C$14</f>
        <v>175698.52165124996</v>
      </c>
      <c r="M15" s="219">
        <f>K15*$C$14</f>
        <v>181847.96990904369</v>
      </c>
      <c r="O15" s="219">
        <f>M15*$C$14</f>
        <v>188212.6488558602</v>
      </c>
      <c r="Q15" s="219">
        <f>O15*$C$14</f>
        <v>194800.0915658153</v>
      </c>
      <c r="S15" s="219">
        <f>Q15*$C$14</f>
        <v>201618.0947706188</v>
      </c>
      <c r="U15" s="219">
        <f>S15*$C$14</f>
        <v>208674.72808759045</v>
      </c>
      <c r="W15" s="219">
        <f>U15*$C$14</f>
        <v>215978.34357065611</v>
      </c>
      <c r="Y15" s="219">
        <f>W15*$C$14</f>
        <v>223537.58559562906</v>
      </c>
      <c r="AA15" s="219">
        <f>Y15*$C$14</f>
        <v>231361.40109147606</v>
      </c>
      <c r="AC15" s="219">
        <f>AA15*$C$14</f>
        <v>239459.05012967769</v>
      </c>
      <c r="AE15" s="219">
        <f>AC15*$C$14</f>
        <v>247840.1168842164</v>
      </c>
      <c r="AG15" s="219">
        <f>AE15*$C$14</f>
        <v>256514.52097516396</v>
      </c>
    </row>
    <row r="16" spans="1:34" s="210" customFormat="1" ht="14.25">
      <c r="A16" s="210" t="s">
        <v>343</v>
      </c>
      <c r="C16" s="233"/>
      <c r="E16" s="222">
        <f>Application!W849</f>
        <v>120200</v>
      </c>
      <c r="F16" s="222"/>
      <c r="G16" s="222">
        <f t="shared" ref="G16:AG21" si="0">E16*$C$14</f>
        <v>124406.99999999999</v>
      </c>
      <c r="H16" s="222"/>
      <c r="I16" s="222">
        <f t="shared" si="0"/>
        <v>128761.24499999998</v>
      </c>
      <c r="J16" s="222"/>
      <c r="K16" s="222">
        <f t="shared" si="0"/>
        <v>133267.88857499996</v>
      </c>
      <c r="L16" s="222"/>
      <c r="M16" s="222">
        <f t="shared" si="0"/>
        <v>137932.26467512496</v>
      </c>
      <c r="N16" s="222"/>
      <c r="O16" s="222">
        <f t="shared" si="0"/>
        <v>142759.89393875431</v>
      </c>
      <c r="P16" s="222"/>
      <c r="Q16" s="222">
        <f t="shared" si="0"/>
        <v>147756.49022661071</v>
      </c>
      <c r="R16" s="222"/>
      <c r="S16" s="222">
        <f t="shared" si="0"/>
        <v>152927.96738454208</v>
      </c>
      <c r="T16" s="222"/>
      <c r="U16" s="222">
        <f t="shared" si="0"/>
        <v>158280.44624300103</v>
      </c>
      <c r="V16" s="222"/>
      <c r="W16" s="222">
        <f t="shared" si="0"/>
        <v>163820.26186150606</v>
      </c>
      <c r="X16" s="222"/>
      <c r="Y16" s="222">
        <f t="shared" si="0"/>
        <v>169553.97102665875</v>
      </c>
      <c r="Z16" s="222"/>
      <c r="AA16" s="222">
        <f t="shared" si="0"/>
        <v>175488.36001259179</v>
      </c>
      <c r="AB16" s="222"/>
      <c r="AC16" s="222">
        <f t="shared" si="0"/>
        <v>181630.45261303248</v>
      </c>
      <c r="AD16" s="222"/>
      <c r="AE16" s="222">
        <f t="shared" si="0"/>
        <v>187987.5184544886</v>
      </c>
      <c r="AF16" s="222"/>
      <c r="AG16" s="222">
        <f t="shared" si="0"/>
        <v>194567.08160039567</v>
      </c>
    </row>
    <row r="17" spans="1:33" s="210" customFormat="1" ht="14.25">
      <c r="A17" s="210" t="s">
        <v>560</v>
      </c>
      <c r="C17" s="233"/>
      <c r="E17" s="222">
        <f>Application!W855</f>
        <v>120500</v>
      </c>
      <c r="F17" s="222"/>
      <c r="G17" s="222">
        <f t="shared" si="0"/>
        <v>124717.49999999999</v>
      </c>
      <c r="H17" s="222"/>
      <c r="I17" s="222">
        <f t="shared" si="0"/>
        <v>129082.61249999997</v>
      </c>
      <c r="J17" s="222"/>
      <c r="K17" s="222">
        <f t="shared" si="0"/>
        <v>133600.50393749998</v>
      </c>
      <c r="L17" s="222"/>
      <c r="M17" s="222">
        <f t="shared" si="0"/>
        <v>138276.52157531245</v>
      </c>
      <c r="N17" s="222"/>
      <c r="O17" s="222">
        <f t="shared" si="0"/>
        <v>143116.19983044837</v>
      </c>
      <c r="P17" s="222"/>
      <c r="Q17" s="222">
        <f t="shared" si="0"/>
        <v>148125.26682451405</v>
      </c>
      <c r="R17" s="222"/>
      <c r="S17" s="222">
        <f t="shared" si="0"/>
        <v>153309.65116337204</v>
      </c>
      <c r="T17" s="222"/>
      <c r="U17" s="222">
        <f t="shared" si="0"/>
        <v>158675.48895409005</v>
      </c>
      <c r="V17" s="222"/>
      <c r="W17" s="222">
        <f t="shared" si="0"/>
        <v>164229.13106748319</v>
      </c>
      <c r="X17" s="222"/>
      <c r="Y17" s="222">
        <f t="shared" si="0"/>
        <v>169977.15065484509</v>
      </c>
      <c r="Z17" s="222"/>
      <c r="AA17" s="222">
        <f t="shared" si="0"/>
        <v>175926.35092776464</v>
      </c>
      <c r="AB17" s="222"/>
      <c r="AC17" s="222">
        <f t="shared" si="0"/>
        <v>182083.7732102364</v>
      </c>
      <c r="AD17" s="222"/>
      <c r="AE17" s="222">
        <f t="shared" si="0"/>
        <v>188456.70527259464</v>
      </c>
      <c r="AF17" s="222"/>
      <c r="AG17" s="222">
        <f t="shared" si="0"/>
        <v>195052.68995713544</v>
      </c>
    </row>
    <row r="18" spans="1:33" s="210" customFormat="1" ht="14.25">
      <c r="A18" s="210" t="s">
        <v>841</v>
      </c>
      <c r="C18" s="233"/>
      <c r="E18" s="222">
        <f>Application!W862</f>
        <v>153030</v>
      </c>
      <c r="F18" s="222"/>
      <c r="G18" s="222">
        <f t="shared" si="0"/>
        <v>158386.04999999999</v>
      </c>
      <c r="H18" s="222"/>
      <c r="I18" s="222">
        <f t="shared" si="0"/>
        <v>163929.56174999996</v>
      </c>
      <c r="J18" s="222"/>
      <c r="K18" s="222">
        <f t="shared" si="0"/>
        <v>169667.09641124995</v>
      </c>
      <c r="L18" s="222"/>
      <c r="M18" s="222">
        <f t="shared" si="0"/>
        <v>175605.44478564369</v>
      </c>
      <c r="N18" s="222"/>
      <c r="O18" s="222">
        <f t="shared" si="0"/>
        <v>181751.6353531412</v>
      </c>
      <c r="P18" s="222"/>
      <c r="Q18" s="222">
        <f t="shared" si="0"/>
        <v>188112.94259050113</v>
      </c>
      <c r="R18" s="222"/>
      <c r="S18" s="222">
        <f t="shared" si="0"/>
        <v>194696.89558116865</v>
      </c>
      <c r="T18" s="222"/>
      <c r="U18" s="222">
        <f t="shared" si="0"/>
        <v>201511.28692650952</v>
      </c>
      <c r="V18" s="222"/>
      <c r="W18" s="222">
        <f t="shared" si="0"/>
        <v>208564.18196893734</v>
      </c>
      <c r="X18" s="222"/>
      <c r="Y18" s="222">
        <f t="shared" si="0"/>
        <v>215863.92833785011</v>
      </c>
      <c r="Z18" s="222"/>
      <c r="AA18" s="222">
        <f t="shared" si="0"/>
        <v>223419.16582967484</v>
      </c>
      <c r="AB18" s="222"/>
      <c r="AC18" s="222">
        <f t="shared" si="0"/>
        <v>231238.83663371345</v>
      </c>
      <c r="AD18" s="222"/>
      <c r="AE18" s="222">
        <f t="shared" si="0"/>
        <v>239332.19591589339</v>
      </c>
      <c r="AF18" s="222"/>
      <c r="AG18" s="222">
        <f t="shared" si="0"/>
        <v>247708.82277294964</v>
      </c>
    </row>
    <row r="19" spans="1:33" s="210" customFormat="1" ht="14.25">
      <c r="A19" s="210" t="s">
        <v>155</v>
      </c>
      <c r="C19" s="233"/>
      <c r="E19" s="222">
        <f>Application!W863</f>
        <v>60950</v>
      </c>
      <c r="F19" s="222"/>
      <c r="G19" s="222">
        <f t="shared" si="0"/>
        <v>63083.249999999993</v>
      </c>
      <c r="H19" s="222"/>
      <c r="I19" s="222">
        <f t="shared" si="0"/>
        <v>65291.163749999985</v>
      </c>
      <c r="J19" s="222"/>
      <c r="K19" s="222">
        <f t="shared" si="0"/>
        <v>67576.354481249975</v>
      </c>
      <c r="L19" s="222"/>
      <c r="M19" s="222">
        <f t="shared" si="0"/>
        <v>69941.526888093722</v>
      </c>
      <c r="N19" s="222"/>
      <c r="O19" s="222">
        <f t="shared" si="0"/>
        <v>72389.480329176993</v>
      </c>
      <c r="P19" s="222"/>
      <c r="Q19" s="222">
        <f t="shared" si="0"/>
        <v>74923.112140698184</v>
      </c>
      <c r="R19" s="222"/>
      <c r="S19" s="222">
        <f t="shared" si="0"/>
        <v>77545.421065622621</v>
      </c>
      <c r="T19" s="222"/>
      <c r="U19" s="222">
        <f t="shared" si="0"/>
        <v>80259.510802919409</v>
      </c>
      <c r="V19" s="222"/>
      <c r="W19" s="222">
        <f t="shared" si="0"/>
        <v>83068.593681021579</v>
      </c>
      <c r="X19" s="222"/>
      <c r="Y19" s="222">
        <f t="shared" si="0"/>
        <v>85975.994459857335</v>
      </c>
      <c r="Z19" s="222"/>
      <c r="AA19" s="222">
        <f t="shared" si="0"/>
        <v>88985.15426595234</v>
      </c>
      <c r="AB19" s="222"/>
      <c r="AC19" s="222">
        <f t="shared" si="0"/>
        <v>92099.634665260659</v>
      </c>
      <c r="AD19" s="222"/>
      <c r="AE19" s="222">
        <f t="shared" si="0"/>
        <v>95323.121878544771</v>
      </c>
      <c r="AF19" s="222"/>
      <c r="AG19" s="222">
        <f t="shared" si="0"/>
        <v>98659.431144293834</v>
      </c>
    </row>
    <row r="20" spans="1:33" s="210" customFormat="1" ht="14.25">
      <c r="A20" s="210" t="s">
        <v>389</v>
      </c>
      <c r="C20" s="233"/>
      <c r="E20" s="222">
        <f>Application!W872</f>
        <v>308600</v>
      </c>
      <c r="F20" s="222"/>
      <c r="G20" s="222">
        <f t="shared" si="0"/>
        <v>319401</v>
      </c>
      <c r="H20" s="222"/>
      <c r="I20" s="222">
        <f t="shared" si="0"/>
        <v>330580.03499999997</v>
      </c>
      <c r="J20" s="222"/>
      <c r="K20" s="222">
        <f t="shared" si="0"/>
        <v>342150.33622499992</v>
      </c>
      <c r="L20" s="222"/>
      <c r="M20" s="222">
        <f t="shared" si="0"/>
        <v>354125.59799287491</v>
      </c>
      <c r="N20" s="222"/>
      <c r="O20" s="222">
        <f t="shared" si="0"/>
        <v>366519.99392262549</v>
      </c>
      <c r="P20" s="222"/>
      <c r="Q20" s="222">
        <f t="shared" si="0"/>
        <v>379348.19370991737</v>
      </c>
      <c r="R20" s="222"/>
      <c r="S20" s="222">
        <f t="shared" si="0"/>
        <v>392625.38048976444</v>
      </c>
      <c r="T20" s="222"/>
      <c r="U20" s="222">
        <f t="shared" si="0"/>
        <v>406367.26880690618</v>
      </c>
      <c r="V20" s="222"/>
      <c r="W20" s="222">
        <f t="shared" si="0"/>
        <v>420590.12321514788</v>
      </c>
      <c r="X20" s="222"/>
      <c r="Y20" s="222">
        <f t="shared" si="0"/>
        <v>435310.777527678</v>
      </c>
      <c r="Z20" s="222"/>
      <c r="AA20" s="222">
        <f t="shared" si="0"/>
        <v>450546.65474114672</v>
      </c>
      <c r="AB20" s="222"/>
      <c r="AC20" s="222">
        <f t="shared" si="0"/>
        <v>466315.7876570868</v>
      </c>
      <c r="AD20" s="222"/>
      <c r="AE20" s="222">
        <f t="shared" si="0"/>
        <v>482636.8402250848</v>
      </c>
      <c r="AF20" s="222"/>
      <c r="AG20" s="222">
        <f t="shared" si="0"/>
        <v>499529.12963296275</v>
      </c>
    </row>
    <row r="21" spans="1:33" s="210" customFormat="1" ht="14.25">
      <c r="A21" s="226" t="s">
        <v>961</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842</v>
      </c>
      <c r="C22" s="233"/>
      <c r="E22" s="223">
        <f>SUM(E15:E21)</f>
        <v>921750</v>
      </c>
      <c r="G22" s="223">
        <f>SUM(G15:G21)</f>
        <v>954011.25</v>
      </c>
      <c r="I22" s="223">
        <f>SUM(I15:I21)</f>
        <v>987401.64374999981</v>
      </c>
      <c r="K22" s="223">
        <f>SUM(K15:K21)</f>
        <v>1021960.7012812498</v>
      </c>
      <c r="M22" s="223">
        <f>SUM(M15:M21)</f>
        <v>1057729.3258260936</v>
      </c>
      <c r="O22" s="223">
        <f>SUM(O15:O21)</f>
        <v>1094749.8522300066</v>
      </c>
      <c r="Q22" s="223">
        <f>SUM(Q15:Q21)</f>
        <v>1133066.0970580569</v>
      </c>
      <c r="S22" s="223">
        <f>SUM(S15:S21)</f>
        <v>1172723.4104550886</v>
      </c>
      <c r="U22" s="223">
        <f>SUM(U15:U21)</f>
        <v>1213768.7298210165</v>
      </c>
      <c r="W22" s="223">
        <f>SUM(W15:W21)</f>
        <v>1256250.6353647523</v>
      </c>
      <c r="Y22" s="223">
        <f>SUM(Y15:Y21)</f>
        <v>1300219.4076025183</v>
      </c>
      <c r="AA22" s="223">
        <f>SUM(AA15:AA21)</f>
        <v>1345727.0868686063</v>
      </c>
      <c r="AC22" s="223">
        <f>SUM(AC15:AC21)</f>
        <v>1392827.5349090076</v>
      </c>
      <c r="AE22" s="223">
        <f>SUM(AE15:AE21)</f>
        <v>1441576.4986308226</v>
      </c>
      <c r="AG22" s="223">
        <f>SUM(AG15:AG21)</f>
        <v>1492031.6760829012</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1682</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1158</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844</v>
      </c>
      <c r="C27" s="237">
        <v>1.0349999999999999</v>
      </c>
      <c r="E27" s="222">
        <f>Application!AC888</f>
        <v>19000</v>
      </c>
      <c r="F27" s="222"/>
      <c r="G27" s="222">
        <f>E27*$C$27</f>
        <v>19665</v>
      </c>
      <c r="H27" s="222"/>
      <c r="I27" s="222">
        <f>G27*$C$27</f>
        <v>20353.274999999998</v>
      </c>
      <c r="J27" s="222"/>
      <c r="K27" s="222">
        <f>I27*$C$27</f>
        <v>21065.639624999996</v>
      </c>
      <c r="L27" s="222"/>
      <c r="M27" s="222">
        <f>K27*$C$27</f>
        <v>21802.937011874994</v>
      </c>
      <c r="N27" s="222"/>
      <c r="O27" s="222">
        <f>M27*$C$27</f>
        <v>22566.039807290617</v>
      </c>
      <c r="P27" s="222"/>
      <c r="Q27" s="222">
        <f>O27*$C$27</f>
        <v>23355.851200545789</v>
      </c>
      <c r="R27" s="222"/>
      <c r="S27" s="222">
        <f>Q27*$C$27</f>
        <v>24173.305992564889</v>
      </c>
      <c r="T27" s="222"/>
      <c r="U27" s="222">
        <f>S27*$C$27</f>
        <v>25019.371702304659</v>
      </c>
      <c r="V27" s="222"/>
      <c r="W27" s="222">
        <f>U27*$C$27</f>
        <v>25895.04971188532</v>
      </c>
      <c r="X27" s="222"/>
      <c r="Y27" s="222">
        <f>W27*$C$27</f>
        <v>26801.376451801305</v>
      </c>
      <c r="Z27" s="222"/>
      <c r="AA27" s="222">
        <f>Y27*$C$27</f>
        <v>27739.424627614349</v>
      </c>
      <c r="AB27" s="222"/>
      <c r="AC27" s="222">
        <f>AA27*$C$27</f>
        <v>28710.304489580849</v>
      </c>
      <c r="AD27" s="222"/>
      <c r="AE27" s="222">
        <f>AC27*$C$27</f>
        <v>29715.165146716176</v>
      </c>
      <c r="AF27" s="222"/>
      <c r="AG27" s="222">
        <f>AE27*$C$27</f>
        <v>30755.19592685124</v>
      </c>
    </row>
    <row r="28" spans="1:33" s="210" customFormat="1" ht="14.25">
      <c r="A28" s="210" t="s">
        <v>845</v>
      </c>
      <c r="C28" s="237"/>
      <c r="E28" s="222">
        <f>Application!AC889</f>
        <v>32750</v>
      </c>
      <c r="F28" s="222"/>
      <c r="G28" s="222">
        <f>$E$28</f>
        <v>32750</v>
      </c>
      <c r="H28" s="222"/>
      <c r="I28" s="222">
        <f>$E$28</f>
        <v>32750</v>
      </c>
      <c r="J28" s="222"/>
      <c r="K28" s="222">
        <f>$E$28</f>
        <v>32750</v>
      </c>
      <c r="L28" s="222"/>
      <c r="M28" s="222">
        <f>$E$28</f>
        <v>32750</v>
      </c>
      <c r="N28" s="222"/>
      <c r="O28" s="222">
        <f>$E$28</f>
        <v>32750</v>
      </c>
      <c r="P28" s="222"/>
      <c r="Q28" s="222">
        <f>$E$28</f>
        <v>32750</v>
      </c>
      <c r="R28" s="222"/>
      <c r="S28" s="222">
        <f>$E$28</f>
        <v>32750</v>
      </c>
      <c r="T28" s="222"/>
      <c r="U28" s="222">
        <f>$E$28</f>
        <v>32750</v>
      </c>
      <c r="V28" s="222"/>
      <c r="W28" s="222">
        <f>$E$28</f>
        <v>32750</v>
      </c>
      <c r="X28" s="222"/>
      <c r="Y28" s="222">
        <f>$E$28</f>
        <v>32750</v>
      </c>
      <c r="Z28" s="222"/>
      <c r="AA28" s="222">
        <f>$E$28</f>
        <v>32750</v>
      </c>
      <c r="AB28" s="222"/>
      <c r="AC28" s="222">
        <f>$E$28</f>
        <v>32750</v>
      </c>
      <c r="AD28" s="222"/>
      <c r="AE28" s="222">
        <f>$E$28</f>
        <v>32750</v>
      </c>
      <c r="AF28" s="222"/>
      <c r="AG28" s="222">
        <f>$E$28</f>
        <v>32750</v>
      </c>
    </row>
    <row r="29" spans="1:33" s="210" customFormat="1" ht="14.25">
      <c r="A29" s="210" t="s">
        <v>1680</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843</v>
      </c>
      <c r="C30" s="237">
        <v>1.02</v>
      </c>
      <c r="E30" s="222">
        <f>Application!AC891</f>
        <v>12000</v>
      </c>
      <c r="F30" s="222"/>
      <c r="G30" s="222">
        <f>E30*$C$30</f>
        <v>12240</v>
      </c>
      <c r="H30" s="222"/>
      <c r="I30" s="222">
        <f>G30*$C$30</f>
        <v>12484.800000000001</v>
      </c>
      <c r="J30" s="222"/>
      <c r="K30" s="222">
        <f>I30*$C$30</f>
        <v>12734.496000000001</v>
      </c>
      <c r="L30" s="222"/>
      <c r="M30" s="222">
        <f>K30*$C$30</f>
        <v>12989.185920000002</v>
      </c>
      <c r="N30" s="222"/>
      <c r="O30" s="222">
        <f>M30*$C$30</f>
        <v>13248.969638400002</v>
      </c>
      <c r="P30" s="222"/>
      <c r="Q30" s="222">
        <f>O30*$C$30</f>
        <v>13513.949031168002</v>
      </c>
      <c r="R30" s="222"/>
      <c r="S30" s="222">
        <f>Q30*$C$30</f>
        <v>13784.228011791361</v>
      </c>
      <c r="T30" s="222"/>
      <c r="U30" s="222">
        <f>S30*$C$30</f>
        <v>14059.91257202719</v>
      </c>
      <c r="V30" s="222"/>
      <c r="W30" s="222">
        <f>U30*$C$30</f>
        <v>14341.110823467734</v>
      </c>
      <c r="X30" s="222"/>
      <c r="Y30" s="222">
        <f>W30*$C$30</f>
        <v>14627.933039937088</v>
      </c>
      <c r="Z30" s="222"/>
      <c r="AA30" s="222">
        <f>Y30*$C$30</f>
        <v>14920.491700735831</v>
      </c>
      <c r="AB30" s="222"/>
      <c r="AC30" s="222">
        <f>AA30*$C$30</f>
        <v>15218.901534750548</v>
      </c>
      <c r="AD30" s="222"/>
      <c r="AE30" s="222">
        <f>AC30*$C$30</f>
        <v>15523.27956544556</v>
      </c>
      <c r="AF30" s="222"/>
      <c r="AG30" s="222">
        <f>AE30*$C$30</f>
        <v>15833.745156754472</v>
      </c>
    </row>
    <row r="31" spans="1:33" s="210" customFormat="1" ht="14.25">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177</v>
      </c>
      <c r="C35" s="224"/>
      <c r="E35" s="223">
        <f>SUM(E22:E33)</f>
        <v>985500</v>
      </c>
      <c r="G35" s="223">
        <f>SUM(G22:G33)</f>
        <v>1018666.25</v>
      </c>
      <c r="I35" s="223">
        <f>SUM(I22:I33)</f>
        <v>1052989.7187499998</v>
      </c>
      <c r="K35" s="223">
        <f>SUM(K22:K33)</f>
        <v>1088510.8369062499</v>
      </c>
      <c r="M35" s="223">
        <f>SUM(M22:M33)</f>
        <v>1125271.4487579686</v>
      </c>
      <c r="O35" s="223">
        <f>SUM(O22:O33)</f>
        <v>1163314.8616756971</v>
      </c>
      <c r="Q35" s="223">
        <f>SUM(Q22:Q33)</f>
        <v>1202685.8972897704</v>
      </c>
      <c r="S35" s="223">
        <f>SUM(S22:S33)</f>
        <v>1243430.9444594448</v>
      </c>
      <c r="U35" s="223">
        <f>SUM(U22:U33)</f>
        <v>1285598.0140953483</v>
      </c>
      <c r="W35" s="223">
        <f>SUM(W22:W33)</f>
        <v>1329236.7959001055</v>
      </c>
      <c r="Y35" s="223">
        <f>SUM(Y22:Y33)</f>
        <v>1374398.7170942568</v>
      </c>
      <c r="AA35" s="223">
        <f>SUM(AA22:AA33)</f>
        <v>1421137.0031969566</v>
      </c>
      <c r="AC35" s="223">
        <f>SUM(AC22:AC33)</f>
        <v>1469506.7409333391</v>
      </c>
      <c r="AE35" s="223">
        <f>SUM(AE22:AE33)</f>
        <v>1519564.9433429844</v>
      </c>
      <c r="AG35" s="223">
        <f>SUM(AG22:AG33)</f>
        <v>1571370.6171665068</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846</v>
      </c>
      <c r="C37" s="224"/>
      <c r="E37" s="223">
        <f>E11-E35</f>
        <v>2043018.2999999998</v>
      </c>
      <c r="G37" s="223">
        <f>G11-G35</f>
        <v>2085565.0074999998</v>
      </c>
      <c r="I37" s="223">
        <f>I11-I35</f>
        <v>2128847.3201874997</v>
      </c>
      <c r="K37" s="223">
        <f>K11-K35</f>
        <v>2172872.1280046869</v>
      </c>
      <c r="M37" s="223">
        <f>M11-M35</f>
        <v>2217646.0902757412</v>
      </c>
      <c r="O37" s="223">
        <f>O11-O35</f>
        <v>2263175.6158338543</v>
      </c>
      <c r="Q37" s="223">
        <f>Q11-Q35</f>
        <v>2309466.8421575204</v>
      </c>
      <c r="S37" s="223">
        <f>S11-S35</f>
        <v>2356525.6134740277</v>
      </c>
      <c r="U37" s="223">
        <f>U11-U35</f>
        <v>2404357.4577864613</v>
      </c>
      <c r="W37" s="223">
        <f>W11-W35</f>
        <v>2452967.5627787486</v>
      </c>
      <c r="Y37" s="223">
        <f>Y11-Y35</f>
        <v>2502360.7505515683</v>
      </c>
      <c r="AA37" s="223">
        <f>AA11-AA35</f>
        <v>2552541.451140014</v>
      </c>
      <c r="AC37" s="223">
        <f>AC11-AC35</f>
        <v>2603513.6747620548</v>
      </c>
      <c r="AE37" s="223">
        <f>AE11-AE35</f>
        <v>2655280.9827447943</v>
      </c>
      <c r="AG37" s="223">
        <f>AG11-AG35</f>
        <v>2707846.457073465</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Citibank, N.A.</v>
      </c>
      <c r="B40" s="226"/>
      <c r="C40" s="220"/>
      <c r="E40" s="222">
        <f>Application!AF627</f>
        <v>1705288</v>
      </c>
      <c r="F40" s="222"/>
      <c r="G40" s="222">
        <f>$E$40</f>
        <v>1705288</v>
      </c>
      <c r="H40" s="222"/>
      <c r="I40" s="222">
        <f>$E$40</f>
        <v>1705288</v>
      </c>
      <c r="J40" s="222"/>
      <c r="K40" s="222">
        <f>$E$40</f>
        <v>1705288</v>
      </c>
      <c r="L40" s="222"/>
      <c r="M40" s="222">
        <f>$E$40</f>
        <v>1705288</v>
      </c>
      <c r="N40" s="222"/>
      <c r="O40" s="222">
        <f>$E$40</f>
        <v>1705288</v>
      </c>
      <c r="P40" s="222"/>
      <c r="Q40" s="222">
        <f>$E$40</f>
        <v>1705288</v>
      </c>
      <c r="R40" s="222"/>
      <c r="S40" s="222">
        <f>$E$40</f>
        <v>1705288</v>
      </c>
      <c r="T40" s="222"/>
      <c r="U40" s="222">
        <f>$E$40</f>
        <v>1705288</v>
      </c>
      <c r="V40" s="222"/>
      <c r="W40" s="222">
        <f>$E$40</f>
        <v>1705288</v>
      </c>
      <c r="X40" s="222"/>
      <c r="Y40" s="222">
        <f>$E$40</f>
        <v>1705288</v>
      </c>
      <c r="Z40" s="222"/>
      <c r="AA40" s="222">
        <f>$E$40</f>
        <v>1705288</v>
      </c>
      <c r="AB40" s="222"/>
      <c r="AC40" s="222">
        <f>$E$40</f>
        <v>1705288</v>
      </c>
      <c r="AD40" s="222"/>
      <c r="AE40" s="222">
        <f>$E$40</f>
        <v>1705288</v>
      </c>
      <c r="AF40" s="222"/>
      <c r="AG40" s="222">
        <f>$E$40</f>
        <v>1705288</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847</v>
      </c>
      <c r="C43" s="224"/>
      <c r="E43" s="223">
        <f>SUM(E40:E42)</f>
        <v>1705288</v>
      </c>
      <c r="G43" s="223">
        <f>SUM(G40:G42)</f>
        <v>1705288</v>
      </c>
      <c r="I43" s="223">
        <f>SUM(I40:I42)</f>
        <v>1705288</v>
      </c>
      <c r="K43" s="223">
        <f>SUM(K40:K42)</f>
        <v>1705288</v>
      </c>
      <c r="M43" s="223">
        <f>SUM(M40:M42)</f>
        <v>1705288</v>
      </c>
      <c r="O43" s="223">
        <f>SUM(O40:O42)</f>
        <v>1705288</v>
      </c>
      <c r="Q43" s="223">
        <f>SUM(Q40:Q42)</f>
        <v>1705288</v>
      </c>
      <c r="S43" s="223">
        <f>SUM(S40:S42)</f>
        <v>1705288</v>
      </c>
      <c r="U43" s="223">
        <f>SUM(U40:U42)</f>
        <v>1705288</v>
      </c>
      <c r="W43" s="223">
        <f>SUM(W40:W42)</f>
        <v>1705288</v>
      </c>
      <c r="Y43" s="223">
        <f>SUM(Y40:Y42)</f>
        <v>1705288</v>
      </c>
      <c r="AA43" s="223">
        <f>SUM(AA40:AA42)</f>
        <v>1705288</v>
      </c>
      <c r="AC43" s="223">
        <f>SUM(AC40:AC42)</f>
        <v>1705288</v>
      </c>
      <c r="AE43" s="223">
        <f>SUM(AE40:AE42)</f>
        <v>1705288</v>
      </c>
      <c r="AG43" s="223">
        <f>SUM(AG40:AG42)</f>
        <v>1705288</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848</v>
      </c>
      <c r="C45" s="224"/>
      <c r="E45" s="223">
        <f>E37-E43</f>
        <v>337730.29999999981</v>
      </c>
      <c r="G45" s="223">
        <f>G37-G43</f>
        <v>380277.00749999983</v>
      </c>
      <c r="I45" s="223">
        <f>I37-I43</f>
        <v>423559.32018749975</v>
      </c>
      <c r="K45" s="223">
        <f>K37-K43</f>
        <v>467584.12800468691</v>
      </c>
      <c r="M45" s="223">
        <f>M37-M43</f>
        <v>512358.09027574118</v>
      </c>
      <c r="O45" s="223">
        <f>O37-O43</f>
        <v>557887.6158338543</v>
      </c>
      <c r="Q45" s="223">
        <f>Q37-Q43</f>
        <v>604178.84215752035</v>
      </c>
      <c r="S45" s="223">
        <f>S37-S43</f>
        <v>651237.61347402772</v>
      </c>
      <c r="U45" s="223">
        <f>U37-U43</f>
        <v>699069.45778646134</v>
      </c>
      <c r="W45" s="223">
        <f>W37-W43</f>
        <v>747679.56277874857</v>
      </c>
      <c r="Y45" s="223">
        <f>Y37-Y43</f>
        <v>797072.75055156834</v>
      </c>
      <c r="AA45" s="223">
        <f>AA37-AA43</f>
        <v>847253.45114001399</v>
      </c>
      <c r="AC45" s="223">
        <f>AC37-AC43</f>
        <v>898225.67476205481</v>
      </c>
      <c r="AE45" s="223">
        <f>AE37-AE43</f>
        <v>949992.98274479434</v>
      </c>
      <c r="AG45" s="223">
        <f>AG37-AG43</f>
        <v>1002558.457073465</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850</v>
      </c>
      <c r="C47" s="220"/>
      <c r="E47" s="227">
        <f>E45/(E4+E6+E8)</f>
        <v>0.10594084407546747</v>
      </c>
      <c r="G47" s="227">
        <f>G45/(G4+G6+G8)</f>
        <v>0.11637765590181706</v>
      </c>
      <c r="I47" s="227">
        <f>I45/(I4+I6+I8)</f>
        <v>0.12646196183337241</v>
      </c>
      <c r="K47" s="227">
        <f>K45/(K4+K6+K8)</f>
        <v>0.1362013987267463</v>
      </c>
      <c r="M47" s="227">
        <f>M45/(M4+M6+M8)</f>
        <v>0.14560340782520448</v>
      </c>
      <c r="O47" s="227">
        <f>O45/(O4+O6+O8)</f>
        <v>0.15467523943839243</v>
      </c>
      <c r="Q47" s="227">
        <f>Q45/(Q4+Q6+Q8)</f>
        <v>0.16342395750703323</v>
      </c>
      <c r="S47" s="227">
        <f>S45/(S4+S6+S8)</f>
        <v>0.1718564440553895</v>
      </c>
      <c r="U47" s="227">
        <f>U45/(U4+U6+U8)</f>
        <v>0.17997940353422512</v>
      </c>
      <c r="W47" s="227">
        <f>W45/(W4+W6+W8)</f>
        <v>0.18779936705691955</v>
      </c>
      <c r="Y47" s="227">
        <f>Y45/(Y4+Y6+Y8)</f>
        <v>0.19532269653134135</v>
      </c>
      <c r="AA47" s="227">
        <f>AA45/(AA4+AA6+AA8)</f>
        <v>0.20255558869000478</v>
      </c>
      <c r="AC47" s="227">
        <f>AC45/(AC4+AC6+AC8)</f>
        <v>0.20950407902098969</v>
      </c>
      <c r="AE47" s="227">
        <f>AE45/(AE4+AE6+AE8)</f>
        <v>0.21617404560203146</v>
      </c>
      <c r="AG47" s="227">
        <f>AG45/(AG4+AG6+AG8)</f>
        <v>0.22257121284013198</v>
      </c>
    </row>
    <row r="48" spans="1:33" s="227" customFormat="1" ht="14.25">
      <c r="A48" s="227" t="s">
        <v>851</v>
      </c>
      <c r="C48" s="220"/>
      <c r="E48" s="227">
        <f>E45/E43</f>
        <v>0.19804883397994932</v>
      </c>
      <c r="G48" s="227">
        <f>G45/G43</f>
        <v>0.22299870021955226</v>
      </c>
      <c r="I48" s="227">
        <f>I45/I43</f>
        <v>0.24837993358746427</v>
      </c>
      <c r="K48" s="227">
        <f>K45/K43</f>
        <v>0.27419657442302231</v>
      </c>
      <c r="M48" s="227">
        <f>M45/M43</f>
        <v>0.30045252782857862</v>
      </c>
      <c r="O48" s="227">
        <f>O45/O43</f>
        <v>0.32715155201576174</v>
      </c>
      <c r="Q48" s="227">
        <f>Q45/Q43</f>
        <v>0.35429724607076363</v>
      </c>
      <c r="S48" s="227">
        <f>S45/S43</f>
        <v>0.38189303711398176</v>
      </c>
      <c r="U48" s="227">
        <f>U45/U43</f>
        <v>0.40994216682839574</v>
      </c>
      <c r="W48" s="227">
        <f>W45/W43</f>
        <v>0.43844767733001616</v>
      </c>
      <c r="Y48" s="227">
        <f>Y45/Y43</f>
        <v>0.46741239635273829</v>
      </c>
      <c r="AA48" s="227">
        <f>AA45/AA43</f>
        <v>0.4968389217188029</v>
      </c>
      <c r="AC48" s="227">
        <f>AC45/AC43</f>
        <v>0.52672960506498301</v>
      </c>
      <c r="AE48" s="227">
        <f>AE45/AE43</f>
        <v>0.55708653479341574</v>
      </c>
      <c r="AG48" s="227">
        <f>AG45/AG43</f>
        <v>0.58791151821479126</v>
      </c>
    </row>
    <row r="49" spans="1:34" s="228" customFormat="1" ht="14.25">
      <c r="A49" s="228" t="s">
        <v>849</v>
      </c>
      <c r="C49" s="229"/>
      <c r="E49" s="228">
        <f>E37/E43</f>
        <v>1.1980488339799493</v>
      </c>
      <c r="G49" s="228">
        <f>G37/G43</f>
        <v>1.2229987002195521</v>
      </c>
      <c r="I49" s="228">
        <f>I37/I43</f>
        <v>1.2483799335874644</v>
      </c>
      <c r="K49" s="228">
        <f>K37/K43</f>
        <v>1.2741965744230224</v>
      </c>
      <c r="M49" s="228">
        <f>M37/M43</f>
        <v>1.3004525278285786</v>
      </c>
      <c r="O49" s="228">
        <f>O37/O43</f>
        <v>1.3271515520157617</v>
      </c>
      <c r="Q49" s="228">
        <f>Q37/Q43</f>
        <v>1.3542972460707636</v>
      </c>
      <c r="S49" s="228">
        <f>S37/S43</f>
        <v>1.3818930371139817</v>
      </c>
      <c r="U49" s="228">
        <f>U37/U43</f>
        <v>1.4099421668283958</v>
      </c>
      <c r="W49" s="228">
        <f>W37/W43</f>
        <v>1.4384476773300161</v>
      </c>
      <c r="Y49" s="228">
        <f>Y37/Y43</f>
        <v>1.4674123963527383</v>
      </c>
      <c r="AA49" s="228">
        <f>AA37/AA43</f>
        <v>1.496838921718803</v>
      </c>
      <c r="AC49" s="228">
        <f>AC37/AC43</f>
        <v>1.526729605064983</v>
      </c>
      <c r="AE49" s="228">
        <f>AE37/AE43</f>
        <v>1.5570865347934157</v>
      </c>
      <c r="AG49" s="228">
        <f>AG37/AG43</f>
        <v>1.5879115182147914</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4" t="s">
        <v>2736</v>
      </c>
      <c r="B52" s="2694"/>
      <c r="C52" s="2694"/>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853</v>
      </c>
      <c r="C53" s="963"/>
      <c r="E53" s="964">
        <v>5000</v>
      </c>
      <c r="G53" s="960">
        <f>E53*1.03</f>
        <v>5150</v>
      </c>
      <c r="I53" s="960">
        <f>G53*1.03</f>
        <v>5304.5</v>
      </c>
      <c r="K53" s="960">
        <f>I53*1.03</f>
        <v>5463.6350000000002</v>
      </c>
      <c r="M53" s="960">
        <f>K53*1.03</f>
        <v>5627.5440500000004</v>
      </c>
      <c r="O53" s="960">
        <f>M53*1.03</f>
        <v>5796.3703715000001</v>
      </c>
      <c r="Q53" s="960">
        <f>O53*1.03</f>
        <v>5970.2614826449999</v>
      </c>
      <c r="S53" s="960">
        <f>Q53*1.03</f>
        <v>6149.3693271243501</v>
      </c>
      <c r="U53" s="960">
        <f>S53*1.03</f>
        <v>6333.8504069380806</v>
      </c>
      <c r="W53" s="960">
        <f>U53*1.03</f>
        <v>6523.865919146223</v>
      </c>
      <c r="Y53" s="960">
        <f>W53*1.03</f>
        <v>6719.5818967206096</v>
      </c>
      <c r="AA53" s="960">
        <f>Y53*1.03</f>
        <v>6921.1693536222283</v>
      </c>
      <c r="AC53" s="960">
        <f>AA53*1.03</f>
        <v>7128.8044342308949</v>
      </c>
      <c r="AE53" s="960">
        <f>AC53*1.03</f>
        <v>7342.6685672578224</v>
      </c>
      <c r="AG53" s="960">
        <f>AE53*1.03</f>
        <v>7562.9486242755574</v>
      </c>
    </row>
    <row r="54" spans="1:34" s="3" customFormat="1">
      <c r="A54" s="3" t="s">
        <v>854</v>
      </c>
      <c r="C54" s="958"/>
      <c r="E54" s="965">
        <v>5000</v>
      </c>
      <c r="F54" s="962"/>
      <c r="G54" s="960">
        <f>E54*1.03</f>
        <v>5150</v>
      </c>
      <c r="H54" s="962"/>
      <c r="I54" s="960">
        <f>G54*1.03</f>
        <v>5304.5</v>
      </c>
      <c r="J54" s="962"/>
      <c r="K54" s="960">
        <f>I54*1.03</f>
        <v>5463.6350000000002</v>
      </c>
      <c r="L54" s="962"/>
      <c r="M54" s="960">
        <f>K54*1.03</f>
        <v>5627.5440500000004</v>
      </c>
      <c r="N54" s="962"/>
      <c r="O54" s="960">
        <f>M54*1.03</f>
        <v>5796.3703715000001</v>
      </c>
      <c r="P54" s="962"/>
      <c r="Q54" s="960">
        <f>O54*1.03</f>
        <v>5970.2614826449999</v>
      </c>
      <c r="R54" s="962"/>
      <c r="S54" s="960">
        <f>Q54*1.03</f>
        <v>6149.3693271243501</v>
      </c>
      <c r="T54" s="962"/>
      <c r="U54" s="960">
        <f>S54*1.03</f>
        <v>6333.8504069380806</v>
      </c>
      <c r="V54" s="962"/>
      <c r="W54" s="960">
        <f>U54*1.03</f>
        <v>6523.865919146223</v>
      </c>
      <c r="X54" s="962"/>
      <c r="Y54" s="960">
        <f>W54*1.03</f>
        <v>6719.5818967206096</v>
      </c>
      <c r="Z54" s="962"/>
      <c r="AA54" s="960">
        <f>Y54*1.03</f>
        <v>6921.1693536222283</v>
      </c>
      <c r="AB54" s="962"/>
      <c r="AC54" s="960">
        <f>AA54*1.03</f>
        <v>7128.8044342308949</v>
      </c>
      <c r="AD54" s="962"/>
      <c r="AE54" s="960">
        <f>AC54*1.03</f>
        <v>7342.6685672578224</v>
      </c>
      <c r="AF54" s="962"/>
      <c r="AG54" s="960">
        <f>AE54*1.03</f>
        <v>7562.9486242755574</v>
      </c>
      <c r="AH54" s="960"/>
    </row>
    <row r="55" spans="1:34" s="3" customFormat="1">
      <c r="A55" s="3" t="s">
        <v>855</v>
      </c>
      <c r="C55" s="958"/>
      <c r="E55" s="965"/>
      <c r="F55" s="960"/>
      <c r="G55" s="960">
        <f t="shared" ref="G55:AG57" si="1">E55*$C$53</f>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852</v>
      </c>
      <c r="C58" s="961"/>
      <c r="E58" s="960">
        <f>SUM(E53:E57)</f>
        <v>10000</v>
      </c>
      <c r="F58" s="960"/>
      <c r="G58" s="960">
        <f>SUM(G53:G57)</f>
        <v>10300</v>
      </c>
      <c r="H58" s="960"/>
      <c r="I58" s="960">
        <f>SUM(I53:I57)</f>
        <v>10609</v>
      </c>
      <c r="J58" s="960"/>
      <c r="K58" s="960">
        <f>SUM(K53:K57)</f>
        <v>10927.27</v>
      </c>
      <c r="L58" s="960"/>
      <c r="M58" s="960">
        <f>SUM(M53:M57)</f>
        <v>11255.088100000001</v>
      </c>
      <c r="N58" s="960"/>
      <c r="O58" s="960">
        <f>SUM(O53:O57)</f>
        <v>11592.740743</v>
      </c>
      <c r="P58" s="960"/>
      <c r="Q58" s="960">
        <f>SUM(Q53:Q57)</f>
        <v>11940.52296529</v>
      </c>
      <c r="R58" s="960"/>
      <c r="S58" s="960">
        <f>SUM(S53:S57)</f>
        <v>12298.7386542487</v>
      </c>
      <c r="T58" s="960"/>
      <c r="U58" s="960">
        <f>SUM(U53:U57)</f>
        <v>12667.700813876161</v>
      </c>
      <c r="V58" s="960"/>
      <c r="W58" s="960">
        <f>SUM(W53:W57)</f>
        <v>13047.731838292446</v>
      </c>
      <c r="X58" s="960"/>
      <c r="Y58" s="960">
        <f>SUM(Y53:Y57)</f>
        <v>13439.163793441219</v>
      </c>
      <c r="Z58" s="960"/>
      <c r="AA58" s="960">
        <f>SUM(AA53:AA57)</f>
        <v>13842.338707244457</v>
      </c>
      <c r="AB58" s="960"/>
      <c r="AC58" s="960">
        <f>SUM(AC53:AC57)</f>
        <v>14257.60886846179</v>
      </c>
      <c r="AD58" s="960"/>
      <c r="AE58" s="960">
        <f>SUM(AE53:AE57)</f>
        <v>14685.337134515645</v>
      </c>
      <c r="AF58" s="960"/>
      <c r="AG58" s="960">
        <f>SUM(AG53:AG57)</f>
        <v>15125.897248551115</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857</v>
      </c>
      <c r="C60" s="969"/>
      <c r="E60" s="962">
        <f>E45-E58</f>
        <v>327730.29999999981</v>
      </c>
      <c r="G60" s="962">
        <f>G45-G58</f>
        <v>369977.00749999983</v>
      </c>
      <c r="I60" s="962">
        <f>I45-I58</f>
        <v>412950.32018749975</v>
      </c>
      <c r="K60" s="962">
        <f>K45-K58</f>
        <v>456656.85800468689</v>
      </c>
      <c r="M60" s="962">
        <f>M45-M58</f>
        <v>501103.00217574119</v>
      </c>
      <c r="O60" s="962">
        <f>O45-O58</f>
        <v>546294.87509085436</v>
      </c>
      <c r="Q60" s="962">
        <f>Q45-Q58</f>
        <v>592238.31919223035</v>
      </c>
      <c r="S60" s="962">
        <f>S45-S58</f>
        <v>638938.87481977907</v>
      </c>
      <c r="U60" s="962">
        <f>U45-U58</f>
        <v>686401.75697258522</v>
      </c>
      <c r="W60" s="962">
        <f>W45-W58</f>
        <v>734631.83094045613</v>
      </c>
      <c r="Y60" s="962">
        <f>Y45-Y58</f>
        <v>783633.58675812709</v>
      </c>
      <c r="AA60" s="962">
        <f>AA45-AA58</f>
        <v>833411.1124327695</v>
      </c>
      <c r="AC60" s="962">
        <f>AC45-AC58</f>
        <v>883968.06589359301</v>
      </c>
      <c r="AE60" s="962">
        <f>AE45-AE58</f>
        <v>935307.64561027871</v>
      </c>
      <c r="AG60" s="962">
        <f>AG45-AG58</f>
        <v>987432.55982491386</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856</v>
      </c>
      <c r="C62" s="959">
        <v>1</v>
      </c>
      <c r="E62" s="964">
        <f>E60*$C$62</f>
        <v>327730.29999999981</v>
      </c>
      <c r="G62" s="962">
        <f>G60*$C$62</f>
        <v>369977.00749999983</v>
      </c>
      <c r="I62" s="962">
        <f>I60*$C$62</f>
        <v>412950.32018749975</v>
      </c>
      <c r="K62" s="962">
        <f>K60*$C$62</f>
        <v>456656.85800468689</v>
      </c>
      <c r="M62" s="962">
        <f>M60*$C$62</f>
        <v>501103.00217574119</v>
      </c>
      <c r="O62" s="962">
        <f>O60*$C$62</f>
        <v>546294.87509085436</v>
      </c>
      <c r="Q62" s="962">
        <f>Q60*$C$62</f>
        <v>592238.31919223035</v>
      </c>
      <c r="S62" s="962">
        <f>S60*$C$62</f>
        <v>638938.87481977907</v>
      </c>
      <c r="U62" s="962">
        <f>U60*$C$62</f>
        <v>686401.75697258522</v>
      </c>
      <c r="W62" s="962">
        <f>W60*$C$62</f>
        <v>734631.83094045613</v>
      </c>
      <c r="Y62" s="962">
        <f>Y60*$C$62</f>
        <v>783633.58675812709</v>
      </c>
      <c r="AA62" s="962">
        <v>354920</v>
      </c>
      <c r="AC62" s="962">
        <v>0</v>
      </c>
      <c r="AE62" s="962">
        <v>0</v>
      </c>
      <c r="AG62" s="962">
        <v>0</v>
      </c>
    </row>
    <row r="63" spans="1:34" s="962" customFormat="1">
      <c r="A63" s="2694" t="s">
        <v>2736</v>
      </c>
      <c r="B63" s="2694"/>
      <c r="C63" s="2694"/>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860</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852</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478491.1124327695</v>
      </c>
      <c r="AC72" s="962">
        <f>AC60-AC62-AC70</f>
        <v>883968.06589359301</v>
      </c>
      <c r="AE72" s="962">
        <f>AE60-AE62-AE70</f>
        <v>935307.64561027871</v>
      </c>
      <c r="AG72" s="962">
        <f>AG60-AG62-AG70</f>
        <v>987432.55982491386</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692" t="s">
        <v>1721</v>
      </c>
      <c r="B77" s="2693"/>
      <c r="C77" s="2693"/>
      <c r="D77" s="2693"/>
      <c r="E77" s="2693"/>
      <c r="F77" s="2693"/>
      <c r="G77" s="2693"/>
      <c r="H77" s="2693"/>
      <c r="I77" s="2693"/>
      <c r="J77" s="2693"/>
      <c r="K77" s="2693"/>
      <c r="L77" s="2693"/>
      <c r="M77" s="2693"/>
      <c r="N77" s="2693"/>
      <c r="O77" s="2693"/>
      <c r="P77" s="2693"/>
      <c r="Q77" s="2693"/>
      <c r="R77" s="2693"/>
      <c r="S77" s="2693"/>
      <c r="T77" s="2693"/>
      <c r="U77" s="2693"/>
      <c r="V77" s="2693"/>
      <c r="W77" s="2693"/>
      <c r="X77" s="2693"/>
      <c r="Y77" s="2693"/>
      <c r="Z77" s="2693"/>
      <c r="AA77" s="2693"/>
      <c r="AB77" s="2693"/>
      <c r="AC77" s="2693"/>
      <c r="AD77" s="2693"/>
      <c r="AE77" s="2693"/>
      <c r="AF77" s="2693"/>
      <c r="AG77" s="269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970</v>
      </c>
    </row>
    <row r="2" spans="1:1" ht="15.75">
      <c r="A2" s="314"/>
    </row>
    <row r="3" spans="1:1" ht="15.75">
      <c r="A3" s="315" t="s">
        <v>965</v>
      </c>
    </row>
    <row r="4" spans="1:1" ht="15.75">
      <c r="A4" s="315" t="s">
        <v>966</v>
      </c>
    </row>
    <row r="5" spans="1:1" ht="15.75">
      <c r="A5" s="315" t="s">
        <v>967</v>
      </c>
    </row>
    <row r="6" spans="1:1" ht="15.75">
      <c r="A6" s="315" t="s">
        <v>969</v>
      </c>
    </row>
    <row r="7" spans="1:1" ht="15.75">
      <c r="A7" s="315" t="s">
        <v>968</v>
      </c>
    </row>
    <row r="8" spans="1:1" ht="15.75">
      <c r="A8" s="346" t="s">
        <v>1023</v>
      </c>
    </row>
    <row r="9" spans="1:1" ht="15.75">
      <c r="A9" s="315" t="s">
        <v>1024</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1216</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8500000</v>
      </c>
      <c r="C5" s="266">
        <f>'Sources and Uses Budget'!$C4</f>
        <v>8500000</v>
      </c>
      <c r="D5" s="270">
        <f>C5-B5</f>
        <v>0</v>
      </c>
      <c r="E5" s="268"/>
      <c r="F5" s="267"/>
    </row>
    <row r="6" spans="1:6" s="352" customFormat="1">
      <c r="A6" s="364" t="s">
        <v>28</v>
      </c>
      <c r="B6" s="266">
        <f>'Sources and Uses Budget'!$C5</f>
        <v>150000</v>
      </c>
      <c r="C6" s="266">
        <f>'Sources and Uses Budget'!$C5</f>
        <v>150000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8650000</v>
      </c>
      <c r="C9" s="270">
        <f>SUM(C5:C8)</f>
        <v>8650000</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0</v>
      </c>
      <c r="C11" s="266">
        <f>'Sources and Uses Budget'!$C10</f>
        <v>0</v>
      </c>
      <c r="D11" s="270">
        <f t="shared" si="0"/>
        <v>0</v>
      </c>
      <c r="E11" s="268"/>
      <c r="F11" s="267"/>
    </row>
    <row r="12" spans="1:6" s="352" customFormat="1">
      <c r="A12" s="365" t="s">
        <v>595</v>
      </c>
      <c r="B12" s="270">
        <f>SUM(B10:B11)</f>
        <v>0</v>
      </c>
      <c r="C12" s="270">
        <f>SUM(C10:C11)</f>
        <v>0</v>
      </c>
      <c r="D12" s="270">
        <f t="shared" si="0"/>
        <v>0</v>
      </c>
      <c r="E12" s="268"/>
      <c r="F12" s="267"/>
    </row>
    <row r="13" spans="1:6" s="352" customFormat="1">
      <c r="A13" s="365" t="s">
        <v>84</v>
      </c>
      <c r="B13" s="270">
        <f>SUM(B9+B12)</f>
        <v>8650000</v>
      </c>
      <c r="C13" s="270">
        <f>SUM(C9+C12)</f>
        <v>8650000</v>
      </c>
      <c r="D13" s="270">
        <f t="shared" si="0"/>
        <v>0</v>
      </c>
      <c r="E13" s="268"/>
      <c r="F13" s="267"/>
    </row>
    <row r="14" spans="1:6" s="352" customFormat="1">
      <c r="A14" s="366" t="s">
        <v>901</v>
      </c>
      <c r="B14" s="266">
        <f>'Sources and Uses Budget'!$C13</f>
        <v>0</v>
      </c>
      <c r="C14" s="266">
        <f>'Sources and Uses Budget'!$C13</f>
        <v>0</v>
      </c>
      <c r="D14" s="270">
        <f t="shared" si="0"/>
        <v>0</v>
      </c>
      <c r="E14" s="268"/>
      <c r="F14" s="267"/>
    </row>
    <row r="15" spans="1:6" s="352" customFormat="1" ht="24">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4117000</v>
      </c>
      <c r="C30" s="266">
        <f>'Sources and Uses Budget'!$C29</f>
        <v>4117000</v>
      </c>
      <c r="D30" s="270">
        <f t="shared" si="0"/>
        <v>0</v>
      </c>
      <c r="E30" s="268"/>
      <c r="F30" s="267"/>
    </row>
    <row r="31" spans="1:6" s="352" customFormat="1">
      <c r="A31" s="145" t="s">
        <v>598</v>
      </c>
      <c r="B31" s="266">
        <f>'Sources and Uses Budget'!$C30</f>
        <v>27971374</v>
      </c>
      <c r="C31" s="266">
        <f>'Sources and Uses Budget'!$C30</f>
        <v>27971374</v>
      </c>
      <c r="D31" s="270">
        <f t="shared" si="0"/>
        <v>0</v>
      </c>
      <c r="E31" s="268"/>
      <c r="F31" s="267"/>
    </row>
    <row r="32" spans="1:6" s="352" customFormat="1">
      <c r="A32" s="145" t="s">
        <v>599</v>
      </c>
      <c r="B32" s="266">
        <f>'Sources and Uses Budget'!$C31</f>
        <v>1604419</v>
      </c>
      <c r="C32" s="266">
        <f>'Sources and Uses Budget'!$C31</f>
        <v>1604419</v>
      </c>
      <c r="D32" s="270">
        <f t="shared" si="0"/>
        <v>0</v>
      </c>
      <c r="E32" s="268"/>
      <c r="F32" s="267"/>
    </row>
    <row r="33" spans="1:6" s="352" customFormat="1">
      <c r="A33" s="145" t="s">
        <v>137</v>
      </c>
      <c r="B33" s="266">
        <f>'Sources and Uses Budget'!$C32</f>
        <v>641767</v>
      </c>
      <c r="C33" s="266">
        <f>'Sources and Uses Budget'!$C32</f>
        <v>641767</v>
      </c>
      <c r="D33" s="270">
        <f t="shared" si="0"/>
        <v>0</v>
      </c>
      <c r="E33" s="268"/>
      <c r="F33" s="267"/>
    </row>
    <row r="34" spans="1:6" s="352" customFormat="1">
      <c r="A34" s="145" t="s">
        <v>138</v>
      </c>
      <c r="B34" s="266">
        <f>'Sources and Uses Budget'!$C33</f>
        <v>1925302</v>
      </c>
      <c r="C34" s="266">
        <f>'Sources and Uses Budget'!$C33</f>
        <v>1925302</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300000</v>
      </c>
      <c r="C36" s="266">
        <f>'Sources and Uses Budget'!$C35</f>
        <v>300000</v>
      </c>
      <c r="D36" s="270">
        <f t="shared" si="0"/>
        <v>0</v>
      </c>
      <c r="E36" s="268"/>
      <c r="F36" s="267"/>
    </row>
    <row r="37" spans="1:6" s="352" customFormat="1">
      <c r="A37" s="283" t="s">
        <v>1640</v>
      </c>
      <c r="B37" s="266">
        <f>'Sources and Uses Budget'!$C36</f>
        <v>0</v>
      </c>
      <c r="C37" s="266">
        <f>'Sources and Uses Budget'!$C36</f>
        <v>0</v>
      </c>
      <c r="D37" s="270"/>
      <c r="E37" s="268"/>
      <c r="F37" s="267"/>
    </row>
    <row r="38" spans="1:6" s="352" customFormat="1">
      <c r="A38" s="155" t="str">
        <f>'Sources and Uses Budget'!A37</f>
        <v>P&amp;P Bonds</v>
      </c>
      <c r="B38" s="266">
        <f>'Sources and Uses Budget'!$C37</f>
        <v>250000</v>
      </c>
      <c r="C38" s="266">
        <f>'Sources and Uses Budget'!$C37</f>
        <v>250000</v>
      </c>
      <c r="D38" s="270">
        <f t="shared" si="0"/>
        <v>0</v>
      </c>
      <c r="E38" s="268"/>
      <c r="F38" s="267"/>
    </row>
    <row r="39" spans="1:6" s="352" customFormat="1">
      <c r="A39" s="271" t="s">
        <v>143</v>
      </c>
      <c r="B39" s="270">
        <f>SUM(B30:B38)</f>
        <v>36809862</v>
      </c>
      <c r="C39" s="270">
        <f>SUM(C30:C38)</f>
        <v>36809862</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750000</v>
      </c>
      <c r="C41" s="266">
        <f>'Sources and Uses Budget'!$C40</f>
        <v>750000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750000</v>
      </c>
      <c r="C43" s="270">
        <f>SUM(C41:C42)</f>
        <v>750000</v>
      </c>
      <c r="D43" s="270">
        <f t="shared" si="0"/>
        <v>0</v>
      </c>
      <c r="E43" s="268"/>
      <c r="F43" s="267"/>
    </row>
    <row r="44" spans="1:6" s="352" customFormat="1">
      <c r="A44" s="271" t="s">
        <v>148</v>
      </c>
      <c r="B44" s="266">
        <f>'Sources and Uses Budget'!$C43</f>
        <v>400000</v>
      </c>
      <c r="C44" s="266">
        <f>'Sources and Uses Budget'!$C43</f>
        <v>400000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3132000</v>
      </c>
      <c r="C46" s="266">
        <f>'Sources and Uses Budget'!$C45</f>
        <v>3132000</v>
      </c>
      <c r="D46" s="270">
        <f t="shared" si="0"/>
        <v>0</v>
      </c>
      <c r="E46" s="268"/>
      <c r="F46" s="267"/>
    </row>
    <row r="47" spans="1:6" s="352" customFormat="1">
      <c r="A47" s="145" t="s">
        <v>151</v>
      </c>
      <c r="B47" s="266">
        <f>'Sources and Uses Budget'!$C46</f>
        <v>383000</v>
      </c>
      <c r="C47" s="266">
        <f>'Sources and Uses Budget'!$C46</f>
        <v>383000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80000</v>
      </c>
      <c r="C50" s="266">
        <f>'Sources and Uses Budget'!$C49</f>
        <v>80000</v>
      </c>
      <c r="D50" s="270">
        <f t="shared" si="0"/>
        <v>0</v>
      </c>
      <c r="E50" s="268"/>
      <c r="F50" s="267"/>
    </row>
    <row r="51" spans="1:6" s="352" customFormat="1">
      <c r="A51" s="145" t="s">
        <v>156</v>
      </c>
      <c r="B51" s="266">
        <f>'Sources and Uses Budget'!$C50</f>
        <v>60000</v>
      </c>
      <c r="C51" s="266">
        <f>'Sources and Uses Budget'!$C50</f>
        <v>60000</v>
      </c>
      <c r="D51" s="270">
        <f t="shared" si="0"/>
        <v>0</v>
      </c>
      <c r="E51" s="268"/>
      <c r="F51" s="267"/>
    </row>
    <row r="52" spans="1:6" s="352" customFormat="1">
      <c r="A52" s="283" t="s">
        <v>154</v>
      </c>
      <c r="B52" s="266">
        <f>'Sources and Uses Budget'!$C51</f>
        <v>15000</v>
      </c>
      <c r="C52" s="266">
        <f>'Sources and Uses Budget'!$C51</f>
        <v>15000</v>
      </c>
      <c r="D52" s="270">
        <f t="shared" si="0"/>
        <v>0</v>
      </c>
      <c r="E52" s="268"/>
      <c r="F52" s="267"/>
    </row>
    <row r="53" spans="1:6" s="352" customFormat="1">
      <c r="A53" s="145" t="s">
        <v>155</v>
      </c>
      <c r="B53" s="266">
        <f>'Sources and Uses Budget'!$C52</f>
        <v>116300</v>
      </c>
      <c r="C53" s="266">
        <f>'Sources and Uses Budget'!$C52</f>
        <v>116300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3786300</v>
      </c>
      <c r="C55" s="273">
        <f>SUM(C46:C54)</f>
        <v>3786300</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25000</v>
      </c>
      <c r="C57" s="266">
        <f>'Sources and Uses Budget'!$C56</f>
        <v>25000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Costs of Issuance</v>
      </c>
      <c r="B62" s="266">
        <f>'Sources and Uses Budget'!$C61</f>
        <v>100000</v>
      </c>
      <c r="C62" s="266">
        <f>'Sources and Uses Budget'!$C61</f>
        <v>100000</v>
      </c>
      <c r="D62" s="270">
        <f t="shared" si="0"/>
        <v>0</v>
      </c>
      <c r="E62" s="268"/>
      <c r="F62" s="267"/>
    </row>
    <row r="63" spans="1:6" s="352" customFormat="1" ht="13.7" customHeight="1">
      <c r="A63" s="271" t="s">
        <v>300</v>
      </c>
      <c r="B63" s="270">
        <f>SUM(B57:B62)</f>
        <v>125000</v>
      </c>
      <c r="C63" s="270">
        <f>SUM(C57:C62)</f>
        <v>125000</v>
      </c>
      <c r="D63" s="270">
        <f t="shared" si="0"/>
        <v>0</v>
      </c>
      <c r="E63" s="268"/>
      <c r="F63" s="267"/>
    </row>
    <row r="64" spans="1:6" s="352" customFormat="1">
      <c r="A64" s="274" t="s">
        <v>301</v>
      </c>
      <c r="B64" s="270">
        <f>SUM(B9+B12+B14+B15+B17+B26+B28+B39+B43+B44+B55+B63)</f>
        <v>50521162</v>
      </c>
      <c r="C64" s="270">
        <f>SUM(C9+C12+C14+C15+C17+C26+C28+C39+C43+C44+C55+C63)</f>
        <v>50521162</v>
      </c>
      <c r="D64" s="270">
        <f t="shared" si="0"/>
        <v>0</v>
      </c>
      <c r="E64" s="268"/>
      <c r="F64" s="267"/>
    </row>
    <row r="65" spans="1:6" s="352" customFormat="1" ht="24">
      <c r="A65" s="141" t="s">
        <v>1644</v>
      </c>
      <c r="B65" s="264"/>
      <c r="C65" s="264"/>
      <c r="D65" s="264"/>
      <c r="E65" s="282"/>
      <c r="F65" s="264"/>
    </row>
    <row r="66" spans="1:6" s="352" customFormat="1">
      <c r="A66" s="145" t="s">
        <v>170</v>
      </c>
      <c r="B66" s="266">
        <f>'Sources and Uses Budget'!$C65</f>
        <v>60000</v>
      </c>
      <c r="C66" s="266">
        <f>'Sources and Uses Budget'!$C65</f>
        <v>60000</v>
      </c>
      <c r="D66" s="270">
        <f t="shared" si="0"/>
        <v>0</v>
      </c>
      <c r="E66" s="268"/>
      <c r="F66" s="267"/>
    </row>
    <row r="67" spans="1:6" s="352" customFormat="1" ht="24">
      <c r="A67" s="283" t="s">
        <v>1641</v>
      </c>
      <c r="B67" s="266">
        <f>'Sources and Uses Budget'!$C66</f>
        <v>0</v>
      </c>
      <c r="C67" s="266">
        <f>'Sources and Uses Budget'!$C66</f>
        <v>0</v>
      </c>
      <c r="D67" s="270"/>
      <c r="E67" s="268"/>
      <c r="F67" s="267"/>
    </row>
    <row r="68" spans="1:6" s="352" customFormat="1" ht="24">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Borrower Attorney</v>
      </c>
      <c r="B70" s="266">
        <f>'Sources and Uses Budget'!$C69</f>
        <v>60000</v>
      </c>
      <c r="C70" s="266">
        <f>'Sources and Uses Budget'!$C69</f>
        <v>60000</v>
      </c>
      <c r="D70" s="270">
        <f t="shared" si="0"/>
        <v>0</v>
      </c>
      <c r="E70" s="268"/>
      <c r="F70" s="267"/>
    </row>
    <row r="71" spans="1:6" s="352" customFormat="1">
      <c r="A71" s="149" t="s">
        <v>1645</v>
      </c>
      <c r="B71" s="270">
        <f>SUM(B66:B70)</f>
        <v>120000</v>
      </c>
      <c r="C71" s="270">
        <f>SUM(C66:C70)</f>
        <v>120000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604</v>
      </c>
      <c r="B76" s="266">
        <f>'Sources and Uses Budget'!$C75</f>
        <v>671694</v>
      </c>
      <c r="C76" s="266">
        <f>'Sources and Uses Budget'!$C75</f>
        <v>671694</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605</v>
      </c>
      <c r="B78" s="270">
        <f>SUM(B73:B77)</f>
        <v>671694</v>
      </c>
      <c r="C78" s="270">
        <f>SUM(C73:C77)</f>
        <v>671694</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1813000</v>
      </c>
      <c r="C80" s="266">
        <f>'Sources and Uses Budget'!$C79</f>
        <v>1813000</v>
      </c>
      <c r="D80" s="270">
        <f t="shared" si="1"/>
        <v>0</v>
      </c>
      <c r="E80" s="268"/>
      <c r="F80" s="267"/>
    </row>
    <row r="81" spans="1:6" s="352" customFormat="1">
      <c r="A81" s="510" t="s">
        <v>58</v>
      </c>
      <c r="B81" s="266">
        <f>'Sources and Uses Budget'!$C80</f>
        <v>300000</v>
      </c>
      <c r="C81" s="266">
        <f>'Sources and Uses Budget'!$C80</f>
        <v>300000</v>
      </c>
      <c r="D81" s="270">
        <f>C81-B81</f>
        <v>0</v>
      </c>
      <c r="E81" s="268"/>
      <c r="F81" s="267"/>
    </row>
    <row r="82" spans="1:6" s="352" customFormat="1">
      <c r="A82" s="271" t="s">
        <v>1208</v>
      </c>
      <c r="B82" s="270">
        <f>SUM(B80:B81)</f>
        <v>2113000</v>
      </c>
      <c r="C82" s="270">
        <f>SUM(C80:C81)</f>
        <v>2113000</v>
      </c>
      <c r="D82" s="270">
        <f t="shared" si="1"/>
        <v>0</v>
      </c>
      <c r="E82" s="268"/>
      <c r="F82" s="267"/>
    </row>
    <row r="83" spans="1:6" s="352" customFormat="1">
      <c r="A83" s="264" t="s">
        <v>764</v>
      </c>
      <c r="B83" s="264"/>
      <c r="C83" s="264"/>
      <c r="D83" s="264"/>
      <c r="E83" s="282"/>
      <c r="F83" s="264"/>
    </row>
    <row r="84" spans="1:6" s="352" customFormat="1" ht="13.7" customHeight="1">
      <c r="A84" s="269" t="s">
        <v>765</v>
      </c>
      <c r="B84" s="266">
        <f>'Sources and Uses Budget'!$C83</f>
        <v>85300</v>
      </c>
      <c r="C84" s="266">
        <f>'Sources and Uses Budget'!$C83</f>
        <v>85300</v>
      </c>
      <c r="D84" s="270">
        <f t="shared" si="1"/>
        <v>0</v>
      </c>
      <c r="E84" s="268"/>
      <c r="F84" s="267"/>
    </row>
    <row r="85" spans="1:6" s="352" customFormat="1">
      <c r="A85" s="269" t="s">
        <v>766</v>
      </c>
      <c r="B85" s="266">
        <f>'Sources and Uses Budget'!$C84</f>
        <v>0</v>
      </c>
      <c r="C85" s="266">
        <f>'Sources and Uses Budget'!$C84</f>
        <v>0</v>
      </c>
      <c r="D85" s="270">
        <f t="shared" si="1"/>
        <v>0</v>
      </c>
      <c r="E85" s="268"/>
      <c r="F85" s="267"/>
    </row>
    <row r="86" spans="1:6" s="352" customFormat="1">
      <c r="A86" s="269" t="s">
        <v>767</v>
      </c>
      <c r="B86" s="266">
        <f>'Sources and Uses Budget'!$C85</f>
        <v>4372860</v>
      </c>
      <c r="C86" s="266">
        <f>'Sources and Uses Budget'!$C85</f>
        <v>4372860</v>
      </c>
      <c r="D86" s="270">
        <f t="shared" si="1"/>
        <v>0</v>
      </c>
      <c r="E86" s="268"/>
      <c r="F86" s="267"/>
    </row>
    <row r="87" spans="1:6" s="352" customFormat="1">
      <c r="A87" s="269" t="s">
        <v>768</v>
      </c>
      <c r="B87" s="266">
        <f>'Sources and Uses Budget'!$C86</f>
        <v>770640</v>
      </c>
      <c r="C87" s="266">
        <f>'Sources and Uses Budget'!$C86</f>
        <v>770640</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36151</v>
      </c>
      <c r="C89" s="266">
        <f>'Sources and Uses Budget'!$C88</f>
        <v>36151</v>
      </c>
      <c r="D89" s="270">
        <f t="shared" si="1"/>
        <v>0</v>
      </c>
      <c r="E89" s="268"/>
      <c r="F89" s="267"/>
    </row>
    <row r="90" spans="1:6" s="352" customFormat="1">
      <c r="A90" s="269" t="s">
        <v>771</v>
      </c>
      <c r="B90" s="266">
        <f>'Sources and Uses Budget'!$C89</f>
        <v>50000</v>
      </c>
      <c r="C90" s="266">
        <f>'Sources and Uses Budget'!$C89</f>
        <v>50000</v>
      </c>
      <c r="D90" s="270">
        <f t="shared" si="1"/>
        <v>0</v>
      </c>
      <c r="E90" s="268"/>
      <c r="F90" s="267"/>
    </row>
    <row r="91" spans="1:6" s="352" customFormat="1">
      <c r="A91" s="269" t="s">
        <v>772</v>
      </c>
      <c r="B91" s="266">
        <f>'Sources and Uses Budget'!$C90</f>
        <v>10000</v>
      </c>
      <c r="C91" s="266">
        <f>'Sources and Uses Budget'!$C90</f>
        <v>10000</v>
      </c>
      <c r="D91" s="270">
        <f t="shared" si="1"/>
        <v>0</v>
      </c>
      <c r="E91" s="268"/>
      <c r="F91" s="267"/>
    </row>
    <row r="92" spans="1:6" s="352" customFormat="1">
      <c r="A92" s="269" t="s">
        <v>371</v>
      </c>
      <c r="B92" s="266">
        <f>'Sources and Uses Budget'!$C91</f>
        <v>10000</v>
      </c>
      <c r="C92" s="266">
        <f>'Sources and Uses Budget'!$C91</f>
        <v>10000</v>
      </c>
      <c r="D92" s="270">
        <f t="shared" si="1"/>
        <v>0</v>
      </c>
      <c r="E92" s="268"/>
      <c r="F92" s="267"/>
    </row>
    <row r="93" spans="1:6" s="352" customFormat="1">
      <c r="A93" s="510" t="s">
        <v>1210</v>
      </c>
      <c r="B93" s="266">
        <f>'Sources and Uses Budget'!$C92</f>
        <v>10000</v>
      </c>
      <c r="C93" s="266">
        <f>'Sources and Uses Budget'!$C92</f>
        <v>10000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773</v>
      </c>
      <c r="B97" s="270">
        <f>SUM(B84:B96)</f>
        <v>5344951</v>
      </c>
      <c r="C97" s="270">
        <f>SUM(C84:C96)</f>
        <v>5344951</v>
      </c>
      <c r="D97" s="270">
        <f t="shared" si="1"/>
        <v>0</v>
      </c>
      <c r="E97" s="268"/>
      <c r="F97" s="267"/>
    </row>
    <row r="98" spans="1:6" s="352" customFormat="1">
      <c r="A98" s="271" t="s">
        <v>774</v>
      </c>
      <c r="B98" s="270">
        <f>SUM(B64+B71+B78+B82+B97)</f>
        <v>58770807</v>
      </c>
      <c r="C98" s="270">
        <f>SUM(C64+C71+C78+C82+C97)</f>
        <v>58770807</v>
      </c>
      <c r="D98" s="270">
        <f t="shared" si="1"/>
        <v>0</v>
      </c>
      <c r="E98" s="268"/>
      <c r="F98" s="267"/>
    </row>
    <row r="99" spans="1:6" s="352" customFormat="1">
      <c r="A99" s="264" t="s">
        <v>775</v>
      </c>
      <c r="B99" s="264"/>
      <c r="C99" s="264"/>
      <c r="D99" s="264"/>
      <c r="E99" s="282"/>
      <c r="F99" s="264"/>
    </row>
    <row r="100" spans="1:6" s="352" customFormat="1">
      <c r="A100" s="145" t="s">
        <v>776</v>
      </c>
      <c r="B100" s="266">
        <f>'Sources and Uses Budget'!$C99</f>
        <v>9840532</v>
      </c>
      <c r="C100" s="266">
        <f>'Sources and Uses Budget'!$C99</f>
        <v>9840532</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SUM(B100:B104)</f>
        <v>9840532</v>
      </c>
      <c r="C105" s="270">
        <f>SUM(C100:C104)</f>
        <v>9840532</v>
      </c>
      <c r="D105" s="270">
        <f t="shared" si="1"/>
        <v>0</v>
      </c>
      <c r="E105" s="268"/>
      <c r="F105" s="267"/>
    </row>
    <row r="106" spans="1:6" s="352" customFormat="1">
      <c r="A106" s="271" t="s">
        <v>779</v>
      </c>
      <c r="B106" s="273">
        <f>SUM(B98+B105)</f>
        <v>68611339</v>
      </c>
      <c r="C106" s="273">
        <f>SUM(C98+C105)</f>
        <v>68611339</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1868</v>
      </c>
      <c r="B1" s="1275"/>
      <c r="C1" s="1275"/>
      <c r="D1" s="1275"/>
      <c r="E1" s="1275"/>
      <c r="F1" s="1275"/>
      <c r="G1" s="1275"/>
      <c r="H1" s="1275"/>
      <c r="I1" s="1275"/>
      <c r="J1" s="1275"/>
    </row>
    <row r="2" spans="1:10" ht="15">
      <c r="A2" s="1278" t="s">
        <v>1268</v>
      </c>
      <c r="B2" s="1279"/>
      <c r="C2" s="1279"/>
      <c r="D2" s="1279"/>
      <c r="E2" s="1279"/>
      <c r="F2" s="1279"/>
      <c r="G2" s="1279"/>
      <c r="H2" s="1279"/>
      <c r="I2" s="1279"/>
      <c r="J2" s="1279"/>
    </row>
    <row r="3" spans="1:10" ht="12.75"/>
    <row r="4" spans="1:10" ht="12.75" customHeight="1">
      <c r="A4" s="1276" t="s">
        <v>2046</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ht="12.75"/>
    <row r="10" spans="1:10" ht="12.75" customHeight="1">
      <c r="A10" s="1280" t="s">
        <v>1873</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1872</v>
      </c>
      <c r="B17" s="416"/>
      <c r="C17" s="416"/>
      <c r="D17" s="416"/>
      <c r="E17" s="416"/>
      <c r="F17" s="416"/>
      <c r="G17" s="416"/>
      <c r="H17" s="416"/>
      <c r="I17" s="416"/>
      <c r="J17" s="416"/>
    </row>
    <row r="18" spans="1:10" ht="12.75">
      <c r="A18" s="416" t="s">
        <v>249</v>
      </c>
      <c r="B18" s="416"/>
      <c r="C18" s="416"/>
      <c r="D18" s="416"/>
      <c r="E18" s="416"/>
      <c r="F18" s="416"/>
      <c r="G18" s="416"/>
      <c r="H18" s="416"/>
      <c r="I18" s="416"/>
      <c r="J18" s="416"/>
    </row>
    <row r="19" spans="1:10" ht="12.75">
      <c r="A19" s="1279" t="s">
        <v>1188</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1189</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1188</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1869</v>
      </c>
      <c r="B71" s="1277"/>
      <c r="C71" s="1277"/>
      <c r="D71" s="1277"/>
      <c r="E71" s="1277"/>
      <c r="F71" s="1277"/>
      <c r="G71" s="1277"/>
      <c r="H71" s="1277"/>
      <c r="I71" s="1277"/>
    </row>
    <row r="72" spans="1:9" ht="12.75">
      <c r="A72" s="1267" t="s">
        <v>2044</v>
      </c>
      <c r="B72" s="1267"/>
      <c r="C72" s="1267"/>
      <c r="D72" s="1267"/>
      <c r="E72" s="1267"/>
    </row>
    <row r="73" spans="1:9" ht="12.75">
      <c r="A73" s="1267" t="s">
        <v>2045</v>
      </c>
      <c r="B73" s="1267"/>
      <c r="C73" s="1267"/>
      <c r="D73" s="1267"/>
      <c r="E73" s="1267"/>
    </row>
    <row r="74" spans="1:9" ht="12.75">
      <c r="A74" s="1267" t="s">
        <v>1870</v>
      </c>
      <c r="B74" s="1267"/>
      <c r="C74" s="1267"/>
      <c r="D74" s="1267"/>
      <c r="E74" s="1267"/>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abSelected="1" topLeftCell="A1059" workbookViewId="0">
      <selection activeCell="D1119" sqref="D1119:F1121"/>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281" t="s">
        <v>2457</v>
      </c>
      <c r="B2" s="1281"/>
      <c r="C2" s="1281"/>
      <c r="D2" s="1281"/>
      <c r="E2" s="1281"/>
      <c r="F2" s="1281"/>
      <c r="G2" s="1281"/>
      <c r="H2" s="1281"/>
      <c r="I2" s="1281"/>
    </row>
    <row r="3" spans="1:13">
      <c r="A3" s="1282" t="s">
        <v>2218</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2217</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1100</v>
      </c>
      <c r="B9" s="1286"/>
      <c r="C9" s="1286"/>
      <c r="D9" s="1286"/>
      <c r="E9" s="1286"/>
      <c r="F9" s="1286"/>
      <c r="G9" s="1286"/>
      <c r="H9" s="1028"/>
      <c r="I9" s="1029"/>
    </row>
    <row r="10" spans="1:13">
      <c r="A10" s="482"/>
      <c r="B10" s="482"/>
      <c r="E10" s="404"/>
    </row>
    <row r="11" spans="1:13" ht="13.7" customHeight="1">
      <c r="C11" s="482"/>
      <c r="D11" s="1305" t="s">
        <v>1099</v>
      </c>
      <c r="E11" s="1305"/>
      <c r="F11" s="1305"/>
    </row>
    <row r="12" spans="1:13">
      <c r="C12" s="482"/>
      <c r="D12" s="1305"/>
      <c r="E12" s="1305"/>
      <c r="F12" s="1305"/>
    </row>
    <row r="13" spans="1:13">
      <c r="A13" s="483"/>
      <c r="B13" s="483"/>
      <c r="C13" s="483"/>
      <c r="D13" s="1284" t="s">
        <v>1089</v>
      </c>
      <c r="E13" s="1284"/>
      <c r="F13" s="1284"/>
      <c r="M13" s="96"/>
    </row>
    <row r="14" spans="1:13">
      <c r="A14" s="483"/>
      <c r="B14" s="483"/>
      <c r="C14" s="483"/>
      <c r="D14" s="476"/>
      <c r="L14" s="312"/>
    </row>
    <row r="15" spans="1:13" ht="14.25">
      <c r="A15" s="484"/>
      <c r="B15" s="485" t="s">
        <v>2737</v>
      </c>
      <c r="C15" s="483"/>
      <c r="D15" s="1283" t="s">
        <v>1921</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1919</v>
      </c>
      <c r="F18" s="445"/>
      <c r="I18" s="490"/>
    </row>
    <row r="19" spans="1:9">
      <c r="A19" s="483"/>
      <c r="B19" s="483"/>
      <c r="C19" s="483"/>
      <c r="I19" s="490"/>
    </row>
    <row r="20" spans="1:9" ht="14.25">
      <c r="A20" s="484"/>
      <c r="B20" s="485" t="s">
        <v>2737</v>
      </c>
      <c r="D20" s="1283" t="s">
        <v>1922</v>
      </c>
      <c r="E20" s="1283"/>
      <c r="F20" s="1283"/>
      <c r="I20" s="490"/>
    </row>
    <row r="21" spans="1:9" ht="14.25">
      <c r="A21" s="484"/>
      <c r="D21" s="1283"/>
      <c r="E21" s="1283"/>
      <c r="F21" s="1283"/>
      <c r="I21" s="490"/>
    </row>
    <row r="22" spans="1:9" ht="14.25">
      <c r="A22" s="484"/>
      <c r="D22" s="392"/>
      <c r="E22" s="96" t="s">
        <v>1918</v>
      </c>
      <c r="F22" s="392"/>
      <c r="I22" s="490"/>
    </row>
    <row r="23" spans="1:9" ht="14.25">
      <c r="A23" s="484"/>
      <c r="B23" s="484"/>
      <c r="D23" s="446"/>
      <c r="I23" s="490"/>
    </row>
    <row r="24" spans="1:9" ht="14.25">
      <c r="A24" s="484"/>
      <c r="B24" s="485" t="s">
        <v>2738</v>
      </c>
      <c r="D24" s="1283" t="s">
        <v>1090</v>
      </c>
      <c r="E24" s="1283"/>
      <c r="F24" s="1283"/>
      <c r="I24" s="490"/>
    </row>
    <row r="25" spans="1:9" ht="14.25">
      <c r="A25" s="484"/>
      <c r="B25" s="484"/>
      <c r="D25" s="1283"/>
      <c r="E25" s="1283"/>
      <c r="F25" s="1283"/>
      <c r="I25" s="490"/>
    </row>
    <row r="26" spans="1:9">
      <c r="I26" s="490"/>
    </row>
    <row r="27" spans="1:9" ht="14.25">
      <c r="A27" s="484"/>
      <c r="B27" s="485" t="s">
        <v>2737</v>
      </c>
      <c r="D27" s="1283" t="s">
        <v>2047</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2738</v>
      </c>
      <c r="D33" s="1283" t="s">
        <v>2048</v>
      </c>
      <c r="E33" s="1283"/>
      <c r="F33" s="1283"/>
      <c r="I33" s="490"/>
    </row>
    <row r="34" spans="1:9">
      <c r="D34" s="1283"/>
      <c r="E34" s="1283"/>
      <c r="F34" s="1283"/>
      <c r="I34" s="490"/>
    </row>
    <row r="35" spans="1:9" ht="14.25">
      <c r="A35" s="484"/>
      <c r="B35" s="484"/>
      <c r="D35" s="447"/>
      <c r="I35" s="490"/>
    </row>
    <row r="36" spans="1:9" ht="14.45" customHeight="1">
      <c r="A36" s="484"/>
      <c r="B36" s="485" t="s">
        <v>2738</v>
      </c>
      <c r="D36" s="1283" t="s">
        <v>1213</v>
      </c>
      <c r="E36" s="1283"/>
      <c r="F36" s="1283"/>
      <c r="I36" s="490"/>
    </row>
    <row r="37" spans="1:9" ht="14.25">
      <c r="A37" s="484"/>
      <c r="B37" s="484"/>
      <c r="D37" s="1283"/>
      <c r="E37" s="1283"/>
      <c r="F37" s="1283"/>
      <c r="I37" s="490"/>
    </row>
    <row r="38" spans="1:9" ht="14.25">
      <c r="A38" s="484"/>
      <c r="B38" s="484"/>
      <c r="D38" s="1283"/>
      <c r="E38" s="1283"/>
      <c r="F38" s="1283"/>
      <c r="I38" s="490"/>
    </row>
    <row r="39" spans="1:9" ht="14.25">
      <c r="A39" s="484"/>
      <c r="B39" s="484"/>
      <c r="D39" s="1283"/>
      <c r="E39" s="1283"/>
      <c r="F39" s="1283"/>
      <c r="I39" s="490"/>
    </row>
    <row r="40" spans="1:9" ht="14.25">
      <c r="A40" s="484"/>
      <c r="B40" s="484"/>
      <c r="I40" s="490"/>
    </row>
    <row r="41" spans="1:9" ht="14.25">
      <c r="A41" s="484"/>
      <c r="B41" s="485" t="s">
        <v>2738</v>
      </c>
      <c r="D41" s="1283" t="s">
        <v>1091</v>
      </c>
      <c r="E41" s="1283"/>
      <c r="F41" s="1283"/>
      <c r="I41" s="490"/>
    </row>
    <row r="42" spans="1:9" ht="14.25">
      <c r="A42" s="484"/>
      <c r="B42" s="484"/>
      <c r="D42" s="1283"/>
      <c r="E42" s="1283"/>
      <c r="F42" s="1283"/>
      <c r="I42" s="490"/>
    </row>
    <row r="43" spans="1:9" ht="14.25">
      <c r="A43" s="484"/>
      <c r="B43" s="484"/>
      <c r="D43" s="1283"/>
      <c r="E43" s="1283"/>
      <c r="F43" s="1283"/>
      <c r="I43" s="490"/>
    </row>
    <row r="44" spans="1:9" ht="14.25">
      <c r="A44" s="484"/>
      <c r="B44" s="484"/>
      <c r="D44" s="1283"/>
      <c r="E44" s="1283"/>
      <c r="F44" s="1283"/>
      <c r="I44" s="490"/>
    </row>
    <row r="45" spans="1:9" ht="14.25">
      <c r="A45" s="484"/>
      <c r="B45" s="484"/>
      <c r="D45" s="1283"/>
      <c r="E45" s="1283"/>
      <c r="F45" s="1283"/>
      <c r="I45" s="490"/>
    </row>
    <row r="46" spans="1:9" ht="14.25">
      <c r="A46" s="484"/>
      <c r="B46" s="484"/>
      <c r="D46" s="445"/>
      <c r="E46" s="445"/>
      <c r="F46" s="445"/>
      <c r="I46" s="490"/>
    </row>
    <row r="47" spans="1:9" ht="14.25">
      <c r="A47" s="484"/>
      <c r="B47" s="485" t="s">
        <v>2738</v>
      </c>
      <c r="D47" s="1283" t="s">
        <v>1092</v>
      </c>
      <c r="E47" s="1283"/>
      <c r="F47" s="1283"/>
      <c r="I47" s="490"/>
    </row>
    <row r="48" spans="1:9" ht="14.25">
      <c r="A48" s="484"/>
      <c r="B48" s="484"/>
      <c r="D48" s="1283"/>
      <c r="E48" s="1283"/>
      <c r="F48" s="1283"/>
      <c r="I48" s="490"/>
    </row>
    <row r="49" spans="1:9" ht="14.25">
      <c r="A49" s="484"/>
      <c r="B49" s="484"/>
      <c r="D49" s="1283"/>
      <c r="E49" s="1283"/>
      <c r="F49" s="1283"/>
      <c r="I49" s="490"/>
    </row>
    <row r="50" spans="1:9" ht="23.25" customHeight="1">
      <c r="A50" s="484"/>
      <c r="B50" s="484"/>
      <c r="D50" s="1283"/>
      <c r="E50" s="1283"/>
      <c r="F50" s="1283"/>
      <c r="I50" s="490"/>
    </row>
    <row r="51" spans="1:9" ht="14.25">
      <c r="A51" s="484"/>
      <c r="B51" s="484"/>
      <c r="D51" s="446"/>
      <c r="I51" s="490"/>
    </row>
    <row r="52" spans="1:9" ht="14.45" customHeight="1">
      <c r="A52" s="484"/>
      <c r="B52" s="485" t="s">
        <v>2738</v>
      </c>
      <c r="D52" s="1283" t="s">
        <v>1093</v>
      </c>
      <c r="E52" s="1283"/>
      <c r="F52" s="1283"/>
      <c r="I52" s="490"/>
    </row>
    <row r="53" spans="1:9" ht="14.25">
      <c r="A53" s="484"/>
      <c r="B53" s="484"/>
      <c r="D53" s="1283"/>
      <c r="E53" s="1283"/>
      <c r="F53" s="1283"/>
      <c r="I53" s="490"/>
    </row>
    <row r="54" spans="1:9" ht="14.25">
      <c r="A54" s="484"/>
      <c r="B54" s="484"/>
      <c r="D54" s="1283"/>
      <c r="E54" s="1283"/>
      <c r="F54" s="1283"/>
      <c r="I54" s="490"/>
    </row>
    <row r="55" spans="1:9" ht="14.25">
      <c r="A55" s="484"/>
      <c r="B55" s="484"/>
      <c r="I55" s="490"/>
    </row>
    <row r="56" spans="1:9" ht="14.25">
      <c r="A56" s="484"/>
      <c r="B56" s="485" t="s">
        <v>2737</v>
      </c>
      <c r="D56" s="1307" t="s">
        <v>1094</v>
      </c>
      <c r="E56" s="1307"/>
      <c r="F56" s="1307"/>
      <c r="I56" s="490"/>
    </row>
    <row r="57" spans="1:9" ht="14.25">
      <c r="A57" s="484"/>
      <c r="B57" s="484"/>
      <c r="D57" s="1307"/>
      <c r="E57" s="1307"/>
      <c r="F57" s="1307"/>
      <c r="I57" s="490"/>
    </row>
    <row r="58" spans="1:9" ht="14.25">
      <c r="A58" s="484"/>
      <c r="B58" s="484"/>
      <c r="D58" s="392" t="s">
        <v>1920</v>
      </c>
      <c r="E58" s="445"/>
      <c r="F58" s="445"/>
      <c r="I58" s="490"/>
    </row>
    <row r="59" spans="1:9" ht="14.25">
      <c r="A59" s="484"/>
      <c r="B59" s="484"/>
      <c r="D59" s="445"/>
      <c r="E59" s="312" t="s">
        <v>1919</v>
      </c>
      <c r="F59" s="445"/>
      <c r="I59" s="490"/>
    </row>
    <row r="60" spans="1:9">
      <c r="D60" s="447"/>
      <c r="I60" s="490"/>
    </row>
    <row r="61" spans="1:9" ht="14.25">
      <c r="A61" s="484"/>
      <c r="B61" s="485" t="s">
        <v>2738</v>
      </c>
      <c r="D61" s="1283" t="s">
        <v>1095</v>
      </c>
      <c r="E61" s="1283"/>
      <c r="F61" s="1283"/>
      <c r="I61" s="490"/>
    </row>
    <row r="62" spans="1:9">
      <c r="D62" s="1283"/>
      <c r="E62" s="1283"/>
      <c r="F62" s="1283"/>
      <c r="I62" s="490"/>
    </row>
    <row r="63" spans="1:9">
      <c r="D63" s="1283"/>
      <c r="E63" s="1283"/>
      <c r="F63" s="1283"/>
      <c r="I63" s="490"/>
    </row>
    <row r="64" spans="1:9">
      <c r="I64" s="490"/>
    </row>
    <row r="65" spans="1:9" ht="14.25">
      <c r="A65" s="484"/>
      <c r="B65" s="485" t="s">
        <v>2738</v>
      </c>
      <c r="D65" s="1283" t="s">
        <v>1096</v>
      </c>
      <c r="E65" s="1283"/>
      <c r="F65" s="1283"/>
      <c r="I65" s="490"/>
    </row>
    <row r="66" spans="1:9">
      <c r="D66" s="1283"/>
      <c r="E66" s="1283"/>
      <c r="F66" s="1283"/>
      <c r="I66" s="490"/>
    </row>
    <row r="67" spans="1:9">
      <c r="I67" s="490"/>
    </row>
    <row r="68" spans="1:9" ht="14.25">
      <c r="A68" s="484"/>
      <c r="B68" s="485" t="s">
        <v>2737</v>
      </c>
      <c r="D68" s="1283" t="s">
        <v>1097</v>
      </c>
      <c r="E68" s="1283"/>
      <c r="F68" s="1283"/>
      <c r="I68" s="490"/>
    </row>
    <row r="69" spans="1:9">
      <c r="D69" s="1283"/>
      <c r="E69" s="1283"/>
      <c r="F69" s="1283"/>
      <c r="I69" s="490"/>
    </row>
    <row r="70" spans="1:9">
      <c r="D70" s="1283"/>
      <c r="E70" s="1283"/>
      <c r="F70" s="1283"/>
      <c r="I70" s="490"/>
    </row>
    <row r="71" spans="1:9">
      <c r="I71" s="490"/>
    </row>
    <row r="72" spans="1:9" ht="14.25">
      <c r="A72" s="484"/>
      <c r="B72" s="485" t="s">
        <v>2738</v>
      </c>
      <c r="D72" s="1283" t="s">
        <v>1098</v>
      </c>
      <c r="E72" s="1283"/>
      <c r="F72" s="1283"/>
      <c r="I72" s="490"/>
    </row>
    <row r="73" spans="1:9">
      <c r="D73" s="1283"/>
      <c r="E73" s="1283"/>
      <c r="F73" s="1283"/>
      <c r="I73" s="490"/>
    </row>
    <row r="74" spans="1:9" ht="14.25">
      <c r="A74" s="484"/>
      <c r="B74" s="484"/>
      <c r="D74" s="446"/>
      <c r="I74" s="490"/>
    </row>
    <row r="75" spans="1:9">
      <c r="A75" s="1286" t="s">
        <v>1043</v>
      </c>
      <c r="B75" s="1286"/>
      <c r="C75" s="1286"/>
      <c r="D75" s="1286"/>
      <c r="E75" s="1286"/>
      <c r="F75" s="1286"/>
      <c r="G75" s="1286"/>
      <c r="H75" s="1028"/>
      <c r="I75" s="1153"/>
    </row>
    <row r="76" spans="1:9">
      <c r="I76" s="490"/>
    </row>
    <row r="77" spans="1:9">
      <c r="C77" s="486"/>
      <c r="D77" s="1285" t="s">
        <v>1101</v>
      </c>
      <c r="E77" s="1285"/>
      <c r="F77" s="1285"/>
      <c r="I77" s="490"/>
    </row>
    <row r="78" spans="1:9">
      <c r="A78" s="446"/>
      <c r="B78" s="446"/>
      <c r="D78" s="1283" t="s">
        <v>1116</v>
      </c>
      <c r="E78" s="1283"/>
      <c r="F78" s="1283"/>
      <c r="I78" s="490"/>
    </row>
    <row r="79" spans="1:9">
      <c r="A79" s="446"/>
      <c r="B79" s="446"/>
      <c r="I79" s="490"/>
    </row>
    <row r="80" spans="1:9" ht="13.7" customHeight="1">
      <c r="A80" s="484"/>
      <c r="B80" s="485" t="s">
        <v>2737</v>
      </c>
      <c r="D80" s="1283" t="s">
        <v>1245</v>
      </c>
      <c r="E80" s="1283"/>
      <c r="F80" s="1283"/>
      <c r="I80" s="490"/>
    </row>
    <row r="81" spans="1:9" ht="14.25">
      <c r="A81" s="484"/>
      <c r="B81" s="484"/>
      <c r="D81" s="1283"/>
      <c r="E81" s="1283"/>
      <c r="F81" s="1283"/>
      <c r="I81" s="490"/>
    </row>
    <row r="82" spans="1:9" ht="14.25">
      <c r="A82" s="484"/>
      <c r="B82" s="484"/>
      <c r="D82" s="1283"/>
      <c r="E82" s="1283"/>
      <c r="F82" s="1283"/>
      <c r="I82" s="490"/>
    </row>
    <row r="83" spans="1:9" ht="14.25">
      <c r="A83" s="484"/>
      <c r="B83" s="484"/>
      <c r="D83" s="1283"/>
      <c r="E83" s="1283"/>
      <c r="F83" s="1283"/>
      <c r="I83" s="490"/>
    </row>
    <row r="84" spans="1:9" ht="14.25">
      <c r="A84" s="484"/>
      <c r="B84" s="484"/>
      <c r="D84" s="1283"/>
      <c r="E84" s="1283"/>
      <c r="F84" s="1283"/>
      <c r="I84" s="490"/>
    </row>
    <row r="85" spans="1:9" ht="14.25">
      <c r="A85" s="484"/>
      <c r="B85" s="484"/>
      <c r="D85" s="1283"/>
      <c r="E85" s="1283"/>
      <c r="F85" s="1283"/>
      <c r="I85" s="490"/>
    </row>
    <row r="86" spans="1:9" ht="14.25">
      <c r="A86" s="484"/>
      <c r="B86" s="484"/>
      <c r="D86" s="1283"/>
      <c r="E86" s="1283"/>
      <c r="F86" s="1283"/>
      <c r="I86" s="490"/>
    </row>
    <row r="87" spans="1:9" ht="14.25">
      <c r="A87" s="484"/>
      <c r="B87" s="484"/>
      <c r="D87" s="1283"/>
      <c r="E87" s="1283"/>
      <c r="F87" s="1283"/>
      <c r="I87" s="490"/>
    </row>
    <row r="88" spans="1:9" ht="14.25">
      <c r="A88" s="484"/>
      <c r="B88" s="484"/>
      <c r="D88" s="385"/>
      <c r="E88" s="385"/>
      <c r="F88" s="385"/>
      <c r="I88" s="490"/>
    </row>
    <row r="89" spans="1:9" ht="15" customHeight="1">
      <c r="A89" s="484"/>
      <c r="B89" s="485" t="s">
        <v>2737</v>
      </c>
      <c r="D89" s="1283" t="s">
        <v>1742</v>
      </c>
      <c r="E89" s="1283"/>
      <c r="F89" s="1283"/>
      <c r="I89" s="490"/>
    </row>
    <row r="90" spans="1:9" ht="14.25">
      <c r="A90" s="484"/>
      <c r="B90" s="484"/>
      <c r="D90" s="1283"/>
      <c r="E90" s="1283"/>
      <c r="F90" s="1283"/>
      <c r="I90" s="490"/>
    </row>
    <row r="91" spans="1:9" ht="14.25">
      <c r="A91" s="484"/>
      <c r="B91" s="484"/>
      <c r="D91" s="445"/>
      <c r="E91" s="445"/>
      <c r="F91" s="445"/>
      <c r="I91" s="490"/>
    </row>
    <row r="92" spans="1:9" ht="14.25">
      <c r="A92" s="484"/>
      <c r="B92" s="485" t="s">
        <v>2737</v>
      </c>
      <c r="D92" s="1283" t="s">
        <v>1745</v>
      </c>
      <c r="E92" s="1283"/>
      <c r="F92" s="1283"/>
      <c r="I92" s="490"/>
    </row>
    <row r="93" spans="1:9" ht="14.25">
      <c r="A93" s="484"/>
      <c r="B93" s="484"/>
      <c r="D93" s="1283"/>
      <c r="E93" s="1283"/>
      <c r="F93" s="1283"/>
      <c r="I93" s="490"/>
    </row>
    <row r="94" spans="1:9" ht="14.25">
      <c r="A94" s="484"/>
      <c r="B94" s="484"/>
      <c r="D94" s="1283"/>
      <c r="E94" s="1283"/>
      <c r="F94" s="1283"/>
      <c r="I94" s="490"/>
    </row>
    <row r="95" spans="1:9" ht="14.25">
      <c r="A95" s="484"/>
      <c r="B95" s="484"/>
      <c r="D95" s="445"/>
      <c r="E95" s="445"/>
      <c r="F95" s="445"/>
      <c r="I95" s="490"/>
    </row>
    <row r="96" spans="1:9" ht="14.25">
      <c r="A96" s="484"/>
      <c r="B96" s="485" t="s">
        <v>2737</v>
      </c>
      <c r="D96" s="1283" t="s">
        <v>1744</v>
      </c>
      <c r="E96" s="1283"/>
      <c r="F96" s="1283"/>
      <c r="I96" s="490"/>
    </row>
    <row r="97" spans="1:9" s="987" customFormat="1" ht="14.25">
      <c r="A97" s="985"/>
      <c r="B97" s="985"/>
      <c r="C97" s="986"/>
      <c r="D97" s="1283"/>
      <c r="E97" s="1283"/>
      <c r="F97" s="1283"/>
      <c r="I97" s="1154"/>
    </row>
    <row r="98" spans="1:9" ht="14.25">
      <c r="A98" s="484"/>
      <c r="B98" s="484"/>
      <c r="D98" s="392"/>
      <c r="E98" s="312" t="s">
        <v>1923</v>
      </c>
      <c r="F98" s="445"/>
      <c r="I98" s="490"/>
    </row>
    <row r="99" spans="1:9" ht="14.25">
      <c r="A99" s="484"/>
      <c r="B99" s="484"/>
      <c r="D99" s="385"/>
      <c r="E99" s="385"/>
      <c r="F99" s="385"/>
      <c r="I99" s="490"/>
    </row>
    <row r="100" spans="1:9" ht="14.25">
      <c r="A100" s="484"/>
      <c r="B100" s="485" t="s">
        <v>2738</v>
      </c>
      <c r="D100" s="1283" t="s">
        <v>1743</v>
      </c>
      <c r="E100" s="1283"/>
      <c r="F100" s="1283"/>
      <c r="I100" s="490"/>
    </row>
    <row r="101" spans="1:9" ht="14.25">
      <c r="A101" s="484"/>
      <c r="B101" s="484"/>
      <c r="D101" s="1283"/>
      <c r="E101" s="1283"/>
      <c r="F101" s="1283"/>
      <c r="I101" s="490"/>
    </row>
    <row r="102" spans="1:9" ht="14.25">
      <c r="A102" s="484"/>
      <c r="B102" s="484"/>
      <c r="D102" s="445"/>
      <c r="E102" s="445"/>
      <c r="F102" s="445"/>
      <c r="I102" s="490"/>
    </row>
    <row r="103" spans="1:9" ht="14.45" customHeight="1">
      <c r="A103" s="484"/>
      <c r="B103" s="485" t="s">
        <v>2738</v>
      </c>
      <c r="D103" s="1283" t="s">
        <v>1193</v>
      </c>
      <c r="E103" s="1283"/>
      <c r="F103" s="1283"/>
      <c r="I103" s="490"/>
    </row>
    <row r="104" spans="1:9" ht="14.25">
      <c r="A104" s="484"/>
      <c r="B104" s="484"/>
      <c r="D104" s="1283"/>
      <c r="E104" s="1283"/>
      <c r="F104" s="1283"/>
      <c r="I104" s="490"/>
    </row>
    <row r="105" spans="1:9" ht="14.25">
      <c r="A105" s="484"/>
      <c r="B105" s="484"/>
      <c r="D105" s="1283"/>
      <c r="E105" s="1283"/>
      <c r="F105" s="1283"/>
      <c r="I105" s="490"/>
    </row>
    <row r="106" spans="1:9" ht="14.25">
      <c r="A106" s="484"/>
      <c r="B106" s="484"/>
      <c r="D106" s="1283"/>
      <c r="E106" s="1283"/>
      <c r="F106" s="1283"/>
      <c r="I106" s="490"/>
    </row>
    <row r="107" spans="1:9" ht="14.25">
      <c r="A107" s="484"/>
      <c r="B107" s="484"/>
      <c r="D107" s="1283"/>
      <c r="E107" s="1283"/>
      <c r="F107" s="1283"/>
      <c r="I107" s="490"/>
    </row>
    <row r="108" spans="1:9" ht="14.25">
      <c r="A108" s="484"/>
      <c r="B108" s="484"/>
      <c r="D108" s="1283"/>
      <c r="E108" s="1283"/>
      <c r="F108" s="1283"/>
      <c r="I108" s="490"/>
    </row>
    <row r="109" spans="1:9" ht="14.25">
      <c r="A109" s="484"/>
      <c r="B109" s="484"/>
      <c r="D109" s="1283"/>
      <c r="E109" s="1283"/>
      <c r="F109" s="1283"/>
      <c r="I109" s="490"/>
    </row>
    <row r="110" spans="1:9" ht="14.25">
      <c r="A110" s="484"/>
      <c r="B110" s="484"/>
      <c r="D110" s="1283"/>
      <c r="E110" s="1283"/>
      <c r="F110" s="1283"/>
      <c r="I110" s="490"/>
    </row>
    <row r="111" spans="1:9" ht="14.25">
      <c r="A111" s="484"/>
      <c r="B111" s="484"/>
      <c r="D111" s="1283"/>
      <c r="E111" s="1283"/>
      <c r="F111" s="1283"/>
      <c r="I111" s="490"/>
    </row>
    <row r="112" spans="1:9" ht="14.25">
      <c r="A112" s="484"/>
      <c r="B112" s="484"/>
      <c r="D112" s="1283"/>
      <c r="E112" s="1283"/>
      <c r="F112" s="1283"/>
      <c r="I112" s="490"/>
    </row>
    <row r="113" spans="1:9" ht="14.25">
      <c r="A113" s="484"/>
      <c r="B113" s="484"/>
      <c r="D113" s="1283"/>
      <c r="E113" s="1283"/>
      <c r="F113" s="1283"/>
      <c r="I113" s="490"/>
    </row>
    <row r="114" spans="1:9" ht="14.25">
      <c r="A114" s="484"/>
      <c r="B114" s="484"/>
      <c r="D114" s="1283"/>
      <c r="E114" s="1283"/>
      <c r="F114" s="1283"/>
      <c r="I114" s="490"/>
    </row>
    <row r="115" spans="1:9" ht="14.25">
      <c r="A115" s="484"/>
      <c r="B115" s="484"/>
      <c r="D115" s="1283"/>
      <c r="E115" s="1283"/>
      <c r="F115" s="1283"/>
      <c r="I115" s="490"/>
    </row>
    <row r="116" spans="1:9" ht="14.25">
      <c r="A116" s="484"/>
      <c r="B116" s="484"/>
      <c r="D116" s="1283"/>
      <c r="E116" s="1283"/>
      <c r="F116" s="1283"/>
      <c r="I116" s="490"/>
    </row>
    <row r="117" spans="1:9" ht="14.25">
      <c r="A117" s="484"/>
      <c r="B117" s="484"/>
      <c r="D117" s="1283"/>
      <c r="E117" s="1283"/>
      <c r="F117" s="1283"/>
      <c r="I117" s="490"/>
    </row>
    <row r="118" spans="1:9" ht="14.25">
      <c r="A118" s="484"/>
      <c r="B118" s="484"/>
      <c r="D118" s="524"/>
      <c r="E118" s="524"/>
      <c r="F118" s="524"/>
      <c r="I118" s="490"/>
    </row>
    <row r="119" spans="1:9" ht="14.25" customHeight="1">
      <c r="A119" s="484"/>
      <c r="B119" s="485" t="s">
        <v>2738</v>
      </c>
      <c r="D119" s="1303" t="s">
        <v>1102</v>
      </c>
      <c r="E119" s="1303"/>
      <c r="F119" s="1303"/>
      <c r="I119" s="490"/>
    </row>
    <row r="120" spans="1:9" ht="14.25">
      <c r="A120" s="484"/>
      <c r="B120" s="484"/>
      <c r="D120" s="1303"/>
      <c r="E120" s="1303"/>
      <c r="F120" s="1303"/>
      <c r="I120" s="490"/>
    </row>
    <row r="121" spans="1:9" ht="14.25">
      <c r="A121" s="484"/>
      <c r="B121" s="484"/>
      <c r="D121" s="1303"/>
      <c r="E121" s="1303"/>
      <c r="F121" s="1303"/>
      <c r="I121" s="490"/>
    </row>
    <row r="122" spans="1:9" ht="14.25">
      <c r="A122" s="484"/>
      <c r="B122" s="484"/>
      <c r="D122" s="1303"/>
      <c r="E122" s="1303"/>
      <c r="F122" s="1303"/>
      <c r="I122" s="490"/>
    </row>
    <row r="123" spans="1:9" ht="14.25">
      <c r="A123" s="484"/>
      <c r="B123" s="484"/>
      <c r="D123" s="1303"/>
      <c r="E123" s="1303"/>
      <c r="F123" s="1303"/>
      <c r="I123" s="490"/>
    </row>
    <row r="124" spans="1:9" ht="14.25">
      <c r="A124" s="484"/>
      <c r="B124" s="484"/>
      <c r="D124" s="1303"/>
      <c r="E124" s="1303"/>
      <c r="F124" s="1303"/>
      <c r="I124" s="490"/>
    </row>
    <row r="125" spans="1:9" ht="14.25">
      <c r="A125" s="484"/>
      <c r="B125" s="484"/>
      <c r="D125" s="1303"/>
      <c r="E125" s="1303"/>
      <c r="F125" s="1303"/>
      <c r="I125" s="490"/>
    </row>
    <row r="126" spans="1:9" ht="14.25">
      <c r="A126" s="484"/>
      <c r="B126" s="484"/>
      <c r="D126" s="1303"/>
      <c r="E126" s="1303"/>
      <c r="F126" s="1303"/>
      <c r="I126" s="490"/>
    </row>
    <row r="127" spans="1:9">
      <c r="C127" s="402"/>
      <c r="D127" s="525"/>
      <c r="E127" s="525"/>
      <c r="F127" s="525"/>
      <c r="I127" s="490"/>
    </row>
    <row r="128" spans="1:9" ht="14.25">
      <c r="A128" s="484"/>
      <c r="B128" s="485" t="s">
        <v>2738</v>
      </c>
      <c r="C128" s="402"/>
      <c r="D128" s="1303" t="s">
        <v>2049</v>
      </c>
      <c r="E128" s="1303"/>
      <c r="F128" s="1303"/>
      <c r="I128" s="490"/>
    </row>
    <row r="129" spans="1:9" ht="14.25">
      <c r="A129" s="484"/>
      <c r="B129" s="484"/>
      <c r="C129" s="402"/>
      <c r="D129" s="1303"/>
      <c r="E129" s="1303"/>
      <c r="F129" s="1303"/>
      <c r="I129" s="490"/>
    </row>
    <row r="130" spans="1:9">
      <c r="I130" s="490"/>
    </row>
    <row r="131" spans="1:9" ht="14.25">
      <c r="A131" s="484"/>
      <c r="B131" s="485" t="s">
        <v>2737</v>
      </c>
      <c r="D131" s="1283" t="s">
        <v>1103</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ht="14.25">
      <c r="A137" s="484"/>
      <c r="B137" s="485" t="s">
        <v>2737</v>
      </c>
      <c r="D137" s="1283" t="s">
        <v>1104</v>
      </c>
      <c r="E137" s="1283"/>
      <c r="F137" s="1283"/>
      <c r="I137" s="490"/>
    </row>
    <row r="138" spans="1:9" s="417" customFormat="1" ht="13.7" customHeight="1">
      <c r="A138" s="488"/>
      <c r="B138" s="488"/>
      <c r="C138" s="488"/>
      <c r="D138" s="1283"/>
      <c r="E138" s="1283"/>
      <c r="F138" s="1283"/>
      <c r="I138" s="1155"/>
    </row>
    <row r="139" spans="1:9" ht="13.7" customHeight="1">
      <c r="D139" s="1283"/>
      <c r="E139" s="1283"/>
      <c r="F139" s="1283"/>
      <c r="I139" s="490"/>
    </row>
    <row r="140" spans="1:9" ht="13.7" customHeight="1">
      <c r="D140" s="1283"/>
      <c r="E140" s="1283"/>
      <c r="F140" s="1283"/>
      <c r="I140" s="490"/>
    </row>
    <row r="141" spans="1:9" ht="13.7" customHeight="1">
      <c r="D141" s="1283"/>
      <c r="E141" s="1283"/>
      <c r="F141" s="1283"/>
      <c r="I141" s="490"/>
    </row>
    <row r="142" spans="1:9" ht="13.7" customHeight="1">
      <c r="A142" s="489"/>
      <c r="B142" s="489"/>
      <c r="D142" s="1283"/>
      <c r="E142" s="1283"/>
      <c r="F142" s="1283"/>
      <c r="I142" s="490"/>
    </row>
    <row r="143" spans="1:9" ht="13.7" customHeight="1">
      <c r="D143" s="1283"/>
      <c r="E143" s="1283"/>
      <c r="F143" s="1283"/>
      <c r="I143" s="490"/>
    </row>
    <row r="144" spans="1:9" ht="13.7" customHeight="1">
      <c r="D144" s="1283"/>
      <c r="E144" s="1283"/>
      <c r="F144" s="1283"/>
      <c r="I144" s="490"/>
    </row>
    <row r="145" spans="2:9" ht="13.7" customHeight="1">
      <c r="D145" s="1283"/>
      <c r="E145" s="1283"/>
      <c r="F145" s="1283"/>
      <c r="I145" s="490"/>
    </row>
    <row r="146" spans="2:9" ht="13.7" customHeight="1">
      <c r="D146" s="1283"/>
      <c r="E146" s="1283"/>
      <c r="F146" s="1283"/>
      <c r="I146" s="490"/>
    </row>
    <row r="147" spans="2:9" ht="13.7" customHeight="1">
      <c r="D147" s="1283"/>
      <c r="E147" s="1283"/>
      <c r="F147" s="1283"/>
      <c r="I147" s="490"/>
    </row>
    <row r="148" spans="2:9" ht="13.7" customHeight="1">
      <c r="D148" s="1283"/>
      <c r="E148" s="1283"/>
      <c r="F148" s="1283"/>
      <c r="I148" s="490"/>
    </row>
    <row r="149" spans="2:9" ht="13.7" customHeight="1">
      <c r="D149" s="1283"/>
      <c r="E149" s="1283"/>
      <c r="F149" s="1283"/>
      <c r="I149" s="490"/>
    </row>
    <row r="150" spans="2:9" ht="13.7" customHeight="1">
      <c r="D150" s="476"/>
      <c r="E150" s="446"/>
      <c r="F150" s="446"/>
      <c r="I150" s="490"/>
    </row>
    <row r="151" spans="2:9" ht="13.7" customHeight="1">
      <c r="B151" s="485" t="s">
        <v>2737</v>
      </c>
      <c r="D151" s="1283" t="s">
        <v>1176</v>
      </c>
      <c r="E151" s="1283"/>
      <c r="F151" s="1283"/>
      <c r="I151" s="490"/>
    </row>
    <row r="152" spans="2:9" ht="13.7" customHeight="1">
      <c r="D152" s="1283"/>
      <c r="E152" s="1283"/>
      <c r="F152" s="1283"/>
      <c r="I152" s="490"/>
    </row>
    <row r="153" spans="2:9" ht="13.7" customHeight="1">
      <c r="D153" s="1283"/>
      <c r="E153" s="1283"/>
      <c r="F153" s="1283"/>
      <c r="I153" s="490"/>
    </row>
    <row r="154" spans="2:9" ht="13.7" customHeight="1">
      <c r="D154" s="1283"/>
      <c r="E154" s="1283"/>
      <c r="F154" s="1283"/>
      <c r="I154" s="490"/>
    </row>
    <row r="155" spans="2:9" ht="13.7" customHeight="1">
      <c r="D155" s="1283"/>
      <c r="E155" s="1283"/>
      <c r="F155" s="1283"/>
      <c r="I155" s="490"/>
    </row>
    <row r="156" spans="2:9" ht="13.7" customHeight="1">
      <c r="D156" s="1283"/>
      <c r="E156" s="1283"/>
      <c r="F156" s="1283"/>
      <c r="I156" s="490"/>
    </row>
    <row r="157" spans="2:9" ht="13.7" customHeight="1">
      <c r="D157" s="1283"/>
      <c r="E157" s="1283"/>
      <c r="F157" s="1283"/>
      <c r="I157" s="490"/>
    </row>
    <row r="158" spans="2:9" ht="13.7" customHeight="1">
      <c r="D158" s="1283"/>
      <c r="E158" s="1283"/>
      <c r="F158" s="1283"/>
      <c r="I158" s="490"/>
    </row>
    <row r="159" spans="2:9" ht="13.7" customHeight="1">
      <c r="D159" s="1283"/>
      <c r="E159" s="1283"/>
      <c r="F159" s="1283"/>
      <c r="I159" s="490"/>
    </row>
    <row r="160" spans="2:9" ht="13.7" customHeight="1">
      <c r="D160" s="1283"/>
      <c r="E160" s="1283"/>
      <c r="F160" s="1283"/>
      <c r="I160" s="490"/>
    </row>
    <row r="161" spans="1:9" ht="13.7" customHeight="1">
      <c r="D161" s="1283"/>
      <c r="E161" s="1283"/>
      <c r="F161" s="1283"/>
      <c r="I161" s="490"/>
    </row>
    <row r="162" spans="1:9" ht="13.7" customHeight="1">
      <c r="D162" s="1283"/>
      <c r="E162" s="1283"/>
      <c r="F162" s="1283"/>
      <c r="I162" s="490"/>
    </row>
    <row r="163" spans="1:9" ht="13.7" customHeight="1">
      <c r="D163" s="1283"/>
      <c r="E163" s="1283"/>
      <c r="F163" s="1283"/>
      <c r="I163" s="490"/>
    </row>
    <row r="164" spans="1:9" ht="13.7" customHeight="1">
      <c r="D164" s="1283"/>
      <c r="E164" s="1283"/>
      <c r="F164" s="1283"/>
      <c r="I164" s="490"/>
    </row>
    <row r="165" spans="1:9" ht="13.7" customHeight="1">
      <c r="D165" s="1283"/>
      <c r="E165" s="1283"/>
      <c r="F165" s="1283"/>
      <c r="I165" s="490"/>
    </row>
    <row r="166" spans="1:9" ht="13.7" customHeight="1">
      <c r="D166" s="1283"/>
      <c r="E166" s="1283"/>
      <c r="F166" s="1283"/>
      <c r="I166" s="490"/>
    </row>
    <row r="167" spans="1:9" ht="13.7" customHeight="1">
      <c r="D167" s="1283"/>
      <c r="E167" s="1283"/>
      <c r="F167" s="1283"/>
      <c r="I167" s="490"/>
    </row>
    <row r="168" spans="1:9" ht="13.7" customHeight="1">
      <c r="D168" s="1283"/>
      <c r="E168" s="1283"/>
      <c r="F168" s="1283"/>
      <c r="I168" s="490"/>
    </row>
    <row r="169" spans="1:9" ht="13.7" customHeight="1">
      <c r="D169" s="1304" t="s">
        <v>2072</v>
      </c>
      <c r="E169" s="1304"/>
      <c r="F169" s="1304"/>
      <c r="G169" s="507"/>
      <c r="I169" s="490"/>
    </row>
    <row r="170" spans="1:9" ht="13.7" customHeight="1">
      <c r="D170" s="1295"/>
      <c r="E170" s="1295"/>
      <c r="F170" s="1295"/>
      <c r="G170" s="1295"/>
      <c r="I170" s="490"/>
    </row>
    <row r="171" spans="1:9" ht="14.45" customHeight="1">
      <c r="A171" s="489"/>
      <c r="B171" s="485" t="s">
        <v>2738</v>
      </c>
      <c r="C171" s="476"/>
      <c r="D171" s="1263" t="s">
        <v>2212</v>
      </c>
      <c r="E171" s="1263"/>
      <c r="F171" s="1263"/>
      <c r="G171" s="476"/>
      <c r="I171" s="490"/>
    </row>
    <row r="172" spans="1:9" ht="14.45" customHeight="1">
      <c r="A172" s="489"/>
      <c r="B172" s="489"/>
      <c r="C172" s="476"/>
      <c r="D172" s="1263"/>
      <c r="E172" s="1263"/>
      <c r="F172" s="1263"/>
      <c r="G172" s="476"/>
      <c r="I172" s="490"/>
    </row>
    <row r="173" spans="1:9" ht="14.45" customHeight="1">
      <c r="A173" s="489"/>
      <c r="B173" s="489"/>
      <c r="C173" s="476"/>
      <c r="D173" s="1263"/>
      <c r="E173" s="1263"/>
      <c r="F173" s="1263"/>
      <c r="G173" s="476"/>
      <c r="I173" s="490"/>
    </row>
    <row r="174" spans="1:9" ht="14.45" customHeight="1">
      <c r="A174" s="489"/>
      <c r="B174" s="489"/>
      <c r="C174" s="476"/>
      <c r="D174" s="1263"/>
      <c r="E174" s="1263"/>
      <c r="F174" s="1263"/>
      <c r="G174" s="476"/>
      <c r="I174" s="490"/>
    </row>
    <row r="175" spans="1:9" ht="13.7" customHeight="1">
      <c r="A175" s="489"/>
      <c r="B175" s="489"/>
      <c r="C175" s="476"/>
      <c r="D175" s="1263"/>
      <c r="E175" s="1263"/>
      <c r="F175" s="1263"/>
      <c r="G175" s="476"/>
      <c r="I175" s="490"/>
    </row>
    <row r="176" spans="1:9" ht="13.7" customHeight="1">
      <c r="A176" s="489"/>
      <c r="B176" s="489"/>
      <c r="C176" s="476"/>
      <c r="D176" s="476"/>
      <c r="E176" s="476"/>
      <c r="F176" s="476"/>
      <c r="G176" s="476"/>
      <c r="I176" s="490"/>
    </row>
    <row r="177" spans="1:9" ht="13.7" customHeight="1">
      <c r="A177" s="489"/>
      <c r="B177" s="485" t="s">
        <v>2738</v>
      </c>
      <c r="C177" s="476"/>
      <c r="D177" s="1263" t="s">
        <v>1105</v>
      </c>
      <c r="E177" s="1263"/>
      <c r="F177" s="1263"/>
      <c r="G177" s="476"/>
      <c r="I177" s="490"/>
    </row>
    <row r="178" spans="1:9" ht="13.7" customHeight="1">
      <c r="A178" s="489"/>
      <c r="B178" s="489"/>
      <c r="C178" s="476"/>
      <c r="D178" s="1263"/>
      <c r="E178" s="1263"/>
      <c r="F178" s="1263"/>
      <c r="G178" s="476"/>
      <c r="I178" s="490"/>
    </row>
    <row r="179" spans="1:9" ht="13.7" customHeight="1">
      <c r="A179" s="489"/>
      <c r="B179" s="489"/>
      <c r="C179" s="476"/>
      <c r="D179" s="1263"/>
      <c r="E179" s="1263"/>
      <c r="F179" s="1263"/>
      <c r="G179" s="476"/>
      <c r="I179" s="490"/>
    </row>
    <row r="180" spans="1:9" ht="13.7" customHeight="1">
      <c r="A180" s="489"/>
      <c r="B180" s="489"/>
      <c r="C180" s="476"/>
      <c r="D180" s="1263"/>
      <c r="E180" s="1263"/>
      <c r="F180" s="1263"/>
      <c r="G180" s="476"/>
      <c r="I180" s="490"/>
    </row>
    <row r="181" spans="1:9" ht="13.7" customHeight="1">
      <c r="D181" s="446"/>
      <c r="E181" s="446"/>
      <c r="F181" s="446"/>
      <c r="I181" s="490"/>
    </row>
    <row r="182" spans="1:9" ht="13.7" customHeight="1">
      <c r="B182" s="485" t="s">
        <v>2738</v>
      </c>
      <c r="D182" s="1287" t="s">
        <v>2050</v>
      </c>
      <c r="E182" s="1287"/>
      <c r="F182" s="1287"/>
      <c r="I182" s="490"/>
    </row>
    <row r="183" spans="1:9" ht="13.7" customHeight="1">
      <c r="D183" s="1287"/>
      <c r="E183" s="1287"/>
      <c r="F183" s="1287"/>
      <c r="I183" s="490"/>
    </row>
    <row r="184" spans="1:9" ht="13.7" customHeight="1">
      <c r="D184" s="1287"/>
      <c r="E184" s="1287"/>
      <c r="F184" s="1287"/>
      <c r="I184" s="490"/>
    </row>
    <row r="185" spans="1:9" ht="13.7" customHeight="1">
      <c r="A185" s="490"/>
      <c r="B185" s="490"/>
      <c r="E185" s="446"/>
      <c r="F185" s="446"/>
      <c r="I185" s="490"/>
    </row>
    <row r="186" spans="1:9">
      <c r="A186" s="1286" t="s">
        <v>2051</v>
      </c>
      <c r="B186" s="1286"/>
      <c r="C186" s="1286"/>
      <c r="D186" s="1286"/>
      <c r="E186" s="1286"/>
      <c r="F186" s="1286"/>
      <c r="G186" s="1286"/>
      <c r="H186" s="1028"/>
      <c r="I186" s="1153"/>
    </row>
    <row r="187" spans="1:9" ht="12" customHeight="1">
      <c r="D187" s="446"/>
      <c r="E187" s="446"/>
      <c r="F187" s="446"/>
      <c r="I187" s="490"/>
    </row>
    <row r="188" spans="1:9">
      <c r="B188" s="1289" t="s">
        <v>445</v>
      </c>
      <c r="C188" s="1289"/>
      <c r="D188" s="1289"/>
      <c r="E188" s="1289"/>
      <c r="F188" s="1289"/>
      <c r="I188" s="490"/>
    </row>
    <row r="189" spans="1:9">
      <c r="B189" s="392" t="s">
        <v>1874</v>
      </c>
      <c r="C189" s="392"/>
      <c r="D189" s="392"/>
      <c r="E189" s="392"/>
      <c r="F189" s="392"/>
      <c r="I189" s="490"/>
    </row>
    <row r="190" spans="1:9" ht="12" customHeight="1">
      <c r="A190" s="482"/>
      <c r="B190" s="482"/>
      <c r="C190" s="482"/>
      <c r="I190" s="490"/>
    </row>
    <row r="191" spans="1:9">
      <c r="A191" s="1286" t="s">
        <v>1044</v>
      </c>
      <c r="B191" s="1286"/>
      <c r="C191" s="1286"/>
      <c r="D191" s="1286"/>
      <c r="E191" s="1286"/>
      <c r="F191" s="1286"/>
      <c r="G191" s="1286"/>
      <c r="H191" s="1028"/>
      <c r="I191" s="1153"/>
    </row>
    <row r="192" spans="1:9" ht="12" customHeight="1">
      <c r="A192" s="404"/>
      <c r="B192" s="404"/>
      <c r="E192" s="404"/>
      <c r="I192" s="490"/>
    </row>
    <row r="193" spans="1:9" ht="13.7" customHeight="1">
      <c r="A193" s="404"/>
      <c r="B193" s="404"/>
      <c r="D193" s="1285" t="s">
        <v>1746</v>
      </c>
      <c r="E193" s="1285"/>
      <c r="F193" s="1285"/>
      <c r="I193" s="490"/>
    </row>
    <row r="194" spans="1:9">
      <c r="A194" s="404"/>
      <c r="B194" s="404"/>
      <c r="D194" s="1285"/>
      <c r="E194" s="1285"/>
      <c r="F194" s="1285"/>
      <c r="I194" s="490"/>
    </row>
    <row r="195" spans="1:9">
      <c r="A195" s="404"/>
      <c r="B195" s="404"/>
      <c r="D195" s="1289" t="s">
        <v>1194</v>
      </c>
      <c r="E195" s="1289"/>
      <c r="F195" s="1289"/>
      <c r="I195" s="490"/>
    </row>
    <row r="196" spans="1:9">
      <c r="A196" s="404"/>
      <c r="B196" s="404"/>
      <c r="D196" s="392"/>
      <c r="E196" s="392"/>
      <c r="F196" s="392"/>
      <c r="I196" s="490"/>
    </row>
    <row r="197" spans="1:9">
      <c r="A197" s="404"/>
      <c r="B197" s="485" t="s">
        <v>2737</v>
      </c>
      <c r="D197" s="1300" t="s">
        <v>1747</v>
      </c>
      <c r="E197" s="1300"/>
      <c r="F197" s="1300"/>
      <c r="I197" s="490"/>
    </row>
    <row r="198" spans="1:9">
      <c r="A198" s="404"/>
      <c r="B198" s="404"/>
      <c r="D198" s="1301" t="s">
        <v>1901</v>
      </c>
      <c r="E198" s="1301"/>
      <c r="F198" s="1301"/>
      <c r="I198" s="490"/>
    </row>
    <row r="199" spans="1:9">
      <c r="A199" s="404"/>
      <c r="B199" s="404"/>
      <c r="D199" s="96" t="s">
        <v>1748</v>
      </c>
      <c r="E199" s="1302" t="s">
        <v>1924</v>
      </c>
      <c r="F199" s="1302"/>
      <c r="I199" s="490"/>
    </row>
    <row r="200" spans="1:9">
      <c r="A200" s="404"/>
      <c r="B200" s="404"/>
      <c r="D200" s="3"/>
      <c r="E200" s="3"/>
      <c r="F200" s="3"/>
      <c r="I200" s="490"/>
    </row>
    <row r="201" spans="1:9">
      <c r="A201" s="404"/>
      <c r="B201" s="485" t="s">
        <v>2738</v>
      </c>
      <c r="D201" s="1301" t="s">
        <v>1749</v>
      </c>
      <c r="E201" s="1301"/>
      <c r="F201" s="1301"/>
      <c r="I201" s="490"/>
    </row>
    <row r="202" spans="1:9">
      <c r="A202" s="404"/>
      <c r="B202" s="404"/>
      <c r="D202" s="1300" t="s">
        <v>1901</v>
      </c>
      <c r="E202" s="1300"/>
      <c r="F202" s="1300"/>
      <c r="I202" s="490"/>
    </row>
    <row r="203" spans="1:9">
      <c r="A203" s="404"/>
      <c r="B203" s="404"/>
      <c r="D203" s="57" t="s">
        <v>1750</v>
      </c>
      <c r="E203" s="1302" t="s">
        <v>1925</v>
      </c>
      <c r="F203" s="1302"/>
      <c r="I203" s="490"/>
    </row>
    <row r="204" spans="1:9">
      <c r="A204" s="404"/>
      <c r="B204" s="404"/>
      <c r="D204" s="3"/>
      <c r="E204" s="3"/>
      <c r="F204" s="3"/>
      <c r="I204" s="490"/>
    </row>
    <row r="205" spans="1:9">
      <c r="A205" s="404"/>
      <c r="B205" s="485" t="s">
        <v>2738</v>
      </c>
      <c r="D205" s="1301" t="s">
        <v>1751</v>
      </c>
      <c r="E205" s="1301"/>
      <c r="F205" s="1301"/>
      <c r="I205" s="490"/>
    </row>
    <row r="206" spans="1:9">
      <c r="A206" s="404"/>
      <c r="B206" s="404"/>
      <c r="D206" s="1300" t="s">
        <v>1901</v>
      </c>
      <c r="E206" s="1300"/>
      <c r="F206" s="1300"/>
      <c r="I206" s="490"/>
    </row>
    <row r="207" spans="1:9">
      <c r="A207" s="404"/>
      <c r="B207" s="404"/>
      <c r="D207" s="57" t="s">
        <v>1748</v>
      </c>
      <c r="E207" s="1302" t="s">
        <v>1926</v>
      </c>
      <c r="F207" s="1302"/>
      <c r="I207" s="490"/>
    </row>
    <row r="208" spans="1:9">
      <c r="A208" s="404"/>
      <c r="B208" s="404"/>
      <c r="D208" s="392"/>
      <c r="E208" s="392"/>
      <c r="F208" s="392"/>
      <c r="I208" s="490"/>
    </row>
    <row r="209" spans="1:9" ht="14.25" customHeight="1">
      <c r="A209" s="484"/>
      <c r="B209" s="485" t="s">
        <v>2738</v>
      </c>
      <c r="D209" s="386" t="s">
        <v>1894</v>
      </c>
      <c r="E209" s="385"/>
      <c r="F209" s="385"/>
      <c r="I209" s="490"/>
    </row>
    <row r="210" spans="1:9" ht="14.25">
      <c r="A210" s="484"/>
      <c r="B210" s="484"/>
      <c r="D210" s="1300" t="s">
        <v>1901</v>
      </c>
      <c r="E210" s="1300"/>
      <c r="F210" s="1300"/>
      <c r="I210" s="490"/>
    </row>
    <row r="211" spans="1:9">
      <c r="D211" s="385"/>
      <c r="E211" s="1302" t="s">
        <v>1927</v>
      </c>
      <c r="F211" s="1302"/>
      <c r="I211" s="490"/>
    </row>
    <row r="212" spans="1:9">
      <c r="D212" s="447"/>
      <c r="I212" s="490"/>
    </row>
    <row r="213" spans="1:9">
      <c r="B213" s="485" t="s">
        <v>2738</v>
      </c>
      <c r="D213" s="1301" t="s">
        <v>1752</v>
      </c>
      <c r="E213" s="1301"/>
      <c r="F213" s="1301"/>
      <c r="I213" s="490"/>
    </row>
    <row r="214" spans="1:9">
      <c r="D214" s="1300" t="s">
        <v>1901</v>
      </c>
      <c r="E214" s="1300"/>
      <c r="F214" s="1300"/>
      <c r="I214" s="490"/>
    </row>
    <row r="215" spans="1:9">
      <c r="D215" s="57" t="s">
        <v>1748</v>
      </c>
      <c r="E215" s="1302" t="s">
        <v>1928</v>
      </c>
      <c r="F215" s="1302"/>
      <c r="I215" s="490"/>
    </row>
    <row r="216" spans="1:9">
      <c r="D216" s="451"/>
      <c r="E216" s="451"/>
      <c r="F216" s="451"/>
      <c r="I216" s="490"/>
    </row>
    <row r="217" spans="1:9" ht="14.25">
      <c r="A217" s="484"/>
      <c r="B217" s="485" t="s">
        <v>2738</v>
      </c>
      <c r="D217" s="1283" t="s">
        <v>1215</v>
      </c>
      <c r="E217" s="1283"/>
      <c r="F217" s="1283"/>
      <c r="I217" s="490"/>
    </row>
    <row r="218" spans="1:9" ht="14.45" customHeight="1">
      <c r="A218" s="484"/>
      <c r="B218" s="402"/>
      <c r="D218" s="1283"/>
      <c r="E218" s="1283"/>
      <c r="F218" s="1283"/>
      <c r="I218" s="490"/>
    </row>
    <row r="219" spans="1:9" ht="14.25">
      <c r="A219" s="484"/>
      <c r="D219" s="1283"/>
      <c r="E219" s="1283"/>
      <c r="F219" s="1283"/>
      <c r="I219" s="490"/>
    </row>
    <row r="220" spans="1:9" ht="14.25">
      <c r="A220" s="484"/>
      <c r="D220" s="1283"/>
      <c r="E220" s="1283"/>
      <c r="F220" s="1283"/>
      <c r="I220" s="490"/>
    </row>
    <row r="221" spans="1:9">
      <c r="D221" s="451"/>
      <c r="E221" s="451"/>
      <c r="F221" s="451"/>
      <c r="I221" s="490"/>
    </row>
    <row r="222" spans="1:9">
      <c r="A222" s="1286" t="s">
        <v>1045</v>
      </c>
      <c r="B222" s="1286"/>
      <c r="C222" s="1286"/>
      <c r="D222" s="1286"/>
      <c r="E222" s="1286"/>
      <c r="F222" s="1286"/>
      <c r="G222" s="1286"/>
      <c r="H222" s="1028"/>
      <c r="I222" s="1153"/>
    </row>
    <row r="223" spans="1:9" ht="12" customHeight="1">
      <c r="D223" s="446"/>
      <c r="E223" s="446"/>
      <c r="F223" s="446"/>
      <c r="I223" s="490"/>
    </row>
    <row r="224" spans="1:9">
      <c r="C224" s="486"/>
      <c r="D224" s="1291" t="s">
        <v>207</v>
      </c>
      <c r="E224" s="1291"/>
      <c r="F224" s="1291"/>
      <c r="I224" s="490"/>
    </row>
    <row r="225" spans="1:9">
      <c r="A225" s="482"/>
      <c r="B225" s="482"/>
      <c r="C225" s="482"/>
      <c r="D225" s="1284" t="s">
        <v>1119</v>
      </c>
      <c r="E225" s="1284"/>
      <c r="F225" s="1284"/>
      <c r="I225" s="490"/>
    </row>
    <row r="226" spans="1:9" ht="12" customHeight="1">
      <c r="A226" s="490"/>
      <c r="B226" s="490"/>
      <c r="C226" s="490"/>
      <c r="I226" s="490"/>
    </row>
    <row r="227" spans="1:9" ht="13.7" customHeight="1">
      <c r="A227" s="490"/>
      <c r="C227" s="490"/>
      <c r="D227" s="1291" t="s">
        <v>545</v>
      </c>
      <c r="E227" s="1291"/>
      <c r="F227" s="1291"/>
      <c r="I227" s="490"/>
    </row>
    <row r="228" spans="1:9" ht="14.25">
      <c r="A228" s="484"/>
      <c r="B228" s="485" t="s">
        <v>2737</v>
      </c>
      <c r="D228" s="1283" t="s">
        <v>1753</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ht="14.25">
      <c r="A231" s="484"/>
      <c r="B231" s="484"/>
      <c r="D231" s="1283"/>
      <c r="E231" s="1283"/>
      <c r="F231" s="1283"/>
      <c r="I231" s="490"/>
    </row>
    <row r="232" spans="1:9" ht="14.25">
      <c r="A232" s="484"/>
      <c r="B232" s="484"/>
      <c r="D232" s="445"/>
      <c r="E232" s="445"/>
      <c r="F232" s="445"/>
      <c r="I232" s="490"/>
    </row>
    <row r="233" spans="1:9" ht="14.25">
      <c r="A233" s="484"/>
      <c r="B233" s="485" t="s">
        <v>2738</v>
      </c>
      <c r="D233" s="1283" t="s">
        <v>1754</v>
      </c>
      <c r="E233" s="1283"/>
      <c r="F233" s="1283"/>
      <c r="I233" s="490"/>
    </row>
    <row r="234" spans="1:9" ht="14.25">
      <c r="A234" s="484"/>
      <c r="B234" s="484"/>
      <c r="D234" s="1283"/>
      <c r="E234" s="1283"/>
      <c r="F234" s="1283"/>
      <c r="I234" s="490"/>
    </row>
    <row r="235" spans="1:9" ht="14.25">
      <c r="A235" s="484"/>
      <c r="B235" s="484"/>
      <c r="D235" s="1283"/>
      <c r="E235" s="1283"/>
      <c r="F235" s="1283"/>
      <c r="I235" s="490"/>
    </row>
    <row r="236" spans="1:9" ht="14.25">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ht="14.25">
      <c r="A239" s="484"/>
      <c r="B239" s="484"/>
      <c r="D239" s="1283" t="s">
        <v>1117</v>
      </c>
      <c r="E239" s="1283"/>
      <c r="F239" s="1283"/>
      <c r="I239" s="490"/>
    </row>
    <row r="240" spans="1:9" ht="14.25">
      <c r="A240" s="484"/>
      <c r="B240" s="484"/>
      <c r="D240" s="1283"/>
      <c r="E240" s="1283"/>
      <c r="F240" s="1283"/>
      <c r="I240" s="490"/>
    </row>
    <row r="241" spans="1:9" ht="14.25">
      <c r="A241" s="484"/>
      <c r="B241" s="484"/>
      <c r="D241" s="1283"/>
      <c r="E241" s="1283"/>
      <c r="F241" s="1283"/>
      <c r="I241" s="490"/>
    </row>
    <row r="242" spans="1:9" ht="14.25">
      <c r="A242" s="484"/>
      <c r="B242" s="484"/>
      <c r="D242" s="1283"/>
      <c r="E242" s="1283"/>
      <c r="F242" s="1283"/>
      <c r="I242" s="490"/>
    </row>
    <row r="243" spans="1:9" ht="14.25">
      <c r="A243" s="484"/>
      <c r="B243" s="484"/>
      <c r="D243" s="1283"/>
      <c r="E243" s="1283"/>
      <c r="F243" s="1283"/>
      <c r="I243" s="490"/>
    </row>
    <row r="244" spans="1:9" ht="14.25">
      <c r="A244" s="484"/>
      <c r="B244" s="484"/>
      <c r="D244" s="446"/>
      <c r="E244" s="446"/>
      <c r="F244" s="446"/>
      <c r="I244" s="490"/>
    </row>
    <row r="245" spans="1:9" ht="14.25">
      <c r="A245" s="484"/>
      <c r="B245" s="485" t="s">
        <v>2738</v>
      </c>
      <c r="D245" s="1283" t="s">
        <v>2052</v>
      </c>
      <c r="E245" s="1283"/>
      <c r="F245" s="1283"/>
      <c r="I245" s="490"/>
    </row>
    <row r="246" spans="1:9" ht="14.25">
      <c r="A246" s="484"/>
      <c r="B246" s="484"/>
      <c r="D246" s="1283"/>
      <c r="E246" s="1283"/>
      <c r="F246" s="1283"/>
      <c r="I246" s="490"/>
    </row>
    <row r="247" spans="1:9" ht="14.25">
      <c r="A247" s="484"/>
      <c r="B247" s="484"/>
      <c r="D247" s="1283"/>
      <c r="E247" s="1283"/>
      <c r="F247" s="1283"/>
      <c r="I247" s="490"/>
    </row>
    <row r="248" spans="1:9" ht="14.25">
      <c r="A248" s="484"/>
      <c r="B248" s="484"/>
      <c r="E248" s="1036" t="s">
        <v>1895</v>
      </c>
      <c r="I248" s="490"/>
    </row>
    <row r="249" spans="1:9" ht="14.25">
      <c r="A249" s="484"/>
      <c r="B249" s="484"/>
      <c r="D249" s="446"/>
      <c r="E249" s="446"/>
      <c r="F249" s="446"/>
      <c r="I249" s="490"/>
    </row>
    <row r="250" spans="1:9" ht="14.45" customHeight="1">
      <c r="A250" s="484"/>
      <c r="B250" s="485" t="s">
        <v>2738</v>
      </c>
      <c r="D250" s="1283" t="s">
        <v>2053</v>
      </c>
      <c r="E250" s="1283"/>
      <c r="F250" s="1283"/>
      <c r="I250" s="490"/>
    </row>
    <row r="251" spans="1:9" ht="14.25">
      <c r="A251" s="484"/>
      <c r="B251" s="484"/>
      <c r="D251" s="1283"/>
      <c r="E251" s="1283"/>
      <c r="F251" s="1283"/>
      <c r="I251" s="490"/>
    </row>
    <row r="252" spans="1:9" ht="14.25">
      <c r="A252" s="484"/>
      <c r="B252" s="484"/>
      <c r="D252" s="1283"/>
      <c r="E252" s="1283"/>
      <c r="F252" s="1283"/>
      <c r="I252" s="490"/>
    </row>
    <row r="253" spans="1:9" ht="14.25">
      <c r="A253" s="484"/>
      <c r="B253" s="484"/>
      <c r="D253" s="1283"/>
      <c r="E253" s="1283"/>
      <c r="F253" s="1283"/>
      <c r="I253" s="490"/>
    </row>
    <row r="254" spans="1:9" ht="14.25">
      <c r="A254" s="484"/>
      <c r="B254" s="484"/>
      <c r="D254" s="1283"/>
      <c r="E254" s="1283"/>
      <c r="F254" s="1283"/>
      <c r="I254" s="490"/>
    </row>
    <row r="255" spans="1:9" ht="14.25">
      <c r="A255" s="484"/>
      <c r="B255" s="484"/>
      <c r="D255" s="445"/>
      <c r="E255" s="445"/>
      <c r="F255" s="445"/>
      <c r="I255" s="490"/>
    </row>
    <row r="256" spans="1:9" ht="14.25">
      <c r="A256" s="484"/>
      <c r="B256" s="485" t="s">
        <v>2737</v>
      </c>
      <c r="D256" s="392" t="s">
        <v>2054</v>
      </c>
      <c r="E256" s="445"/>
      <c r="F256" s="445"/>
      <c r="I256" s="490"/>
    </row>
    <row r="257" spans="1:9" ht="14.25">
      <c r="A257" s="484"/>
      <c r="B257" s="484"/>
      <c r="E257" s="1036" t="s">
        <v>1896</v>
      </c>
      <c r="I257" s="490"/>
    </row>
    <row r="258" spans="1:9">
      <c r="D258" s="446"/>
      <c r="E258" s="446"/>
      <c r="F258" s="446"/>
      <c r="I258" s="490"/>
    </row>
    <row r="259" spans="1:9" ht="14.25">
      <c r="A259" s="484"/>
      <c r="B259" s="485" t="s">
        <v>2737</v>
      </c>
      <c r="D259" s="1283" t="s">
        <v>1118</v>
      </c>
      <c r="E259" s="1283"/>
      <c r="F259" s="1283"/>
      <c r="I259" s="490"/>
    </row>
    <row r="260" spans="1:9" ht="14.25">
      <c r="A260" s="484"/>
      <c r="B260" s="484"/>
      <c r="D260" s="1283"/>
      <c r="E260" s="1283"/>
      <c r="F260" s="1283"/>
      <c r="I260" s="490"/>
    </row>
    <row r="261" spans="1:9">
      <c r="D261" s="491"/>
      <c r="I261" s="490"/>
    </row>
    <row r="262" spans="1:9">
      <c r="A262" s="1286" t="s">
        <v>1046</v>
      </c>
      <c r="B262" s="1286"/>
      <c r="C262" s="1286"/>
      <c r="D262" s="1286"/>
      <c r="E262" s="1286"/>
      <c r="F262" s="1286"/>
      <c r="G262" s="1286"/>
      <c r="H262" s="1028"/>
      <c r="I262" s="1153"/>
    </row>
    <row r="263" spans="1:9">
      <c r="D263" s="491"/>
      <c r="I263" s="490"/>
    </row>
    <row r="264" spans="1:9">
      <c r="C264" s="486"/>
      <c r="D264" s="1291" t="s">
        <v>1120</v>
      </c>
      <c r="E264" s="1291"/>
      <c r="F264" s="1291"/>
      <c r="I264" s="490"/>
    </row>
    <row r="265" spans="1:9">
      <c r="A265" s="482"/>
      <c r="B265" s="482"/>
      <c r="C265" s="482"/>
      <c r="D265" s="446"/>
      <c r="E265" s="446"/>
      <c r="F265" s="446"/>
      <c r="I265" s="490"/>
    </row>
    <row r="266" spans="1:9">
      <c r="A266" s="483"/>
      <c r="B266" s="483"/>
      <c r="C266" s="483"/>
      <c r="D266" s="1291" t="s">
        <v>268</v>
      </c>
      <c r="E266" s="1291"/>
      <c r="F266" s="1291"/>
      <c r="I266" s="490"/>
    </row>
    <row r="267" spans="1:9" ht="14.45" customHeight="1">
      <c r="A267" s="484"/>
      <c r="B267" s="485" t="s">
        <v>2738</v>
      </c>
      <c r="D267" s="1283" t="s">
        <v>1195</v>
      </c>
      <c r="E267" s="1283"/>
      <c r="F267" s="1283"/>
      <c r="I267" s="490"/>
    </row>
    <row r="268" spans="1:9">
      <c r="D268" s="1283"/>
      <c r="E268" s="1283"/>
      <c r="F268" s="1283"/>
      <c r="I268" s="490"/>
    </row>
    <row r="269" spans="1:9">
      <c r="E269" s="1036" t="s">
        <v>1897</v>
      </c>
      <c r="I269" s="490"/>
    </row>
    <row r="270" spans="1:9">
      <c r="D270" s="446"/>
      <c r="E270" s="446"/>
      <c r="F270" s="446"/>
      <c r="I270" s="490"/>
    </row>
    <row r="271" spans="1:9" ht="14.45" customHeight="1">
      <c r="A271" s="484"/>
      <c r="B271" s="485" t="s">
        <v>2738</v>
      </c>
      <c r="D271" s="1283" t="s">
        <v>2055</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ht="14.25">
      <c r="A278" s="484"/>
      <c r="B278" s="485" t="s">
        <v>2738</v>
      </c>
      <c r="D278" s="1283" t="s">
        <v>1121</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1047</v>
      </c>
      <c r="B282" s="1286"/>
      <c r="C282" s="1286"/>
      <c r="D282" s="1286"/>
      <c r="E282" s="1286"/>
      <c r="F282" s="1286"/>
      <c r="G282" s="1286"/>
      <c r="H282" s="1028"/>
      <c r="I282" s="1153"/>
    </row>
    <row r="283" spans="1:9">
      <c r="D283" s="492"/>
      <c r="E283" s="446"/>
      <c r="F283" s="446"/>
      <c r="I283" s="490"/>
    </row>
    <row r="284" spans="1:9">
      <c r="C284" s="482"/>
      <c r="D284" s="1285" t="s">
        <v>1122</v>
      </c>
      <c r="E284" s="1285"/>
      <c r="F284" s="1285"/>
      <c r="I284" s="490"/>
    </row>
    <row r="285" spans="1:9">
      <c r="C285" s="482"/>
      <c r="D285" s="1285"/>
      <c r="E285" s="1285"/>
      <c r="F285" s="1285"/>
      <c r="I285" s="490"/>
    </row>
    <row r="286" spans="1:9">
      <c r="A286" s="483"/>
      <c r="B286" s="483"/>
      <c r="C286" s="483"/>
      <c r="D286" s="404"/>
      <c r="I286" s="490"/>
    </row>
    <row r="287" spans="1:9">
      <c r="C287" s="483"/>
      <c r="D287" s="1291" t="s">
        <v>208</v>
      </c>
      <c r="E287" s="1291"/>
      <c r="F287" s="1291"/>
      <c r="I287" s="490"/>
    </row>
    <row r="288" spans="1:9" ht="15.75" customHeight="1">
      <c r="A288" s="484"/>
      <c r="B288" s="484"/>
      <c r="D288" s="1298" t="s">
        <v>1123</v>
      </c>
      <c r="E288" s="1298"/>
      <c r="F288" s="1298"/>
      <c r="I288" s="490"/>
    </row>
    <row r="289" spans="1:9">
      <c r="E289" s="446"/>
      <c r="F289" s="446"/>
      <c r="I289" s="490"/>
    </row>
    <row r="290" spans="1:9" ht="14.25">
      <c r="A290" s="484"/>
      <c r="B290" s="485" t="s">
        <v>2738</v>
      </c>
      <c r="D290" s="1283" t="s">
        <v>1124</v>
      </c>
      <c r="E290" s="1283"/>
      <c r="F290" s="1283"/>
      <c r="I290" s="490"/>
    </row>
    <row r="291" spans="1:9" ht="14.25">
      <c r="A291" s="484"/>
      <c r="B291" s="484"/>
      <c r="D291" s="1283"/>
      <c r="E291" s="1283"/>
      <c r="F291" s="1283"/>
      <c r="I291" s="490"/>
    </row>
    <row r="292" spans="1:9">
      <c r="D292" s="446"/>
      <c r="E292" s="446"/>
      <c r="F292" s="446"/>
      <c r="I292" s="490"/>
    </row>
    <row r="293" spans="1:9" ht="14.25">
      <c r="A293" s="484"/>
      <c r="B293" s="485" t="s">
        <v>2738</v>
      </c>
      <c r="D293" s="1283" t="s">
        <v>1125</v>
      </c>
      <c r="E293" s="1283"/>
      <c r="F293" s="1283"/>
      <c r="I293" s="490"/>
    </row>
    <row r="294" spans="1:9" ht="14.25">
      <c r="A294" s="484"/>
      <c r="B294" s="484"/>
      <c r="D294" s="1283"/>
      <c r="E294" s="1283"/>
      <c r="F294" s="1283"/>
      <c r="I294" s="490"/>
    </row>
    <row r="295" spans="1:9" ht="14.25">
      <c r="A295" s="484"/>
      <c r="B295" s="484"/>
      <c r="D295" s="1283"/>
      <c r="E295" s="1283"/>
      <c r="F295" s="1283"/>
      <c r="I295" s="490"/>
    </row>
    <row r="296" spans="1:9">
      <c r="D296" s="446"/>
      <c r="E296" s="446"/>
      <c r="F296" s="446"/>
      <c r="I296" s="490"/>
    </row>
    <row r="297" spans="1:9" ht="14.25">
      <c r="A297" s="484"/>
      <c r="B297" s="485" t="s">
        <v>2738</v>
      </c>
      <c r="D297" s="1283" t="s">
        <v>1126</v>
      </c>
      <c r="E297" s="1283"/>
      <c r="F297" s="1283"/>
      <c r="I297" s="490"/>
    </row>
    <row r="298" spans="1:9" ht="14.25">
      <c r="A298" s="484"/>
      <c r="B298" s="484"/>
      <c r="D298" s="1283"/>
      <c r="E298" s="1283"/>
      <c r="F298" s="1283"/>
      <c r="I298" s="490"/>
    </row>
    <row r="299" spans="1:9">
      <c r="A299" s="490"/>
      <c r="B299" s="490"/>
      <c r="E299" s="446"/>
      <c r="F299" s="446"/>
      <c r="I299" s="490"/>
    </row>
    <row r="300" spans="1:9">
      <c r="A300" s="1286" t="s">
        <v>1048</v>
      </c>
      <c r="B300" s="1286"/>
      <c r="C300" s="1286"/>
      <c r="D300" s="1286"/>
      <c r="E300" s="1286"/>
      <c r="F300" s="1286"/>
      <c r="G300" s="1286"/>
      <c r="H300" s="1028"/>
      <c r="I300" s="1153"/>
    </row>
    <row r="301" spans="1:9">
      <c r="A301" s="490"/>
      <c r="B301" s="490"/>
      <c r="D301" s="446"/>
      <c r="E301" s="446"/>
      <c r="F301" s="446"/>
      <c r="I301" s="490"/>
    </row>
    <row r="302" spans="1:9">
      <c r="C302" s="490"/>
      <c r="D302" s="1291" t="s">
        <v>681</v>
      </c>
      <c r="E302" s="1291"/>
      <c r="F302" s="1291"/>
      <c r="I302" s="490"/>
    </row>
    <row r="303" spans="1:9">
      <c r="C303" s="490"/>
      <c r="D303" s="1284" t="s">
        <v>1127</v>
      </c>
      <c r="E303" s="1284"/>
      <c r="F303" s="1284"/>
      <c r="I303" s="490"/>
    </row>
    <row r="304" spans="1:9">
      <c r="C304" s="490"/>
      <c r="D304" s="493"/>
      <c r="I304" s="490"/>
    </row>
    <row r="305" spans="1:9">
      <c r="B305" s="485" t="s">
        <v>2738</v>
      </c>
      <c r="D305" s="1284" t="s">
        <v>1128</v>
      </c>
      <c r="E305" s="1284"/>
      <c r="F305" s="1284"/>
      <c r="I305" s="490"/>
    </row>
    <row r="306" spans="1:9" ht="14.25">
      <c r="A306" s="484"/>
      <c r="B306" s="484"/>
      <c r="D306" s="494"/>
      <c r="E306" s="495"/>
      <c r="F306" s="495"/>
      <c r="I306" s="490"/>
    </row>
    <row r="307" spans="1:9" ht="13.7" customHeight="1">
      <c r="B307" s="485" t="s">
        <v>2738</v>
      </c>
      <c r="D307" s="1293" t="s">
        <v>1218</v>
      </c>
      <c r="E307" s="1293"/>
      <c r="F307" s="1293"/>
      <c r="I307" s="490"/>
    </row>
    <row r="308" spans="1:9" ht="14.25">
      <c r="A308" s="484"/>
      <c r="B308" s="484"/>
      <c r="D308" s="1293"/>
      <c r="E308" s="1293"/>
      <c r="F308" s="1293"/>
      <c r="I308" s="490"/>
    </row>
    <row r="309" spans="1:9" ht="14.25">
      <c r="A309" s="484"/>
      <c r="B309" s="484"/>
      <c r="D309" s="1293"/>
      <c r="E309" s="1293"/>
      <c r="F309" s="1293"/>
      <c r="I309" s="490"/>
    </row>
    <row r="310" spans="1:9" ht="14.25">
      <c r="A310" s="484"/>
      <c r="B310" s="484"/>
      <c r="D310" s="1293"/>
      <c r="E310" s="1293"/>
      <c r="F310" s="1293"/>
      <c r="I310" s="490"/>
    </row>
    <row r="311" spans="1:9" ht="14.25">
      <c r="A311" s="484"/>
      <c r="B311" s="484"/>
      <c r="D311" s="1293"/>
      <c r="E311" s="1293"/>
      <c r="F311" s="1293"/>
      <c r="I311" s="490"/>
    </row>
    <row r="312" spans="1:9" ht="14.25">
      <c r="A312" s="484"/>
      <c r="B312" s="484"/>
      <c r="D312" s="494"/>
      <c r="E312" s="495"/>
      <c r="F312" s="495"/>
      <c r="I312" s="490"/>
    </row>
    <row r="313" spans="1:9" ht="13.7" customHeight="1">
      <c r="B313" s="485" t="s">
        <v>2738</v>
      </c>
      <c r="D313" s="1293" t="s">
        <v>1129</v>
      </c>
      <c r="E313" s="1293"/>
      <c r="F313" s="1293"/>
      <c r="I313" s="490"/>
    </row>
    <row r="314" spans="1:9">
      <c r="D314" s="1293"/>
      <c r="E314" s="1293"/>
      <c r="F314" s="1293"/>
      <c r="I314" s="490"/>
    </row>
    <row r="315" spans="1:9" ht="14.25">
      <c r="A315" s="484"/>
      <c r="B315" s="484"/>
      <c r="D315" s="494"/>
      <c r="E315" s="495"/>
      <c r="F315" s="495"/>
      <c r="I315" s="490"/>
    </row>
    <row r="316" spans="1:9">
      <c r="B316" s="485" t="s">
        <v>2738</v>
      </c>
      <c r="D316" s="1284" t="s">
        <v>1130</v>
      </c>
      <c r="E316" s="1284"/>
      <c r="F316" s="1284"/>
      <c r="I316" s="490"/>
    </row>
    <row r="317" spans="1:9">
      <c r="E317" s="446"/>
      <c r="F317" s="446"/>
      <c r="I317" s="490"/>
    </row>
    <row r="318" spans="1:9" ht="14.25">
      <c r="A318" s="484"/>
      <c r="B318" s="485" t="s">
        <v>2738</v>
      </c>
      <c r="D318" s="1283" t="s">
        <v>2244</v>
      </c>
      <c r="E318" s="1283"/>
      <c r="F318" s="1283"/>
      <c r="I318" s="490"/>
    </row>
    <row r="319" spans="1:9" ht="14.25">
      <c r="A319" s="484"/>
      <c r="B319" s="484"/>
      <c r="D319" s="1283"/>
      <c r="E319" s="1283"/>
      <c r="F319" s="1283"/>
      <c r="I319" s="490"/>
    </row>
    <row r="320" spans="1:9" ht="14.25">
      <c r="A320" s="484"/>
      <c r="B320" s="484"/>
      <c r="D320" s="1283"/>
      <c r="E320" s="1283"/>
      <c r="F320" s="1283"/>
      <c r="I320" s="490"/>
    </row>
    <row r="321" spans="1:9" ht="14.25">
      <c r="A321" s="484"/>
      <c r="B321" s="484"/>
      <c r="D321" s="1283"/>
      <c r="E321" s="1283"/>
      <c r="F321" s="1283"/>
      <c r="I321" s="490"/>
    </row>
    <row r="322" spans="1:9" ht="14.25">
      <c r="A322" s="484"/>
      <c r="B322" s="484"/>
      <c r="D322" s="1283"/>
      <c r="E322" s="1283"/>
      <c r="F322" s="1283"/>
      <c r="I322" s="490"/>
    </row>
    <row r="323" spans="1:9" ht="14.25">
      <c r="A323" s="484"/>
      <c r="B323" s="484"/>
      <c r="D323" s="1283"/>
      <c r="E323" s="1283"/>
      <c r="F323" s="1283"/>
      <c r="I323" s="490"/>
    </row>
    <row r="324" spans="1:9" ht="14.25">
      <c r="A324" s="484"/>
      <c r="B324" s="484"/>
      <c r="D324" s="1283"/>
      <c r="E324" s="1283"/>
      <c r="F324" s="1283"/>
      <c r="I324" s="490"/>
    </row>
    <row r="325" spans="1:9" ht="14.25">
      <c r="A325" s="484"/>
      <c r="B325" s="484"/>
      <c r="D325" s="1283"/>
      <c r="E325" s="1283"/>
      <c r="F325" s="1283"/>
      <c r="I325" s="490"/>
    </row>
    <row r="326" spans="1:9" ht="14.25">
      <c r="A326" s="484"/>
      <c r="B326" s="484"/>
      <c r="D326" s="1283"/>
      <c r="E326" s="1283"/>
      <c r="F326" s="1283"/>
      <c r="I326" s="490"/>
    </row>
    <row r="327" spans="1:9" ht="14.25">
      <c r="A327" s="484"/>
      <c r="B327" s="484"/>
      <c r="D327" s="1283"/>
      <c r="E327" s="1283"/>
      <c r="F327" s="1283"/>
      <c r="I327" s="490"/>
    </row>
    <row r="328" spans="1:9" ht="14.25">
      <c r="A328" s="484"/>
      <c r="B328" s="484"/>
      <c r="D328" s="1283"/>
      <c r="E328" s="1283"/>
      <c r="F328" s="1283"/>
      <c r="I328" s="490"/>
    </row>
    <row r="329" spans="1:9" ht="14.25">
      <c r="A329" s="484"/>
      <c r="B329" s="484"/>
      <c r="D329" s="1283"/>
      <c r="E329" s="1283"/>
      <c r="F329" s="1283"/>
      <c r="I329" s="490"/>
    </row>
    <row r="330" spans="1:9" ht="14.25">
      <c r="A330" s="484"/>
      <c r="B330" s="484"/>
      <c r="D330" s="1283"/>
      <c r="E330" s="1283"/>
      <c r="F330" s="1283"/>
      <c r="I330" s="490"/>
    </row>
    <row r="331" spans="1:9" ht="14.25">
      <c r="A331" s="484"/>
      <c r="B331" s="484"/>
      <c r="D331" s="1283"/>
      <c r="E331" s="1283"/>
      <c r="F331" s="1283"/>
      <c r="I331" s="490"/>
    </row>
    <row r="332" spans="1:9" ht="14.25">
      <c r="A332" s="484"/>
      <c r="B332" s="484"/>
      <c r="D332" s="1283"/>
      <c r="E332" s="1283"/>
      <c r="F332" s="1283"/>
      <c r="I332" s="490"/>
    </row>
    <row r="333" spans="1:9">
      <c r="D333" s="446"/>
      <c r="E333" s="446"/>
      <c r="F333" s="446"/>
      <c r="I333" s="490"/>
    </row>
    <row r="334" spans="1:9" ht="14.25">
      <c r="A334" s="484"/>
      <c r="B334" s="485" t="s">
        <v>2738</v>
      </c>
      <c r="D334" s="1283" t="s">
        <v>1131</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2737</v>
      </c>
      <c r="D344" s="1283" t="s">
        <v>1902</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1901</v>
      </c>
      <c r="E348" s="385"/>
      <c r="F348" s="385"/>
      <c r="I348" s="490"/>
    </row>
    <row r="349" spans="1:9">
      <c r="D349" s="385"/>
      <c r="E349" s="96" t="s">
        <v>1898</v>
      </c>
      <c r="G349" s="96"/>
      <c r="I349" s="490"/>
    </row>
    <row r="350" spans="1:9">
      <c r="D350" s="445"/>
      <c r="E350" s="445"/>
      <c r="F350" s="445"/>
      <c r="I350" s="490"/>
    </row>
    <row r="351" spans="1:9" ht="13.5" thickBot="1">
      <c r="A351" s="1022"/>
      <c r="B351" s="1022"/>
      <c r="C351" s="1022"/>
      <c r="D351" s="1296" t="s">
        <v>978</v>
      </c>
      <c r="E351" s="1296"/>
      <c r="F351" s="1296"/>
      <c r="G351" s="1027"/>
      <c r="H351" s="1027"/>
      <c r="I351" s="1156"/>
    </row>
    <row r="352" spans="1:9" ht="13.5" thickTop="1">
      <c r="D352" s="1294" t="s">
        <v>2245</v>
      </c>
      <c r="E352" s="1294"/>
      <c r="F352" s="1294"/>
      <c r="I352" s="490"/>
    </row>
    <row r="353" spans="1:9">
      <c r="D353" s="446"/>
      <c r="E353" s="446"/>
      <c r="F353" s="446"/>
      <c r="I353" s="490"/>
    </row>
    <row r="354" spans="1:9">
      <c r="A354" s="476"/>
      <c r="B354" s="476"/>
      <c r="C354" s="476"/>
      <c r="D354" s="447"/>
      <c r="E354" s="447"/>
      <c r="F354" s="446"/>
      <c r="I354" s="490"/>
    </row>
    <row r="355" spans="1:9" ht="14.25">
      <c r="A355" s="484"/>
      <c r="B355" s="485" t="s">
        <v>2738</v>
      </c>
      <c r="C355" s="487"/>
      <c r="D355" s="1284" t="s">
        <v>1900</v>
      </c>
      <c r="E355" s="1284"/>
      <c r="F355" s="1284"/>
      <c r="I355" s="490"/>
    </row>
    <row r="356" spans="1:9" ht="12.75" customHeight="1">
      <c r="D356" s="1037"/>
      <c r="E356" s="96" t="s">
        <v>1899</v>
      </c>
      <c r="F356" s="1037"/>
      <c r="I356" s="490"/>
    </row>
    <row r="357" spans="1:9">
      <c r="D357" s="1283" t="s">
        <v>1239</v>
      </c>
      <c r="E357" s="1283"/>
      <c r="F357" s="1283"/>
      <c r="I357" s="490"/>
    </row>
    <row r="358" spans="1:9">
      <c r="D358" s="1283"/>
      <c r="E358" s="1283"/>
      <c r="F358" s="1283"/>
      <c r="I358" s="490"/>
    </row>
    <row r="359" spans="1:9">
      <c r="D359" s="1283"/>
      <c r="E359" s="1283"/>
      <c r="F359" s="1283"/>
      <c r="I359" s="490"/>
    </row>
    <row r="360" spans="1:9" ht="14.25">
      <c r="A360" s="484"/>
      <c r="B360" s="485" t="s">
        <v>2738</v>
      </c>
      <c r="C360" s="476"/>
      <c r="D360" s="1295" t="s">
        <v>2056</v>
      </c>
      <c r="E360" s="1295"/>
      <c r="F360" s="1295"/>
      <c r="I360" s="480"/>
    </row>
    <row r="361" spans="1:9">
      <c r="A361" s="476"/>
      <c r="B361" s="476"/>
      <c r="C361" s="476"/>
      <c r="D361" s="447"/>
      <c r="E361" s="447"/>
      <c r="F361" s="446"/>
      <c r="I361" s="490"/>
    </row>
    <row r="362" spans="1:9">
      <c r="A362" s="476"/>
      <c r="B362" s="485" t="s">
        <v>2738</v>
      </c>
      <c r="C362" s="476"/>
      <c r="D362" s="1263" t="s">
        <v>2057</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4" customHeight="1">
      <c r="A375" s="476"/>
      <c r="B375" s="485" t="s">
        <v>2738</v>
      </c>
      <c r="C375" s="476"/>
      <c r="D375" s="1280" t="s">
        <v>1220</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2738</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ht="14.25">
      <c r="A387" s="484"/>
      <c r="B387" s="485" t="s">
        <v>2738</v>
      </c>
      <c r="C387" s="476"/>
      <c r="D387" s="1263" t="s">
        <v>1132</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1133</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3.7" customHeight="1">
      <c r="A401" s="476"/>
      <c r="B401" s="476"/>
      <c r="C401" s="476"/>
      <c r="D401" s="1263" t="s">
        <v>1134</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2738</v>
      </c>
      <c r="C420" s="476"/>
      <c r="D420" s="1263" t="s">
        <v>1135</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45" customHeight="1">
      <c r="A423" s="484"/>
      <c r="B423" s="485" t="s">
        <v>2738</v>
      </c>
      <c r="D423" s="1263" t="s">
        <v>1881</v>
      </c>
      <c r="E423" s="1263"/>
      <c r="F423" s="1263"/>
      <c r="I423" s="490"/>
    </row>
    <row r="424" spans="1:9" ht="14.45" customHeight="1">
      <c r="A424" s="484"/>
      <c r="D424" s="1263"/>
      <c r="E424" s="1263"/>
      <c r="F424" s="1263"/>
      <c r="I424" s="490"/>
    </row>
    <row r="425" spans="1:9" ht="14.45" customHeight="1">
      <c r="A425" s="484"/>
      <c r="D425" s="1263"/>
      <c r="E425" s="1263"/>
      <c r="F425" s="1263"/>
      <c r="I425" s="490"/>
    </row>
    <row r="426" spans="1:9" ht="14.45" customHeight="1">
      <c r="A426" s="484"/>
      <c r="D426" s="1263"/>
      <c r="E426" s="1263"/>
      <c r="F426" s="1263"/>
      <c r="I426" s="490"/>
    </row>
    <row r="427" spans="1:9" ht="14.45" customHeight="1">
      <c r="A427" s="484"/>
      <c r="D427" s="1263"/>
      <c r="E427" s="1263"/>
      <c r="F427" s="1263"/>
      <c r="I427" s="490"/>
    </row>
    <row r="428" spans="1:9" ht="14.45" customHeight="1">
      <c r="A428" s="484"/>
      <c r="D428" s="385"/>
      <c r="E428" s="385"/>
      <c r="F428" s="385"/>
      <c r="I428" s="490"/>
    </row>
    <row r="429" spans="1:9" ht="13.7" customHeight="1">
      <c r="A429" s="484"/>
      <c r="B429" s="485" t="s">
        <v>2738</v>
      </c>
      <c r="C429" s="476"/>
      <c r="D429" s="1263" t="s">
        <v>1240</v>
      </c>
      <c r="E429" s="1263"/>
      <c r="F429" s="1263"/>
      <c r="I429" s="490"/>
    </row>
    <row r="430" spans="1:9" ht="14.25">
      <c r="A430" s="497"/>
      <c r="B430" s="497"/>
      <c r="C430" s="476"/>
      <c r="D430" s="1263"/>
      <c r="E430" s="1263"/>
      <c r="F430" s="1263"/>
      <c r="I430" s="490"/>
    </row>
    <row r="431" spans="1:9" ht="14.25">
      <c r="A431" s="497"/>
      <c r="B431" s="497"/>
      <c r="C431" s="476"/>
      <c r="D431" s="1263"/>
      <c r="E431" s="1263"/>
      <c r="F431" s="1263"/>
      <c r="I431" s="490"/>
    </row>
    <row r="432" spans="1:9" ht="14.25">
      <c r="A432" s="497"/>
      <c r="B432" s="497"/>
      <c r="C432" s="476"/>
      <c r="D432" s="1263"/>
      <c r="E432" s="1263"/>
      <c r="F432" s="1263"/>
      <c r="I432" s="490"/>
    </row>
    <row r="433" spans="1:9" ht="15.75" customHeight="1">
      <c r="A433" s="497"/>
      <c r="B433" s="497"/>
      <c r="C433" s="476"/>
      <c r="D433" s="1297" t="s">
        <v>2073</v>
      </c>
      <c r="E433" s="1263"/>
      <c r="F433" s="1263"/>
      <c r="I433" s="490"/>
    </row>
    <row r="434" spans="1:9">
      <c r="D434" s="446"/>
      <c r="E434" s="446"/>
      <c r="F434" s="446"/>
      <c r="I434" s="490"/>
    </row>
    <row r="435" spans="1:9" ht="14.25">
      <c r="A435" s="484"/>
      <c r="B435" s="485" t="s">
        <v>2738</v>
      </c>
      <c r="C435" s="487"/>
      <c r="D435" s="1283" t="s">
        <v>2058</v>
      </c>
      <c r="E435" s="1283"/>
      <c r="F435" s="1283"/>
      <c r="I435" s="490"/>
    </row>
    <row r="436" spans="1:9" ht="14.25">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0.700000000000003" customHeight="1">
      <c r="D465" s="1283"/>
      <c r="E465" s="1283"/>
      <c r="F465" s="1283"/>
      <c r="I465" s="490"/>
    </row>
    <row r="466" spans="1:9">
      <c r="D466" s="446"/>
      <c r="E466" s="446"/>
      <c r="F466" s="446"/>
      <c r="I466" s="490"/>
    </row>
    <row r="467" spans="1:9" ht="14.25">
      <c r="A467" s="484"/>
      <c r="B467" s="485" t="s">
        <v>2738</v>
      </c>
      <c r="C467" s="487"/>
      <c r="D467" s="1283" t="s">
        <v>1136</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ht="14.25">
      <c r="B471" s="485" t="s">
        <v>2738</v>
      </c>
      <c r="C471" s="484"/>
      <c r="D471" s="1283" t="s">
        <v>1196</v>
      </c>
      <c r="E471" s="1283"/>
      <c r="F471" s="1283"/>
      <c r="I471" s="490"/>
    </row>
    <row r="472" spans="1:9">
      <c r="D472" s="1283"/>
      <c r="E472" s="1283"/>
      <c r="F472" s="1283"/>
      <c r="I472" s="490"/>
    </row>
    <row r="473" spans="1:9">
      <c r="D473" s="446"/>
      <c r="E473" s="446"/>
      <c r="F473" s="446"/>
      <c r="I473" s="490"/>
    </row>
    <row r="474" spans="1:9" ht="14.25">
      <c r="B474" s="485" t="s">
        <v>2738</v>
      </c>
      <c r="C474" s="484"/>
      <c r="D474" s="1283" t="s">
        <v>1137</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2738</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2738</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2738</v>
      </c>
      <c r="C486" s="402"/>
      <c r="D486" s="1283"/>
      <c r="E486" s="1283"/>
      <c r="F486" s="1283"/>
      <c r="I486" s="490"/>
    </row>
    <row r="487" spans="1:9">
      <c r="A487" s="402"/>
      <c r="C487" s="402"/>
      <c r="D487" s="1283"/>
      <c r="E487" s="1283"/>
      <c r="F487" s="1283"/>
      <c r="I487" s="490"/>
    </row>
    <row r="488" spans="1:9">
      <c r="A488" s="402"/>
      <c r="B488" s="485" t="s">
        <v>2738</v>
      </c>
      <c r="C488" s="402"/>
      <c r="D488" s="1283" t="s">
        <v>1138</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2738</v>
      </c>
      <c r="D494" s="1284" t="s">
        <v>1139</v>
      </c>
      <c r="E494" s="1284"/>
      <c r="F494" s="1284"/>
      <c r="I494" s="490"/>
    </row>
    <row r="495" spans="1:9">
      <c r="A495" s="446"/>
      <c r="B495" s="446"/>
      <c r="I495" s="490"/>
    </row>
    <row r="496" spans="1:9">
      <c r="A496" s="1286" t="s">
        <v>1049</v>
      </c>
      <c r="B496" s="1286"/>
      <c r="C496" s="1286"/>
      <c r="D496" s="1286"/>
      <c r="E496" s="1286"/>
      <c r="F496" s="1286"/>
      <c r="G496" s="1286"/>
      <c r="H496" s="1028"/>
      <c r="I496" s="1153"/>
    </row>
    <row r="497" spans="1:9">
      <c r="A497" s="446"/>
      <c r="B497" s="446"/>
      <c r="I497" s="490"/>
    </row>
    <row r="498" spans="1:9">
      <c r="D498" s="1299" t="s">
        <v>882</v>
      </c>
      <c r="E498" s="1299"/>
      <c r="F498" s="1299"/>
      <c r="I498" s="490"/>
    </row>
    <row r="499" spans="1:9" ht="14.25">
      <c r="A499" s="484"/>
      <c r="B499" s="484"/>
      <c r="D499" s="1295" t="s">
        <v>1140</v>
      </c>
      <c r="E499" s="1295"/>
      <c r="F499" s="1295"/>
      <c r="I499" s="490"/>
    </row>
    <row r="500" spans="1:9" ht="14.25">
      <c r="A500" s="484"/>
      <c r="B500" s="484"/>
      <c r="D500" s="447"/>
      <c r="I500" s="490"/>
    </row>
    <row r="501" spans="1:9" ht="14.25">
      <c r="A501" s="484"/>
      <c r="B501" s="485" t="s">
        <v>2738</v>
      </c>
      <c r="D501" s="1263" t="s">
        <v>1141</v>
      </c>
      <c r="E501" s="1263"/>
      <c r="F501" s="1263"/>
      <c r="I501" s="490"/>
    </row>
    <row r="502" spans="1:9" ht="14.25">
      <c r="A502" s="484"/>
      <c r="B502" s="484"/>
      <c r="D502" s="1263"/>
      <c r="E502" s="1263"/>
      <c r="F502" s="1263"/>
      <c r="I502" s="490"/>
    </row>
    <row r="503" spans="1:9" ht="14.25">
      <c r="A503" s="484"/>
      <c r="B503" s="484"/>
      <c r="D503" s="446"/>
      <c r="I503" s="490"/>
    </row>
    <row r="504" spans="1:9" ht="12.75" customHeight="1">
      <c r="B504" s="485" t="s">
        <v>2738</v>
      </c>
      <c r="D504" s="1287" t="s">
        <v>1273</v>
      </c>
      <c r="E504" s="1287"/>
      <c r="F504" s="1287"/>
      <c r="I504" s="490"/>
    </row>
    <row r="505" spans="1:9" ht="14.25">
      <c r="A505" s="484"/>
      <c r="D505" s="1287"/>
      <c r="E505" s="1287"/>
      <c r="F505" s="1287"/>
      <c r="I505" s="490"/>
    </row>
    <row r="506" spans="1:9" ht="14.25">
      <c r="A506" s="484"/>
      <c r="B506" s="484"/>
      <c r="D506" s="1287"/>
      <c r="E506" s="1287"/>
      <c r="F506" s="1287"/>
      <c r="I506" s="490"/>
    </row>
    <row r="507" spans="1:9" ht="14.25">
      <c r="A507" s="484"/>
      <c r="B507" s="484"/>
      <c r="D507" s="1287"/>
      <c r="E507" s="1287"/>
      <c r="F507" s="1287"/>
      <c r="I507" s="490"/>
    </row>
    <row r="508" spans="1:9" ht="14.25">
      <c r="A508" s="484"/>
      <c r="D508" s="520"/>
      <c r="E508" s="520"/>
      <c r="F508" s="520"/>
      <c r="I508" s="490"/>
    </row>
    <row r="509" spans="1:9" ht="14.25">
      <c r="A509" s="484"/>
      <c r="B509" s="485" t="s">
        <v>2738</v>
      </c>
      <c r="D509" s="1284" t="s">
        <v>1142</v>
      </c>
      <c r="E509" s="1284"/>
      <c r="F509" s="1284"/>
      <c r="I509" s="490"/>
    </row>
    <row r="510" spans="1:9" ht="14.25">
      <c r="A510" s="484"/>
      <c r="B510" s="484"/>
      <c r="D510" s="446"/>
      <c r="I510" s="490"/>
    </row>
    <row r="511" spans="1:9" ht="14.25">
      <c r="A511" s="484"/>
      <c r="B511" s="485" t="s">
        <v>2738</v>
      </c>
      <c r="D511" s="1283" t="s">
        <v>1143</v>
      </c>
      <c r="E511" s="1283"/>
      <c r="F511" s="1283"/>
      <c r="I511" s="490"/>
    </row>
    <row r="512" spans="1:9" ht="14.25">
      <c r="A512" s="484"/>
      <c r="D512" s="1283"/>
      <c r="E512" s="1283"/>
      <c r="F512" s="1283"/>
      <c r="I512" s="490"/>
    </row>
    <row r="513" spans="1:9">
      <c r="A513" s="490"/>
      <c r="B513" s="490"/>
      <c r="D513" s="447"/>
      <c r="I513" s="490"/>
    </row>
    <row r="514" spans="1:9">
      <c r="A514" s="490"/>
      <c r="B514" s="485" t="s">
        <v>2738</v>
      </c>
      <c r="D514" s="1284" t="s">
        <v>1144</v>
      </c>
      <c r="E514" s="1284"/>
      <c r="F514" s="1284"/>
      <c r="I514" s="490"/>
    </row>
    <row r="515" spans="1:9">
      <c r="D515" s="446"/>
      <c r="E515" s="446"/>
      <c r="F515" s="446"/>
      <c r="I515" s="490"/>
    </row>
    <row r="516" spans="1:9">
      <c r="B516" s="485" t="s">
        <v>2738</v>
      </c>
      <c r="D516" s="1283" t="s">
        <v>2279</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ht="14.25">
      <c r="A520" s="484"/>
      <c r="B520" s="484"/>
      <c r="D520" s="446"/>
      <c r="I520" s="490"/>
    </row>
    <row r="521" spans="1:9">
      <c r="A521" s="1286" t="s">
        <v>1050</v>
      </c>
      <c r="B521" s="1286"/>
      <c r="C521" s="1286"/>
      <c r="D521" s="1286"/>
      <c r="E521" s="1286"/>
      <c r="F521" s="1286"/>
      <c r="G521" s="1286"/>
      <c r="H521" s="1028"/>
      <c r="I521" s="1153"/>
    </row>
    <row r="522" spans="1:9" ht="12" customHeight="1">
      <c r="A522" s="484"/>
      <c r="B522" s="484"/>
      <c r="D522" s="446"/>
      <c r="I522" s="490"/>
    </row>
    <row r="523" spans="1:9">
      <c r="C523" s="482"/>
      <c r="D523" s="1291" t="s">
        <v>792</v>
      </c>
      <c r="E523" s="1291"/>
      <c r="F523" s="1291"/>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 customHeight="1">
      <c r="A527" s="483"/>
      <c r="B527" s="485" t="s">
        <v>2737</v>
      </c>
      <c r="C527" s="483"/>
      <c r="D527" s="1263" t="s">
        <v>2059</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2737</v>
      </c>
      <c r="D530" s="386" t="s">
        <v>1903</v>
      </c>
      <c r="E530" s="385"/>
      <c r="F530" s="385"/>
      <c r="I530" s="490"/>
    </row>
    <row r="531" spans="1:9">
      <c r="A531" s="483"/>
      <c r="B531" s="483"/>
      <c r="C531" s="483"/>
      <c r="D531" s="385"/>
      <c r="E531" s="96" t="s">
        <v>1904</v>
      </c>
      <c r="I531" s="490"/>
    </row>
    <row r="532" spans="1:9">
      <c r="A532" s="483"/>
      <c r="B532" s="483"/>
      <c r="D532" s="1280" t="s">
        <v>2060</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2738</v>
      </c>
      <c r="C536" s="483"/>
      <c r="D536" s="1283" t="s">
        <v>2061</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1051</v>
      </c>
      <c r="B539" s="1286"/>
      <c r="C539" s="1286"/>
      <c r="D539" s="1286"/>
      <c r="E539" s="1286"/>
      <c r="F539" s="1286"/>
      <c r="G539" s="1286"/>
      <c r="H539" s="1028"/>
      <c r="I539" s="1153"/>
    </row>
    <row r="540" spans="1:9">
      <c r="A540" s="446"/>
      <c r="B540" s="446"/>
      <c r="C540" s="487"/>
      <c r="F540" s="448"/>
      <c r="I540" s="490"/>
    </row>
    <row r="541" spans="1:9">
      <c r="B541" s="1289" t="s">
        <v>445</v>
      </c>
      <c r="C541" s="1289"/>
      <c r="D541" s="1289"/>
      <c r="E541" s="1289"/>
      <c r="F541" s="1289"/>
      <c r="I541" s="490"/>
    </row>
    <row r="542" spans="1:9">
      <c r="A542" s="446"/>
      <c r="B542" s="446"/>
      <c r="C542" s="487"/>
      <c r="D542" s="446"/>
      <c r="F542" s="446"/>
      <c r="I542" s="490"/>
    </row>
    <row r="543" spans="1:9">
      <c r="A543" s="1290" t="s">
        <v>1052</v>
      </c>
      <c r="B543" s="1290"/>
      <c r="C543" s="1290"/>
      <c r="D543" s="1290"/>
      <c r="E543" s="1290"/>
      <c r="F543" s="1290"/>
      <c r="G543" s="1290"/>
      <c r="H543" s="1028"/>
      <c r="I543" s="1153"/>
    </row>
    <row r="544" spans="1:9">
      <c r="A544" s="446"/>
      <c r="B544" s="446"/>
      <c r="C544" s="487"/>
      <c r="D544" s="446"/>
      <c r="F544" s="446"/>
      <c r="I544" s="490"/>
    </row>
    <row r="545" spans="1:9">
      <c r="C545" s="487"/>
      <c r="D545" s="1291" t="s">
        <v>682</v>
      </c>
      <c r="E545" s="1291"/>
      <c r="F545" s="1291"/>
      <c r="I545" s="490"/>
    </row>
    <row r="546" spans="1:9">
      <c r="C546" s="487"/>
      <c r="D546" s="1284" t="s">
        <v>1080</v>
      </c>
      <c r="E546" s="1284"/>
      <c r="F546" s="1284"/>
      <c r="I546" s="490"/>
    </row>
    <row r="547" spans="1:9">
      <c r="C547" s="487"/>
      <c r="D547" s="446"/>
      <c r="E547" s="446"/>
      <c r="F547" s="446"/>
      <c r="I547" s="490"/>
    </row>
    <row r="548" spans="1:9" ht="13.7" customHeight="1">
      <c r="A548" s="484"/>
      <c r="B548" s="485" t="s">
        <v>2737</v>
      </c>
      <c r="C548" s="487"/>
      <c r="D548" s="1284" t="s">
        <v>883</v>
      </c>
      <c r="E548" s="1284"/>
      <c r="F548" s="1284"/>
      <c r="I548" s="490"/>
    </row>
    <row r="549" spans="1:9" ht="13.7" customHeight="1">
      <c r="A549" s="487"/>
      <c r="B549" s="487"/>
      <c r="C549" s="487"/>
      <c r="D549" s="446"/>
      <c r="I549" s="490"/>
    </row>
    <row r="550" spans="1:9" ht="14.25">
      <c r="A550" s="484"/>
      <c r="B550" s="485" t="s">
        <v>2737</v>
      </c>
      <c r="C550" s="487"/>
      <c r="D550" s="1283" t="s">
        <v>1081</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ht="14.25">
      <c r="A553" s="484"/>
      <c r="B553" s="485" t="s">
        <v>2737</v>
      </c>
      <c r="C553" s="487"/>
      <c r="D553" s="1283" t="s">
        <v>1082</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ht="14.25">
      <c r="A556" s="484"/>
      <c r="B556" s="485" t="s">
        <v>2737</v>
      </c>
      <c r="C556" s="487"/>
      <c r="D556" s="1283" t="s">
        <v>1083</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ht="14.25">
      <c r="A559" s="484"/>
      <c r="B559" s="485" t="s">
        <v>2737</v>
      </c>
      <c r="C559" s="487"/>
      <c r="D559" s="1283" t="s">
        <v>1084</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ht="14.25">
      <c r="A563" s="484"/>
      <c r="B563" s="485" t="s">
        <v>2738</v>
      </c>
      <c r="C563" s="487"/>
      <c r="D563" s="1283" t="s">
        <v>2246</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ht="14.25">
      <c r="A566" s="484"/>
      <c r="B566" s="485" t="s">
        <v>2738</v>
      </c>
      <c r="C566" s="487"/>
      <c r="D566" s="1283" t="s">
        <v>1085</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ht="14.25">
      <c r="A569" s="484"/>
      <c r="B569" s="485" t="s">
        <v>2737</v>
      </c>
      <c r="C569" s="487"/>
      <c r="D569" s="1284" t="s">
        <v>1086</v>
      </c>
      <c r="E569" s="1284"/>
      <c r="F569" s="1284"/>
      <c r="I569" s="490"/>
    </row>
    <row r="570" spans="1:9">
      <c r="A570" s="490"/>
      <c r="B570" s="490"/>
      <c r="C570" s="487"/>
      <c r="D570" s="1284" t="s">
        <v>1906</v>
      </c>
      <c r="E570" s="1284"/>
      <c r="F570" s="1284"/>
      <c r="I570" s="490"/>
    </row>
    <row r="571" spans="1:9">
      <c r="A571" s="490"/>
      <c r="B571" s="490"/>
      <c r="C571" s="487"/>
      <c r="E571" s="96" t="s">
        <v>1905</v>
      </c>
      <c r="F571" s="404"/>
      <c r="I571" s="490"/>
    </row>
    <row r="572" spans="1:9" ht="14.25">
      <c r="A572" s="484"/>
      <c r="B572" s="484"/>
      <c r="C572" s="487"/>
      <c r="E572" s="446"/>
      <c r="F572" s="446"/>
      <c r="I572" s="490"/>
    </row>
    <row r="573" spans="1:9" ht="14.25">
      <c r="A573" s="484"/>
      <c r="B573" s="485" t="s">
        <v>2737</v>
      </c>
      <c r="C573" s="487"/>
      <c r="D573" s="1284" t="s">
        <v>1087</v>
      </c>
      <c r="E573" s="1284"/>
      <c r="F573" s="1284"/>
      <c r="I573" s="490"/>
    </row>
    <row r="574" spans="1:9">
      <c r="C574" s="487"/>
      <c r="D574" s="1283" t="s">
        <v>1088</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ht="14.25">
      <c r="A578" s="484"/>
      <c r="B578" s="485" t="s">
        <v>2737</v>
      </c>
      <c r="C578" s="487"/>
      <c r="D578" s="1283" t="s">
        <v>2062</v>
      </c>
      <c r="E578" s="1283"/>
      <c r="F578" s="1283"/>
      <c r="I578" s="490"/>
    </row>
    <row r="579" spans="1:9" ht="14.25">
      <c r="A579" s="484"/>
      <c r="B579" s="484"/>
      <c r="C579" s="487"/>
      <c r="D579" s="1283"/>
      <c r="E579" s="1283"/>
      <c r="F579" s="1283"/>
      <c r="I579" s="490"/>
    </row>
    <row r="580" spans="1:9" ht="14.25">
      <c r="A580" s="484"/>
      <c r="B580" s="484"/>
      <c r="C580" s="487"/>
      <c r="D580" s="1283"/>
      <c r="E580" s="1283"/>
      <c r="F580" s="1283"/>
      <c r="I580" s="490"/>
    </row>
    <row r="581" spans="1:9" ht="14.25">
      <c r="A581" s="484"/>
      <c r="B581" s="484"/>
      <c r="C581" s="487"/>
      <c r="D581" s="1283"/>
      <c r="E581" s="1283"/>
      <c r="F581" s="1283"/>
      <c r="I581" s="490"/>
    </row>
    <row r="582" spans="1:9" ht="14.25">
      <c r="A582" s="484"/>
      <c r="B582" s="484"/>
      <c r="C582" s="487"/>
      <c r="D582" s="446"/>
      <c r="E582" s="446"/>
      <c r="F582" s="446"/>
      <c r="I582" s="490"/>
    </row>
    <row r="583" spans="1:9">
      <c r="A583" s="1286" t="s">
        <v>1053</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209</v>
      </c>
      <c r="E585" s="1285"/>
      <c r="F585" s="1285"/>
      <c r="I585" s="490"/>
    </row>
    <row r="586" spans="1:9">
      <c r="A586" s="483"/>
      <c r="B586" s="483"/>
      <c r="C586" s="483"/>
      <c r="D586" s="1287" t="s">
        <v>1066</v>
      </c>
      <c r="E586" s="1287"/>
      <c r="F586" s="1287"/>
      <c r="I586" s="490"/>
    </row>
    <row r="587" spans="1:9">
      <c r="A587" s="402"/>
      <c r="B587" s="402"/>
      <c r="C587" s="483"/>
      <c r="D587" s="499"/>
      <c r="I587" s="490"/>
    </row>
    <row r="588" spans="1:9">
      <c r="A588" s="483"/>
      <c r="B588" s="485" t="s">
        <v>2737</v>
      </c>
      <c r="D588" s="1287" t="s">
        <v>887</v>
      </c>
      <c r="E588" s="1287"/>
      <c r="F588" s="1287"/>
      <c r="I588" s="490"/>
    </row>
    <row r="589" spans="1:9">
      <c r="A589" s="490"/>
      <c r="B589" s="490"/>
      <c r="D589" s="476"/>
      <c r="I589" s="490"/>
    </row>
    <row r="590" spans="1:9">
      <c r="A590" s="490"/>
      <c r="B590" s="485" t="s">
        <v>2737</v>
      </c>
      <c r="D590" s="1287" t="s">
        <v>2063</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2738</v>
      </c>
      <c r="D594" s="1287" t="s">
        <v>1067</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2737</v>
      </c>
      <c r="D599" s="1287" t="s">
        <v>2064</v>
      </c>
      <c r="E599" s="1287"/>
      <c r="F599" s="1287"/>
      <c r="I599" s="490"/>
    </row>
    <row r="600" spans="1:9">
      <c r="A600" s="490"/>
      <c r="B600" s="490"/>
      <c r="D600" s="1287"/>
      <c r="E600" s="1287"/>
      <c r="F600" s="1287"/>
      <c r="I600" s="490"/>
    </row>
    <row r="601" spans="1:9">
      <c r="A601" s="490"/>
      <c r="B601" s="490"/>
      <c r="D601" s="499"/>
      <c r="I601" s="490"/>
    </row>
    <row r="602" spans="1:9">
      <c r="A602" s="490"/>
      <c r="B602" s="485" t="s">
        <v>2738</v>
      </c>
      <c r="D602" s="1287" t="s">
        <v>1068</v>
      </c>
      <c r="E602" s="1287"/>
      <c r="F602" s="1287"/>
      <c r="I602" s="490"/>
    </row>
    <row r="603" spans="1:9">
      <c r="A603" s="490"/>
      <c r="B603" s="490"/>
      <c r="D603" s="1287"/>
      <c r="E603" s="1287"/>
      <c r="F603" s="1287"/>
      <c r="I603" s="490"/>
    </row>
    <row r="604" spans="1:9" ht="14.25">
      <c r="A604" s="484"/>
      <c r="B604" s="484"/>
      <c r="D604" s="499"/>
      <c r="I604" s="490"/>
    </row>
    <row r="605" spans="1:9">
      <c r="A605" s="1286" t="s">
        <v>1054</v>
      </c>
      <c r="B605" s="1286"/>
      <c r="C605" s="1286"/>
      <c r="D605" s="1286"/>
      <c r="E605" s="1286"/>
      <c r="F605" s="1286"/>
      <c r="G605" s="1286"/>
      <c r="H605" s="1028"/>
      <c r="I605" s="1153"/>
    </row>
    <row r="606" spans="1:9">
      <c r="I606" s="490"/>
    </row>
    <row r="607" spans="1:9">
      <c r="D607" s="1291" t="s">
        <v>1106</v>
      </c>
      <c r="E607" s="1291"/>
      <c r="F607" s="1291"/>
      <c r="I607" s="490"/>
    </row>
    <row r="608" spans="1:9">
      <c r="D608" s="1292" t="s">
        <v>1107</v>
      </c>
      <c r="E608" s="1292"/>
      <c r="F608" s="1292"/>
      <c r="I608" s="490"/>
    </row>
    <row r="609" spans="1:9">
      <c r="D609" s="444"/>
      <c r="I609" s="490"/>
    </row>
    <row r="610" spans="1:9" ht="14.25" customHeight="1">
      <c r="A610" s="484"/>
      <c r="B610" s="485" t="s">
        <v>2737</v>
      </c>
      <c r="D610" s="1312" t="s">
        <v>1907</v>
      </c>
      <c r="E610" s="1312"/>
      <c r="F610" s="1312"/>
      <c r="I610" s="490"/>
    </row>
    <row r="611" spans="1:9">
      <c r="D611" s="1312"/>
      <c r="E611" s="1312"/>
      <c r="F611" s="1312"/>
      <c r="I611" s="490"/>
    </row>
    <row r="612" spans="1:9">
      <c r="D612" s="385"/>
      <c r="E612" s="1036" t="s">
        <v>1908</v>
      </c>
      <c r="F612" s="385"/>
      <c r="I612" s="490"/>
    </row>
    <row r="613" spans="1:9">
      <c r="I613" s="490"/>
    </row>
    <row r="614" spans="1:9">
      <c r="A614" s="1286" t="s">
        <v>1055</v>
      </c>
      <c r="B614" s="1286"/>
      <c r="C614" s="1286"/>
      <c r="D614" s="1286"/>
      <c r="E614" s="1286"/>
      <c r="F614" s="1286"/>
      <c r="G614" s="1286"/>
      <c r="H614" s="1028"/>
      <c r="I614" s="1153"/>
    </row>
    <row r="615" spans="1:9">
      <c r="A615" s="446"/>
      <c r="B615" s="446"/>
      <c r="I615" s="490"/>
    </row>
    <row r="616" spans="1:9">
      <c r="A616" s="482"/>
      <c r="B616" s="482"/>
      <c r="C616" s="482"/>
      <c r="D616" s="1320" t="s">
        <v>1108</v>
      </c>
      <c r="E616" s="1320"/>
      <c r="F616" s="1320"/>
      <c r="I616" s="490"/>
    </row>
    <row r="617" spans="1:9">
      <c r="A617" s="482"/>
      <c r="B617" s="482"/>
      <c r="C617" s="482"/>
      <c r="D617" s="1320"/>
      <c r="E617" s="1320"/>
      <c r="F617" s="1320"/>
      <c r="I617" s="490"/>
    </row>
    <row r="618" spans="1:9">
      <c r="C618" s="483"/>
      <c r="D618" s="1292" t="s">
        <v>1109</v>
      </c>
      <c r="E618" s="1292"/>
      <c r="F618" s="1292"/>
      <c r="I618" s="490"/>
    </row>
    <row r="619" spans="1:9">
      <c r="C619" s="483"/>
      <c r="D619" s="444"/>
      <c r="E619" s="444"/>
      <c r="F619" s="444"/>
      <c r="I619" s="490"/>
    </row>
    <row r="620" spans="1:9" ht="12.75" customHeight="1">
      <c r="A620" s="490"/>
      <c r="B620" s="485" t="s">
        <v>2737</v>
      </c>
      <c r="D620" s="1308" t="s">
        <v>1110</v>
      </c>
      <c r="E620" s="1308"/>
      <c r="F620" s="1308"/>
      <c r="I620" s="490"/>
    </row>
    <row r="621" spans="1:9">
      <c r="D621" s="1308"/>
      <c r="E621" s="1308"/>
      <c r="F621" s="1308"/>
      <c r="I621" s="490"/>
    </row>
    <row r="622" spans="1:9">
      <c r="I622" s="490"/>
    </row>
    <row r="623" spans="1:9">
      <c r="B623" s="485" t="s">
        <v>2737</v>
      </c>
      <c r="D623" s="1308" t="s">
        <v>1111</v>
      </c>
      <c r="E623" s="1308"/>
      <c r="F623" s="1308"/>
      <c r="I623" s="490"/>
    </row>
    <row r="624" spans="1:9">
      <c r="C624" s="500"/>
      <c r="D624" s="1308"/>
      <c r="E624" s="1308"/>
      <c r="F624" s="1308"/>
      <c r="I624" s="490"/>
    </row>
    <row r="625" spans="1:9">
      <c r="C625" s="500"/>
      <c r="I625" s="490"/>
    </row>
    <row r="626" spans="1:9">
      <c r="B626" s="485" t="s">
        <v>2738</v>
      </c>
      <c r="C626" s="500"/>
      <c r="D626" s="1308" t="s">
        <v>1112</v>
      </c>
      <c r="E626" s="1308"/>
      <c r="F626" s="1308"/>
      <c r="I626" s="490"/>
    </row>
    <row r="627" spans="1:9">
      <c r="C627" s="500"/>
      <c r="D627" s="1308"/>
      <c r="E627" s="1308"/>
      <c r="F627" s="1308"/>
      <c r="I627" s="500"/>
    </row>
    <row r="628" spans="1:9">
      <c r="C628" s="500"/>
      <c r="I628" s="490"/>
    </row>
    <row r="629" spans="1:9">
      <c r="A629" s="1286" t="s">
        <v>1056</v>
      </c>
      <c r="B629" s="1286"/>
      <c r="C629" s="1286"/>
      <c r="D629" s="1286"/>
      <c r="E629" s="1286"/>
      <c r="F629" s="1286"/>
      <c r="G629" s="1286"/>
      <c r="H629" s="1028"/>
      <c r="I629" s="1153"/>
    </row>
    <row r="630" spans="1:9">
      <c r="A630" s="482"/>
      <c r="B630" s="482"/>
      <c r="C630" s="482"/>
      <c r="I630" s="490"/>
    </row>
    <row r="631" spans="1:9">
      <c r="C631" s="490"/>
      <c r="D631" s="1291" t="s">
        <v>1113</v>
      </c>
      <c r="E631" s="1291"/>
      <c r="F631" s="1291"/>
      <c r="I631" s="490"/>
    </row>
    <row r="632" spans="1:9">
      <c r="A632" s="490"/>
      <c r="B632" s="490"/>
      <c r="D632" s="404"/>
      <c r="I632" s="490"/>
    </row>
    <row r="633" spans="1:9" ht="14.25" customHeight="1">
      <c r="A633" s="484"/>
      <c r="B633" s="485" t="s">
        <v>2737</v>
      </c>
      <c r="D633" s="1312" t="s">
        <v>2065</v>
      </c>
      <c r="E633" s="1312"/>
      <c r="F633" s="1312"/>
      <c r="I633" s="490"/>
    </row>
    <row r="634" spans="1:9">
      <c r="D634" s="1312"/>
      <c r="E634" s="1312"/>
      <c r="F634" s="1312"/>
      <c r="I634" s="490"/>
    </row>
    <row r="635" spans="1:9">
      <c r="D635" s="385"/>
      <c r="E635" s="1036" t="s">
        <v>1910</v>
      </c>
      <c r="F635" s="385"/>
      <c r="I635" s="490"/>
    </row>
    <row r="636" spans="1:9">
      <c r="D636" s="1283" t="s">
        <v>1909</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ht="14.25">
      <c r="A640" s="484"/>
      <c r="B640" s="485" t="s">
        <v>2738</v>
      </c>
      <c r="D640" s="1283" t="s">
        <v>1114</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ht="14.25">
      <c r="A643" s="484"/>
      <c r="B643" s="485" t="s">
        <v>2738</v>
      </c>
      <c r="C643" s="487"/>
      <c r="D643" s="1283" t="s">
        <v>1225</v>
      </c>
      <c r="E643" s="1283"/>
      <c r="F643" s="1283"/>
      <c r="I643" s="490"/>
    </row>
    <row r="644" spans="1:9" ht="14.25">
      <c r="A644" s="484"/>
      <c r="B644" s="484"/>
      <c r="C644" s="487"/>
      <c r="D644" s="1283"/>
      <c r="E644" s="1283"/>
      <c r="F644" s="1283"/>
      <c r="I644" s="490"/>
    </row>
    <row r="645" spans="1:9" ht="14.25">
      <c r="A645" s="484"/>
      <c r="B645" s="484"/>
      <c r="C645" s="487"/>
      <c r="D645" s="1283"/>
      <c r="E645" s="1283"/>
      <c r="F645" s="1283"/>
      <c r="I645" s="490"/>
    </row>
    <row r="646" spans="1:9">
      <c r="A646" s="487"/>
      <c r="B646" s="485" t="s">
        <v>2738</v>
      </c>
      <c r="C646" s="487"/>
      <c r="D646" s="1284" t="s">
        <v>1115</v>
      </c>
      <c r="E646" s="1284"/>
      <c r="F646" s="1284"/>
      <c r="I646" s="490"/>
    </row>
    <row r="647" spans="1:9">
      <c r="A647" s="487"/>
      <c r="B647" s="487"/>
      <c r="C647" s="487"/>
      <c r="D647" s="446"/>
      <c r="E647" s="446"/>
      <c r="F647" s="446"/>
      <c r="I647" s="490"/>
    </row>
    <row r="648" spans="1:9">
      <c r="A648" s="1286" t="s">
        <v>1057</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1145</v>
      </c>
      <c r="E650" s="1291"/>
      <c r="F650" s="1291"/>
      <c r="I650" s="490"/>
    </row>
    <row r="651" spans="1:9">
      <c r="A651" s="483"/>
      <c r="B651" s="483"/>
      <c r="C651" s="483"/>
      <c r="D651" s="1284" t="s">
        <v>1146</v>
      </c>
      <c r="E651" s="1284"/>
      <c r="F651" s="1284"/>
      <c r="I651" s="490"/>
    </row>
    <row r="652" spans="1:9">
      <c r="A652" s="483"/>
      <c r="B652" s="483"/>
      <c r="C652" s="483"/>
      <c r="D652" s="446"/>
      <c r="E652" s="446"/>
      <c r="F652" s="446"/>
      <c r="I652" s="490"/>
    </row>
    <row r="653" spans="1:9" ht="12.75" customHeight="1">
      <c r="B653" s="485" t="s">
        <v>2737</v>
      </c>
      <c r="C653" s="487"/>
      <c r="D653" s="1283" t="s">
        <v>1281</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45" customHeight="1">
      <c r="A657" s="484"/>
      <c r="B657" s="484"/>
      <c r="C657" s="487"/>
      <c r="D657" s="385"/>
      <c r="E657" s="385"/>
      <c r="F657" s="385"/>
      <c r="I657" s="490"/>
    </row>
    <row r="658" spans="1:9" ht="12.75" customHeight="1">
      <c r="A658" s="483"/>
      <c r="B658" s="485" t="s">
        <v>2738</v>
      </c>
      <c r="C658" s="487"/>
      <c r="D658" s="1283" t="s">
        <v>1283</v>
      </c>
      <c r="E658" s="1283"/>
      <c r="F658" s="1283"/>
      <c r="I658" s="490"/>
    </row>
    <row r="659" spans="1:9" ht="14.25">
      <c r="A659" s="483"/>
      <c r="B659" s="484"/>
      <c r="C659" s="487"/>
      <c r="D659" s="1283"/>
      <c r="E659" s="1283"/>
      <c r="F659" s="1283"/>
      <c r="I659" s="490"/>
    </row>
    <row r="660" spans="1:9" ht="14.25">
      <c r="A660" s="483"/>
      <c r="B660" s="484"/>
      <c r="C660" s="487"/>
      <c r="D660" s="1283"/>
      <c r="E660" s="1283"/>
      <c r="F660" s="1283"/>
      <c r="I660" s="490"/>
    </row>
    <row r="661" spans="1:9" ht="14.25">
      <c r="A661" s="483"/>
      <c r="B661" s="484"/>
      <c r="C661" s="487"/>
      <c r="D661" s="1283"/>
      <c r="E661" s="1283"/>
      <c r="F661" s="1283"/>
      <c r="I661" s="490"/>
    </row>
    <row r="662" spans="1:9" ht="14.25">
      <c r="A662" s="483"/>
      <c r="B662" s="484"/>
      <c r="C662" s="487"/>
      <c r="D662" s="1283"/>
      <c r="E662" s="1283"/>
      <c r="F662" s="1283"/>
      <c r="I662" s="490"/>
    </row>
    <row r="663" spans="1:9" ht="14.25" customHeight="1">
      <c r="A663" s="483"/>
      <c r="B663" s="484"/>
      <c r="C663" s="487"/>
      <c r="F663" s="386"/>
      <c r="I663" s="490"/>
    </row>
    <row r="664" spans="1:9" ht="12.75" customHeight="1">
      <c r="A664" s="483"/>
      <c r="B664" s="485" t="s">
        <v>2738</v>
      </c>
      <c r="C664" s="487"/>
      <c r="D664" s="1283" t="s">
        <v>1282</v>
      </c>
      <c r="E664" s="1283"/>
      <c r="F664" s="1283"/>
      <c r="I664" s="490"/>
    </row>
    <row r="665" spans="1:9" ht="14.25">
      <c r="A665" s="483"/>
      <c r="B665" s="484"/>
      <c r="C665" s="487"/>
      <c r="D665" s="1283"/>
      <c r="E665" s="1283"/>
      <c r="F665" s="1283"/>
      <c r="I665" s="490"/>
    </row>
    <row r="666" spans="1:9" ht="14.25">
      <c r="A666" s="484"/>
      <c r="B666" s="484"/>
      <c r="C666" s="487"/>
      <c r="D666" s="1283"/>
      <c r="E666" s="1283"/>
      <c r="F666" s="1283"/>
      <c r="I666" s="490"/>
    </row>
    <row r="667" spans="1:9" ht="14.25">
      <c r="A667" s="484"/>
      <c r="B667" s="484"/>
      <c r="C667" s="487"/>
      <c r="D667" s="1283"/>
      <c r="E667" s="1283"/>
      <c r="F667" s="1283"/>
      <c r="I667" s="490"/>
    </row>
    <row r="668" spans="1:9" ht="14.25">
      <c r="A668" s="484"/>
      <c r="B668" s="484"/>
      <c r="C668" s="487"/>
      <c r="D668" s="445"/>
      <c r="E668" s="445"/>
      <c r="F668" s="445"/>
      <c r="I668" s="490"/>
    </row>
    <row r="669" spans="1:9" ht="12.75" customHeight="1">
      <c r="A669" s="483"/>
      <c r="B669" s="485" t="s">
        <v>2738</v>
      </c>
      <c r="C669" s="487"/>
      <c r="D669" s="1283" t="s">
        <v>2066</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1058</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1075</v>
      </c>
      <c r="E683" s="1284"/>
      <c r="F683" s="1284"/>
      <c r="H683" s="501"/>
      <c r="I683" s="483"/>
      <c r="J683" s="501"/>
      <c r="K683" s="501"/>
    </row>
    <row r="684" spans="1:11">
      <c r="A684" s="483"/>
      <c r="B684" s="483"/>
      <c r="C684" s="483"/>
      <c r="H684" s="501"/>
      <c r="I684" s="483"/>
      <c r="J684" s="501"/>
      <c r="K684" s="501"/>
    </row>
    <row r="685" spans="1:11" ht="14.25">
      <c r="A685" s="484"/>
      <c r="B685" s="485" t="s">
        <v>2737</v>
      </c>
      <c r="C685" s="483"/>
      <c r="D685" s="1284" t="s">
        <v>884</v>
      </c>
      <c r="E685" s="1284"/>
      <c r="F685" s="1284"/>
      <c r="H685" s="501"/>
      <c r="I685" s="483"/>
      <c r="J685" s="501"/>
      <c r="K685" s="501"/>
    </row>
    <row r="686" spans="1:11">
      <c r="A686" s="483"/>
      <c r="B686" s="483"/>
      <c r="C686" s="483"/>
      <c r="D686" s="1284" t="s">
        <v>893</v>
      </c>
      <c r="E686" s="1284"/>
      <c r="F686" s="1284"/>
      <c r="H686" s="501"/>
      <c r="I686" s="483"/>
      <c r="J686" s="501"/>
      <c r="K686" s="501"/>
    </row>
    <row r="687" spans="1:11" ht="12.75" customHeight="1">
      <c r="A687" s="483"/>
      <c r="B687" s="483"/>
      <c r="C687" s="483"/>
      <c r="E687" s="1036"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ht="14.25">
      <c r="A690" s="484"/>
      <c r="B690" s="485" t="s">
        <v>2738</v>
      </c>
      <c r="C690" s="483"/>
      <c r="D690" s="1283" t="s">
        <v>2067</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ht="14.25">
      <c r="A694" s="484"/>
      <c r="B694" s="485" t="s">
        <v>2737</v>
      </c>
      <c r="C694" s="483"/>
      <c r="D694" s="1284" t="s">
        <v>916</v>
      </c>
      <c r="E694" s="1284"/>
      <c r="F694" s="1284"/>
      <c r="H694" s="501"/>
      <c r="I694" s="483"/>
      <c r="J694" s="501"/>
      <c r="K694" s="501"/>
    </row>
    <row r="695" spans="1:11" ht="14.25">
      <c r="A695" s="484"/>
      <c r="B695" s="484"/>
      <c r="C695" s="483"/>
      <c r="D695" s="1284" t="s">
        <v>893</v>
      </c>
      <c r="E695" s="1284"/>
      <c r="F695" s="1284"/>
      <c r="H695" s="501"/>
      <c r="I695" s="483"/>
      <c r="J695" s="501"/>
      <c r="K695" s="501"/>
    </row>
    <row r="696" spans="1:11">
      <c r="A696" s="483"/>
      <c r="B696" s="483"/>
      <c r="C696" s="483"/>
      <c r="E696" s="1036" t="s">
        <v>1913</v>
      </c>
      <c r="F696" s="404"/>
      <c r="H696" s="501"/>
      <c r="I696" s="483"/>
      <c r="J696" s="501"/>
      <c r="K696" s="501"/>
    </row>
    <row r="697" spans="1:11">
      <c r="A697" s="483"/>
      <c r="B697" s="483"/>
      <c r="C697" s="483"/>
      <c r="D697" s="404"/>
      <c r="H697" s="501"/>
      <c r="I697" s="483"/>
      <c r="J697" s="501"/>
      <c r="K697" s="501"/>
    </row>
    <row r="698" spans="1:11" ht="14.25">
      <c r="A698" s="484"/>
      <c r="B698" s="485" t="s">
        <v>2738</v>
      </c>
      <c r="C698" s="483"/>
      <c r="D698" s="1284" t="s">
        <v>2468</v>
      </c>
      <c r="E698" s="1284"/>
      <c r="F698" s="1284"/>
      <c r="H698" s="501"/>
      <c r="I698" s="483"/>
      <c r="J698" s="501"/>
      <c r="K698" s="501"/>
    </row>
    <row r="699" spans="1:11" ht="14.25">
      <c r="A699" s="484"/>
      <c r="B699" s="484"/>
      <c r="C699" s="483"/>
      <c r="D699" s="1284" t="s">
        <v>893</v>
      </c>
      <c r="E699" s="1284"/>
      <c r="F699" s="1284"/>
      <c r="H699" s="501"/>
      <c r="I699" s="483"/>
      <c r="J699" s="501"/>
      <c r="K699" s="501"/>
    </row>
    <row r="700" spans="1:11">
      <c r="A700" s="483"/>
      <c r="B700" s="483"/>
      <c r="C700" s="483"/>
      <c r="E700" s="1036" t="s">
        <v>2469</v>
      </c>
      <c r="F700" s="404"/>
      <c r="H700" s="501"/>
      <c r="I700" s="483"/>
      <c r="J700" s="501"/>
      <c r="K700" s="501"/>
    </row>
    <row r="701" spans="1:11">
      <c r="A701" s="483"/>
      <c r="B701" s="483"/>
      <c r="C701" s="483"/>
      <c r="D701" s="404"/>
      <c r="H701" s="501"/>
      <c r="I701" s="483"/>
      <c r="J701" s="501"/>
      <c r="K701" s="501"/>
    </row>
    <row r="702" spans="1:11" ht="14.25">
      <c r="A702" s="484"/>
      <c r="B702" s="485" t="s">
        <v>2738</v>
      </c>
      <c r="C702" s="483"/>
      <c r="D702" s="1283" t="s">
        <v>2243</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2738</v>
      </c>
      <c r="C709" s="483"/>
      <c r="D709" s="1283" t="s">
        <v>1200</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ht="14.25">
      <c r="A712" s="484"/>
      <c r="B712" s="485" t="s">
        <v>2738</v>
      </c>
      <c r="C712" s="483"/>
      <c r="D712" s="1283" t="s">
        <v>1076</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2738</v>
      </c>
      <c r="C725" s="483"/>
      <c r="D725" s="1283" t="s">
        <v>2461</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2738</v>
      </c>
      <c r="C729" s="483"/>
      <c r="D729" s="1283" t="s">
        <v>2460</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2738</v>
      </c>
      <c r="C733" s="483"/>
      <c r="D733" s="1283" t="s">
        <v>2459</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ht="14.25">
      <c r="A738" s="484"/>
      <c r="B738" s="485" t="s">
        <v>2738</v>
      </c>
      <c r="C738" s="483"/>
      <c r="D738" s="1283" t="s">
        <v>1077</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ht="14.25">
      <c r="A744" s="484"/>
      <c r="B744" s="485" t="s">
        <v>2738</v>
      </c>
      <c r="C744" s="483"/>
      <c r="D744" s="1283" t="s">
        <v>2145</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2074</v>
      </c>
      <c r="E751" s="1321"/>
      <c r="F751" s="1321"/>
      <c r="H751" s="501"/>
      <c r="I751" s="483"/>
      <c r="J751" s="501"/>
      <c r="K751" s="501"/>
    </row>
    <row r="752" spans="1:11">
      <c r="A752" s="483"/>
      <c r="B752" s="483"/>
      <c r="C752" s="483"/>
      <c r="D752" s="341"/>
      <c r="H752" s="501"/>
      <c r="I752" s="483"/>
      <c r="J752" s="501"/>
      <c r="K752" s="501"/>
    </row>
    <row r="753" spans="1:11">
      <c r="A753" s="1290" t="s">
        <v>1059</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3.7" customHeight="1">
      <c r="C755" s="483"/>
      <c r="D755" s="1285" t="s">
        <v>1069</v>
      </c>
      <c r="E755" s="1285"/>
      <c r="F755" s="1285"/>
      <c r="G755" s="501"/>
      <c r="H755" s="501"/>
      <c r="I755" s="483"/>
      <c r="J755" s="501"/>
      <c r="K755" s="501"/>
    </row>
    <row r="756" spans="1:11">
      <c r="A756" s="483"/>
      <c r="B756" s="483"/>
      <c r="C756" s="483"/>
      <c r="D756" s="1289" t="s">
        <v>1070</v>
      </c>
      <c r="E756" s="1289"/>
      <c r="F756" s="1289"/>
      <c r="G756" s="501"/>
      <c r="H756" s="501"/>
      <c r="I756" s="483"/>
      <c r="J756" s="501"/>
      <c r="K756" s="501"/>
    </row>
    <row r="757" spans="1:11">
      <c r="A757" s="483"/>
      <c r="B757" s="483"/>
      <c r="C757" s="483"/>
      <c r="G757" s="501"/>
      <c r="H757" s="501"/>
      <c r="I757" s="483"/>
      <c r="J757" s="501"/>
      <c r="K757" s="501"/>
    </row>
    <row r="758" spans="1:11" ht="14.25">
      <c r="A758" s="484"/>
      <c r="B758" s="485" t="s">
        <v>2737</v>
      </c>
      <c r="D758" s="1283" t="s">
        <v>1071</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6"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ht="14.25">
      <c r="A765" s="503"/>
      <c r="B765" s="485" t="s">
        <v>2738</v>
      </c>
      <c r="C765" s="504"/>
      <c r="D765" s="1283" t="s">
        <v>1241</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ht="14.25">
      <c r="A770" s="484"/>
      <c r="B770" s="485" t="s">
        <v>2738</v>
      </c>
      <c r="C770" s="504"/>
      <c r="D770" s="1308" t="s">
        <v>1242</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ht="14.25">
      <c r="A774" s="484"/>
      <c r="B774" s="485" t="s">
        <v>2738</v>
      </c>
      <c r="D774" s="1283" t="s">
        <v>1197</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2738</v>
      </c>
      <c r="D777" s="1283" t="s">
        <v>1214</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1801</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1854</v>
      </c>
      <c r="E783" s="1314"/>
      <c r="F783" s="1314"/>
      <c r="G783" s="3"/>
      <c r="I783" s="490"/>
    </row>
    <row r="784" spans="1:11">
      <c r="A784" s="57"/>
      <c r="B784" s="57"/>
      <c r="C784" s="354"/>
      <c r="D784" s="1295" t="s">
        <v>1755</v>
      </c>
      <c r="E784" s="1295"/>
      <c r="F784" s="1295"/>
      <c r="G784" s="3"/>
      <c r="I784" s="490"/>
    </row>
    <row r="785" spans="1:9">
      <c r="A785" s="57"/>
      <c r="B785" s="57"/>
      <c r="C785" s="354"/>
      <c r="D785" s="447"/>
      <c r="E785" s="447"/>
      <c r="F785" s="447"/>
      <c r="G785" s="3"/>
      <c r="I785" s="490"/>
    </row>
    <row r="786" spans="1:9">
      <c r="A786" s="57"/>
      <c r="B786" s="485" t="s">
        <v>2737</v>
      </c>
      <c r="C786" s="354"/>
      <c r="D786" s="1316" t="s">
        <v>1756</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2738</v>
      </c>
      <c r="C790" s="172"/>
      <c r="D790" s="1316" t="s">
        <v>1757</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ht="14.25">
      <c r="A794" s="175"/>
      <c r="B794" s="485" t="s">
        <v>2738</v>
      </c>
      <c r="C794" s="989"/>
      <c r="D794" s="1316" t="s">
        <v>1758</v>
      </c>
      <c r="E794" s="1316"/>
      <c r="F794" s="1316"/>
      <c r="G794" s="988"/>
      <c r="I794" s="483"/>
    </row>
    <row r="795" spans="1:9" ht="14.25">
      <c r="A795" s="175"/>
      <c r="B795" s="175"/>
      <c r="C795" s="989"/>
      <c r="D795" s="1316"/>
      <c r="E795" s="1316"/>
      <c r="F795" s="1316"/>
      <c r="G795" s="988"/>
      <c r="I795" s="490"/>
    </row>
    <row r="796" spans="1:9" ht="14.25">
      <c r="A796" s="175"/>
      <c r="B796" s="175"/>
      <c r="C796" s="989"/>
      <c r="D796" s="1316"/>
      <c r="E796" s="1316"/>
      <c r="F796" s="1316"/>
      <c r="G796" s="988"/>
      <c r="I796" s="490"/>
    </row>
    <row r="797" spans="1:9" ht="14.25">
      <c r="A797" s="175"/>
      <c r="B797" s="175"/>
      <c r="C797" s="989"/>
      <c r="D797" s="118"/>
      <c r="E797" s="3"/>
      <c r="F797" s="3"/>
      <c r="G797" s="988"/>
      <c r="I797" s="490"/>
    </row>
    <row r="798" spans="1:9" ht="14.25">
      <c r="A798" s="175"/>
      <c r="B798" s="485" t="s">
        <v>2738</v>
      </c>
      <c r="C798" s="989"/>
      <c r="D798" s="1316" t="s">
        <v>1759</v>
      </c>
      <c r="E798" s="1316"/>
      <c r="F798" s="1316"/>
      <c r="G798" s="988"/>
      <c r="I798" s="483"/>
    </row>
    <row r="799" spans="1:9" ht="14.25">
      <c r="A799" s="175"/>
      <c r="B799" s="175"/>
      <c r="C799" s="989"/>
      <c r="D799" s="1316"/>
      <c r="E799" s="1316"/>
      <c r="F799" s="1316"/>
      <c r="G799" s="988"/>
      <c r="I799" s="490"/>
    </row>
    <row r="800" spans="1:9" ht="14.25">
      <c r="A800" s="175"/>
      <c r="B800" s="175"/>
      <c r="C800" s="989"/>
      <c r="D800" s="1316"/>
      <c r="E800" s="1316"/>
      <c r="F800" s="1316"/>
      <c r="G800" s="988"/>
      <c r="I800" s="490"/>
    </row>
    <row r="801" spans="1:9" ht="14.25">
      <c r="A801" s="175"/>
      <c r="B801" s="175"/>
      <c r="C801" s="989"/>
      <c r="D801" s="1316"/>
      <c r="E801" s="1316"/>
      <c r="F801" s="1316"/>
      <c r="G801" s="988"/>
      <c r="I801" s="490"/>
    </row>
    <row r="802" spans="1:9" ht="14.25">
      <c r="A802" s="175"/>
      <c r="B802" s="175"/>
      <c r="C802" s="989"/>
      <c r="D802" s="1316"/>
      <c r="E802" s="1316"/>
      <c r="F802" s="1316"/>
      <c r="G802" s="988"/>
      <c r="I802" s="490"/>
    </row>
    <row r="803" spans="1:9" ht="14.25">
      <c r="A803" s="175"/>
      <c r="B803" s="175"/>
      <c r="C803" s="989"/>
      <c r="D803" s="1316"/>
      <c r="E803" s="1316"/>
      <c r="F803" s="1316"/>
      <c r="G803" s="988"/>
      <c r="I803" s="490"/>
    </row>
    <row r="804" spans="1:9" ht="14.25">
      <c r="A804" s="175"/>
      <c r="B804" s="175"/>
      <c r="C804" s="989"/>
      <c r="D804" s="1316" t="s">
        <v>1802</v>
      </c>
      <c r="E804" s="1316"/>
      <c r="F804" s="1316"/>
      <c r="G804" s="988"/>
      <c r="I804" s="490"/>
    </row>
    <row r="805" spans="1:9" ht="14.25">
      <c r="A805" s="175"/>
      <c r="B805" s="175"/>
      <c r="C805" s="989"/>
      <c r="D805" s="1316"/>
      <c r="E805" s="1316"/>
      <c r="F805" s="1316"/>
      <c r="G805" s="988"/>
      <c r="I805" s="490"/>
    </row>
    <row r="806" spans="1:9" ht="14.25">
      <c r="A806" s="175"/>
      <c r="B806" s="175"/>
      <c r="C806" s="989"/>
      <c r="D806" s="1316"/>
      <c r="E806" s="1316"/>
      <c r="F806" s="1316"/>
      <c r="G806" s="988"/>
      <c r="I806" s="490"/>
    </row>
    <row r="807" spans="1:9" ht="14.25">
      <c r="A807" s="175"/>
      <c r="B807" s="354"/>
      <c r="C807" s="989"/>
      <c r="D807" s="990"/>
      <c r="E807" s="990"/>
      <c r="F807" s="990"/>
      <c r="G807" s="988"/>
      <c r="I807" s="490"/>
    </row>
    <row r="808" spans="1:9" ht="14.25">
      <c r="A808" s="175"/>
      <c r="B808" s="485" t="s">
        <v>2738</v>
      </c>
      <c r="C808" s="989"/>
      <c r="D808" s="1316" t="s">
        <v>1760</v>
      </c>
      <c r="E808" s="1316"/>
      <c r="F808" s="1316"/>
      <c r="G808" s="988"/>
      <c r="I808" s="483"/>
    </row>
    <row r="809" spans="1:9" ht="14.25">
      <c r="A809" s="175"/>
      <c r="B809" s="175"/>
      <c r="C809" s="989"/>
      <c r="D809" s="1316"/>
      <c r="E809" s="1316"/>
      <c r="F809" s="1316"/>
      <c r="G809" s="988"/>
      <c r="I809" s="490"/>
    </row>
    <row r="810" spans="1:9" ht="14.25">
      <c r="A810" s="175"/>
      <c r="B810" s="175"/>
      <c r="C810" s="989"/>
      <c r="D810" s="1316"/>
      <c r="E810" s="1316"/>
      <c r="F810" s="1316"/>
      <c r="G810" s="988"/>
      <c r="I810" s="490"/>
    </row>
    <row r="811" spans="1:9" ht="14.25">
      <c r="A811" s="175"/>
      <c r="B811" s="175"/>
      <c r="C811" s="989"/>
      <c r="D811" s="1316"/>
      <c r="E811" s="1316"/>
      <c r="F811" s="1316"/>
      <c r="G811" s="988"/>
      <c r="I811" s="490"/>
    </row>
    <row r="812" spans="1:9" ht="14.25">
      <c r="A812" s="175"/>
      <c r="B812" s="175"/>
      <c r="C812" s="989"/>
      <c r="D812" s="1316"/>
      <c r="E812" s="1316"/>
      <c r="F812" s="1316"/>
      <c r="G812" s="988"/>
      <c r="I812" s="490"/>
    </row>
    <row r="813" spans="1:9" ht="14.25">
      <c r="A813" s="175"/>
      <c r="B813" s="175"/>
      <c r="C813" s="989"/>
      <c r="D813" s="1316"/>
      <c r="E813" s="1316"/>
      <c r="F813" s="1316"/>
      <c r="G813" s="988"/>
      <c r="I813" s="490"/>
    </row>
    <row r="814" spans="1:9" ht="14.25">
      <c r="A814" s="175"/>
      <c r="B814" s="175"/>
      <c r="C814" s="989"/>
      <c r="D814" s="982"/>
      <c r="E814" s="982"/>
      <c r="F814" s="982"/>
      <c r="G814" s="988"/>
      <c r="I814" s="490"/>
    </row>
    <row r="815" spans="1:9" ht="14.25">
      <c r="A815" s="175"/>
      <c r="B815" s="485" t="s">
        <v>2738</v>
      </c>
      <c r="C815" s="989"/>
      <c r="D815" s="1316" t="s">
        <v>1761</v>
      </c>
      <c r="E815" s="1316"/>
      <c r="F815" s="1316"/>
      <c r="G815" s="988"/>
      <c r="I815" s="483"/>
    </row>
    <row r="816" spans="1:9" ht="14.25">
      <c r="A816" s="175"/>
      <c r="B816" s="175"/>
      <c r="C816" s="989"/>
      <c r="D816" s="1316"/>
      <c r="E816" s="1316"/>
      <c r="F816" s="1316"/>
      <c r="G816" s="988"/>
      <c r="I816" s="490"/>
    </row>
    <row r="817" spans="1:9" ht="14.25">
      <c r="A817" s="175"/>
      <c r="B817" s="175"/>
      <c r="C817" s="989"/>
      <c r="D817" s="1316"/>
      <c r="E817" s="1316"/>
      <c r="F817" s="1316"/>
      <c r="G817" s="988"/>
      <c r="I817" s="490"/>
    </row>
    <row r="818" spans="1:9" ht="14.25">
      <c r="A818" s="175"/>
      <c r="B818" s="175"/>
      <c r="C818" s="989"/>
      <c r="D818" s="1316"/>
      <c r="E818" s="1316"/>
      <c r="F818" s="1316"/>
      <c r="G818" s="988"/>
      <c r="I818" s="490"/>
    </row>
    <row r="819" spans="1:9" ht="14.25">
      <c r="A819" s="175"/>
      <c r="B819" s="175"/>
      <c r="C819" s="989"/>
      <c r="D819" s="1316"/>
      <c r="E819" s="1316"/>
      <c r="F819" s="1316"/>
      <c r="G819" s="988"/>
      <c r="I819" s="490"/>
    </row>
    <row r="820" spans="1:9" ht="14.25">
      <c r="A820" s="175"/>
      <c r="B820" s="175"/>
      <c r="C820" s="989"/>
      <c r="D820" s="1316"/>
      <c r="E820" s="1316"/>
      <c r="F820" s="1316"/>
      <c r="G820" s="988"/>
      <c r="I820" s="490"/>
    </row>
    <row r="821" spans="1:9" ht="14.25">
      <c r="A821" s="175"/>
      <c r="B821" s="175"/>
      <c r="C821" s="989"/>
      <c r="D821" s="982"/>
      <c r="E821" s="982"/>
      <c r="F821" s="982"/>
      <c r="G821" s="988"/>
      <c r="I821" s="490"/>
    </row>
    <row r="822" spans="1:9" ht="14.25">
      <c r="A822" s="175"/>
      <c r="B822" s="485" t="s">
        <v>2738</v>
      </c>
      <c r="C822" s="989"/>
      <c r="D822" s="1288" t="s">
        <v>1762</v>
      </c>
      <c r="E822" s="1288"/>
      <c r="F822" s="1288"/>
      <c r="G822" s="988"/>
      <c r="I822" s="483"/>
    </row>
    <row r="823" spans="1:9" ht="14.25">
      <c r="A823" s="175"/>
      <c r="B823" s="175"/>
      <c r="C823" s="989"/>
      <c r="D823" s="1288"/>
      <c r="E823" s="1288"/>
      <c r="F823" s="1288"/>
      <c r="G823" s="988"/>
      <c r="I823" s="490"/>
    </row>
    <row r="824" spans="1:9">
      <c r="A824" s="13"/>
      <c r="B824" s="13"/>
      <c r="C824" s="989"/>
      <c r="D824" s="1288"/>
      <c r="E824" s="1288"/>
      <c r="F824" s="1288"/>
      <c r="G824" s="988"/>
      <c r="I824" s="490"/>
    </row>
    <row r="825" spans="1:9" ht="14.25">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1763</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1803</v>
      </c>
      <c r="E831" s="1313"/>
      <c r="F831" s="1313"/>
      <c r="G831" s="3"/>
      <c r="I831" s="490"/>
    </row>
    <row r="832" spans="1:9" ht="14.25" customHeight="1">
      <c r="A832" s="175"/>
      <c r="B832" s="175"/>
      <c r="C832" s="354"/>
      <c r="D832" s="1260" t="s">
        <v>1764</v>
      </c>
      <c r="E832" s="1260"/>
      <c r="F832" s="1260"/>
      <c r="G832" s="3"/>
      <c r="I832" s="490"/>
    </row>
    <row r="833" spans="1:9" ht="12.75" customHeight="1">
      <c r="A833" s="175"/>
      <c r="B833" s="175"/>
      <c r="C833" s="354"/>
      <c r="D833" s="441"/>
      <c r="E833" s="441"/>
      <c r="F833" s="441"/>
      <c r="G833" s="3"/>
      <c r="I833" s="490"/>
    </row>
    <row r="834" spans="1:9" ht="12.75" customHeight="1">
      <c r="A834" s="354"/>
      <c r="B834" s="485" t="s">
        <v>2737</v>
      </c>
      <c r="C834" s="989"/>
      <c r="D834" s="1260" t="s">
        <v>1765</v>
      </c>
      <c r="E834" s="1260"/>
      <c r="F834" s="1260"/>
      <c r="G834" s="3"/>
      <c r="I834" s="490" t="s">
        <v>1879</v>
      </c>
    </row>
    <row r="835" spans="1:9" ht="14.25" customHeight="1">
      <c r="A835" s="13"/>
      <c r="B835" s="13"/>
      <c r="C835" s="989"/>
      <c r="E835" s="1036" t="s">
        <v>1895</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18" t="s">
        <v>2075</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2737</v>
      </c>
      <c r="C848" s="989"/>
      <c r="D848" s="1260" t="s">
        <v>1766</v>
      </c>
      <c r="E848" s="1260"/>
      <c r="F848" s="1260"/>
      <c r="G848" s="3"/>
      <c r="I848" s="490" t="s">
        <v>1882</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2738</v>
      </c>
      <c r="C852" s="989"/>
      <c r="D852" s="1313" t="s">
        <v>1767</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2068</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2738</v>
      </c>
      <c r="C861" s="989"/>
      <c r="D861" s="1260" t="s">
        <v>1768</v>
      </c>
      <c r="E861" s="1260"/>
      <c r="F861" s="1260"/>
      <c r="G861" s="3"/>
      <c r="I861" s="490" t="s">
        <v>1880</v>
      </c>
    </row>
    <row r="862" spans="1:9" ht="12.75" customHeight="1">
      <c r="A862" s="175"/>
      <c r="B862" s="175"/>
      <c r="C862" s="989"/>
      <c r="D862" s="1260" t="s">
        <v>1769</v>
      </c>
      <c r="E862" s="1260"/>
      <c r="F862" s="1260"/>
      <c r="G862" s="3"/>
      <c r="I862" s="490"/>
    </row>
    <row r="863" spans="1:9" ht="12.75" customHeight="1">
      <c r="A863" s="175"/>
      <c r="B863" s="175"/>
      <c r="C863" s="989"/>
      <c r="E863" s="1036" t="s">
        <v>1897</v>
      </c>
      <c r="F863" s="1038"/>
      <c r="G863" s="3"/>
      <c r="I863" s="490"/>
    </row>
    <row r="864" spans="1:9" ht="12.75" customHeight="1">
      <c r="A864" s="175"/>
      <c r="B864" s="175"/>
      <c r="C864" s="989"/>
      <c r="D864" s="118"/>
      <c r="E864" s="3"/>
      <c r="F864" s="3"/>
      <c r="G864" s="3"/>
      <c r="I864" s="490"/>
    </row>
    <row r="865" spans="1:9" ht="12.75" customHeight="1">
      <c r="A865" s="175"/>
      <c r="B865" s="485" t="s">
        <v>2738</v>
      </c>
      <c r="C865" s="989"/>
      <c r="D865" s="1260" t="s">
        <v>1770</v>
      </c>
      <c r="E865" s="1260"/>
      <c r="F865" s="1260"/>
      <c r="G865" s="3"/>
      <c r="I865" s="490" t="s">
        <v>1883</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1804</v>
      </c>
      <c r="E872" s="1322"/>
      <c r="F872" s="1322"/>
      <c r="G872" s="988"/>
      <c r="I872" s="490"/>
    </row>
    <row r="873" spans="1:9" ht="12.75" customHeight="1">
      <c r="A873" s="354"/>
      <c r="B873" s="354"/>
      <c r="C873" s="174"/>
      <c r="D873" s="1317" t="s">
        <v>1772</v>
      </c>
      <c r="E873" s="1317"/>
      <c r="F873" s="1317"/>
      <c r="G873" s="988"/>
      <c r="I873" s="490"/>
    </row>
    <row r="874" spans="1:9" ht="12.75" customHeight="1">
      <c r="A874" s="354"/>
      <c r="B874" s="354"/>
      <c r="C874" s="174"/>
      <c r="D874" s="995"/>
      <c r="E874" s="995"/>
      <c r="F874" s="995"/>
      <c r="G874" s="988"/>
      <c r="I874" s="490"/>
    </row>
    <row r="875" spans="1:9" ht="12.75" customHeight="1">
      <c r="A875" s="175"/>
      <c r="B875" s="485" t="s">
        <v>2737</v>
      </c>
      <c r="C875" s="354"/>
      <c r="D875" s="1300" t="s">
        <v>1773</v>
      </c>
      <c r="E875" s="1300"/>
      <c r="F875" s="1300"/>
      <c r="G875" s="988"/>
      <c r="I875" s="490" t="s">
        <v>1880</v>
      </c>
    </row>
    <row r="876" spans="1:9" ht="12.75" customHeight="1">
      <c r="A876" s="354"/>
      <c r="B876" s="354"/>
      <c r="C876" s="354"/>
      <c r="D876" s="2" t="s">
        <v>1748</v>
      </c>
      <c r="E876" s="1036" t="s">
        <v>1897</v>
      </c>
      <c r="F876" s="1039"/>
      <c r="G876" s="988"/>
      <c r="I876" s="490"/>
    </row>
    <row r="877" spans="1:9" ht="12.75" customHeight="1">
      <c r="A877" s="354"/>
      <c r="B877" s="354"/>
      <c r="C877" s="354"/>
      <c r="D877" s="118"/>
      <c r="E877" s="988"/>
      <c r="F877" s="988"/>
      <c r="G877" s="988"/>
      <c r="I877" s="490"/>
    </row>
    <row r="878" spans="1:9" ht="12.75" customHeight="1">
      <c r="A878" s="175"/>
      <c r="B878" s="485" t="s">
        <v>2737</v>
      </c>
      <c r="C878" s="354"/>
      <c r="D878" s="1260" t="s">
        <v>1774</v>
      </c>
      <c r="E878" s="1310"/>
      <c r="F878" s="1310"/>
      <c r="G878" s="3"/>
      <c r="I878" s="490" t="s">
        <v>1883</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2738</v>
      </c>
      <c r="C881" s="354"/>
      <c r="D881" s="1311" t="s">
        <v>1775</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2068</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2738</v>
      </c>
      <c r="C890" s="354"/>
      <c r="D890" s="1301" t="s">
        <v>1768</v>
      </c>
      <c r="E890" s="1301"/>
      <c r="F890" s="1301"/>
      <c r="G890" s="988"/>
      <c r="I890" s="490"/>
    </row>
    <row r="891" spans="1:9" ht="12.75" customHeight="1">
      <c r="A891" s="175"/>
      <c r="B891" s="175"/>
      <c r="C891" s="354"/>
      <c r="D891" s="1301" t="s">
        <v>1769</v>
      </c>
      <c r="E891" s="1301"/>
      <c r="F891" s="1301"/>
      <c r="G891" s="988"/>
      <c r="I891" s="490"/>
    </row>
    <row r="892" spans="1:9" ht="12.75" customHeight="1">
      <c r="A892" s="175"/>
      <c r="B892" s="175"/>
      <c r="C892" s="354"/>
      <c r="D892" s="2" t="s">
        <v>1270</v>
      </c>
      <c r="E892" s="1036" t="s">
        <v>1897</v>
      </c>
      <c r="F892" s="1040"/>
      <c r="G892" s="988"/>
      <c r="I892" s="490"/>
    </row>
    <row r="893" spans="1:9" ht="12.75" customHeight="1">
      <c r="A893" s="175"/>
      <c r="B893" s="175"/>
      <c r="C893" s="354"/>
      <c r="D893" s="118"/>
      <c r="E893" s="988"/>
      <c r="F893" s="988"/>
      <c r="G893" s="988"/>
      <c r="I893" s="490"/>
    </row>
    <row r="894" spans="1:9" ht="12.75" customHeight="1">
      <c r="A894" s="175"/>
      <c r="B894" s="485" t="s">
        <v>2738</v>
      </c>
      <c r="C894" s="354"/>
      <c r="D894" s="1260" t="s">
        <v>1770</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1805</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1811</v>
      </c>
      <c r="E901" s="1325"/>
      <c r="F901" s="1325"/>
      <c r="G901" s="57"/>
      <c r="I901" s="490"/>
    </row>
    <row r="902" spans="1:9" ht="12.75" customHeight="1">
      <c r="A902" s="57"/>
      <c r="B902" s="57"/>
      <c r="C902" s="57"/>
      <c r="D902" s="981"/>
      <c r="E902" s="981"/>
      <c r="F902" s="981"/>
      <c r="G902" s="57"/>
      <c r="I902" s="490"/>
    </row>
    <row r="903" spans="1:9" ht="12.75" customHeight="1">
      <c r="A903" s="57"/>
      <c r="B903" s="485" t="s">
        <v>2737</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1806</v>
      </c>
      <c r="E905" s="1325"/>
      <c r="F905" s="1325"/>
      <c r="G905" s="988"/>
      <c r="I905" s="490"/>
    </row>
    <row r="906" spans="1:9" ht="12.75" customHeight="1">
      <c r="A906" s="172"/>
      <c r="B906" s="172"/>
      <c r="C906" s="172"/>
      <c r="D906" s="1300" t="s">
        <v>1776</v>
      </c>
      <c r="E906" s="1300"/>
      <c r="F906" s="1300"/>
      <c r="G906" s="988"/>
      <c r="I906" s="490"/>
    </row>
    <row r="907" spans="1:9" ht="12.75" customHeight="1">
      <c r="A907" s="989"/>
      <c r="B907" s="989"/>
      <c r="C907" s="989"/>
      <c r="D907" s="2"/>
      <c r="E907" s="988"/>
      <c r="F907" s="988"/>
      <c r="G907" s="988"/>
      <c r="I907" s="490"/>
    </row>
    <row r="908" spans="1:9" ht="12.75" customHeight="1">
      <c r="A908" s="175"/>
      <c r="B908" s="485" t="s">
        <v>2737</v>
      </c>
      <c r="C908" s="354"/>
      <c r="D908" s="1260" t="s">
        <v>1780</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1779</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2737</v>
      </c>
      <c r="C913" s="174"/>
      <c r="D913" s="1264" t="s">
        <v>1777</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2738</v>
      </c>
      <c r="C922" s="989"/>
      <c r="D922" s="1260" t="s">
        <v>1781</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2738</v>
      </c>
      <c r="C925" s="989"/>
      <c r="D925" s="1288" t="s">
        <v>1782</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2738</v>
      </c>
      <c r="C930" s="989"/>
      <c r="D930" s="1300" t="s">
        <v>2069</v>
      </c>
      <c r="E930" s="1300"/>
      <c r="F930" s="1300"/>
      <c r="G930" s="988"/>
      <c r="I930" s="490"/>
    </row>
    <row r="931" spans="1:9" ht="12.75" customHeight="1">
      <c r="A931" s="989"/>
      <c r="B931" s="989"/>
      <c r="C931" s="989"/>
      <c r="D931" s="118"/>
      <c r="E931" s="988"/>
      <c r="F931" s="988"/>
      <c r="G931" s="988"/>
      <c r="I931" s="490"/>
    </row>
    <row r="932" spans="1:9" ht="12.75" customHeight="1">
      <c r="A932" s="989"/>
      <c r="B932" s="485" t="s">
        <v>2738</v>
      </c>
      <c r="C932" s="989"/>
      <c r="D932" s="1300" t="s">
        <v>2070</v>
      </c>
      <c r="E932" s="1300"/>
      <c r="F932" s="1300"/>
      <c r="G932" s="988"/>
      <c r="I932" s="490"/>
    </row>
    <row r="933" spans="1:9" ht="12.75" customHeight="1">
      <c r="A933" s="174"/>
      <c r="B933" s="174"/>
      <c r="C933" s="174"/>
      <c r="D933" s="2"/>
      <c r="E933" s="3"/>
      <c r="F933" s="988"/>
      <c r="G933" s="988"/>
      <c r="I933" s="490"/>
    </row>
    <row r="934" spans="1:9" ht="12.75" customHeight="1">
      <c r="A934" s="997"/>
      <c r="B934" s="485" t="s">
        <v>2738</v>
      </c>
      <c r="C934" s="998"/>
      <c r="D934" s="1264" t="s">
        <v>1778</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2737</v>
      </c>
      <c r="C944" s="174"/>
      <c r="D944" s="1319" t="s">
        <v>1886</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2737</v>
      </c>
      <c r="C952" s="174"/>
      <c r="D952" s="1263" t="s">
        <v>2137</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2738</v>
      </c>
      <c r="C959" s="989"/>
      <c r="D959" s="1288" t="s">
        <v>1783</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2738</v>
      </c>
      <c r="C964" s="174"/>
      <c r="D964" s="1264" t="s">
        <v>1885</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1784</v>
      </c>
      <c r="E969" s="1322"/>
      <c r="F969" s="1322"/>
      <c r="G969" s="3"/>
      <c r="I969" s="490"/>
    </row>
    <row r="970" spans="1:9" ht="12.75" customHeight="1">
      <c r="A970" s="175"/>
      <c r="B970" s="485" t="s">
        <v>2738</v>
      </c>
      <c r="C970" s="354"/>
      <c r="D970" s="1300" t="s">
        <v>1807</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1785</v>
      </c>
      <c r="E972" s="1322"/>
      <c r="F972" s="1322"/>
      <c r="G972"/>
      <c r="I972" s="490"/>
    </row>
    <row r="973" spans="1:9" ht="12.75" customHeight="1">
      <c r="A973" s="175"/>
      <c r="B973" s="485" t="s">
        <v>2737</v>
      </c>
      <c r="C973" s="354"/>
      <c r="D973" s="1260" t="s">
        <v>2071</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1786</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1808</v>
      </c>
      <c r="E991" s="1322"/>
      <c r="F991" s="1322"/>
      <c r="G991" s="3"/>
      <c r="I991" s="490"/>
    </row>
    <row r="992" spans="1:9" ht="12.75" customHeight="1">
      <c r="A992" s="172"/>
      <c r="B992" s="172"/>
      <c r="C992" s="172"/>
      <c r="D992" s="1300" t="s">
        <v>1787</v>
      </c>
      <c r="E992" s="1300"/>
      <c r="F992" s="1300"/>
      <c r="G992" s="3"/>
      <c r="I992" s="490"/>
    </row>
    <row r="993" spans="1:9" ht="12.75" customHeight="1">
      <c r="A993" s="172"/>
      <c r="B993" s="172"/>
      <c r="C993" s="172"/>
      <c r="D993" s="3"/>
      <c r="E993" s="3"/>
      <c r="F993" s="988"/>
      <c r="G993"/>
      <c r="I993" s="490"/>
    </row>
    <row r="994" spans="1:9" ht="12.75" customHeight="1">
      <c r="A994" s="354"/>
      <c r="B994" s="485" t="s">
        <v>2737</v>
      </c>
      <c r="C994" s="354"/>
      <c r="D994" s="1324" t="s">
        <v>1915</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1916</v>
      </c>
      <c r="F996" s="1038"/>
      <c r="G996"/>
      <c r="I996" s="490"/>
    </row>
    <row r="997" spans="1:9" ht="12.75" customHeight="1">
      <c r="A997" s="354"/>
      <c r="B997" s="354"/>
      <c r="C997" s="354"/>
      <c r="D997" s="1266" t="s">
        <v>1914</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2738</v>
      </c>
      <c r="C1002" s="174"/>
      <c r="D1002" s="1260" t="s">
        <v>1788</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2738</v>
      </c>
      <c r="C1007" s="174"/>
      <c r="D1007" s="1260" t="s">
        <v>2229</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2738</v>
      </c>
      <c r="C1010" s="354"/>
      <c r="D1010" s="1300" t="s">
        <v>1789</v>
      </c>
      <c r="E1010" s="1300"/>
      <c r="F1010" s="1300"/>
      <c r="G1010"/>
      <c r="I1010" s="490"/>
    </row>
    <row r="1011" spans="1:9" ht="12.75" customHeight="1">
      <c r="A1011" s="354"/>
      <c r="B1011" s="354"/>
      <c r="C1011" s="354"/>
      <c r="D1011" s="3"/>
      <c r="E1011" s="3"/>
      <c r="F1011" s="3"/>
      <c r="G1011"/>
      <c r="I1011" s="490"/>
    </row>
    <row r="1012" spans="1:9" ht="12.75" customHeight="1">
      <c r="A1012" s="175"/>
      <c r="B1012" s="485" t="s">
        <v>2738</v>
      </c>
      <c r="C1012" s="354"/>
      <c r="D1012" s="1300" t="s">
        <v>1790</v>
      </c>
      <c r="E1012" s="1300"/>
      <c r="F1012" s="1300"/>
      <c r="G1012"/>
      <c r="I1012" s="490"/>
    </row>
    <row r="1013" spans="1:9" ht="12.75" customHeight="1">
      <c r="A1013" s="354"/>
      <c r="B1013" s="354"/>
      <c r="C1013" s="354"/>
      <c r="D1013" s="118"/>
      <c r="E1013" s="3"/>
      <c r="F1013" s="3"/>
      <c r="G1013"/>
      <c r="I1013" s="490"/>
    </row>
    <row r="1014" spans="1:9" ht="12.75" customHeight="1">
      <c r="A1014" s="175"/>
      <c r="B1014" s="485" t="s">
        <v>2737</v>
      </c>
      <c r="C1014" s="354"/>
      <c r="D1014" s="1300" t="s">
        <v>1791</v>
      </c>
      <c r="E1014" s="1300"/>
      <c r="F1014" s="1300"/>
      <c r="G1014"/>
      <c r="I1014" s="490"/>
    </row>
    <row r="1015" spans="1:9" ht="12.75" customHeight="1">
      <c r="A1015" s="354"/>
      <c r="B1015" s="354"/>
      <c r="C1015" s="354"/>
      <c r="D1015" s="118"/>
      <c r="E1015" s="3"/>
      <c r="F1015" s="3"/>
      <c r="G1015"/>
      <c r="I1015" s="490"/>
    </row>
    <row r="1016" spans="1:9" ht="12.75" customHeight="1">
      <c r="A1016" s="175"/>
      <c r="B1016" s="485" t="s">
        <v>2737</v>
      </c>
      <c r="C1016" s="354"/>
      <c r="D1016" s="1260" t="s">
        <v>1792</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2738</v>
      </c>
      <c r="C1019" s="1000"/>
      <c r="D1019" s="1316" t="s">
        <v>1793</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2738</v>
      </c>
      <c r="C1022" s="1000"/>
      <c r="D1022" s="1323" t="s">
        <v>1794</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2738</v>
      </c>
      <c r="C1024" s="354"/>
      <c r="D1024" s="1300" t="s">
        <v>1795</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2738</v>
      </c>
      <c r="C1026" s="354"/>
      <c r="D1026" s="1260" t="s">
        <v>1796</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1797</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1798</v>
      </c>
      <c r="E1031" s="1325"/>
      <c r="F1031" s="1325"/>
      <c r="G1031" s="3"/>
      <c r="I1031" s="490"/>
    </row>
    <row r="1032" spans="1:9" ht="12.75" customHeight="1">
      <c r="A1032" s="354"/>
      <c r="B1032" s="354"/>
      <c r="C1032" s="354"/>
      <c r="D1032" s="1323" t="s">
        <v>1799</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1813</v>
      </c>
      <c r="E1034" s="1325"/>
      <c r="F1034" s="1325"/>
      <c r="G1034" s="3"/>
      <c r="I1034" s="490"/>
    </row>
    <row r="1035" spans="1:9" ht="12.75" customHeight="1">
      <c r="A1035" s="354"/>
      <c r="B1035" s="485" t="s">
        <v>2737</v>
      </c>
      <c r="C1035" s="354"/>
      <c r="D1035" s="1323" t="s">
        <v>1271</v>
      </c>
      <c r="E1035" s="1323"/>
      <c r="F1035" s="1323"/>
      <c r="G1035" s="3"/>
      <c r="I1035" s="490"/>
    </row>
    <row r="1036" spans="1:9" ht="12.75" customHeight="1">
      <c r="A1036" s="354"/>
      <c r="B1036" s="175"/>
      <c r="C1036" s="354"/>
      <c r="D1036" s="1323" t="s">
        <v>1800</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1809</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1272</v>
      </c>
      <c r="E1040" s="1330"/>
      <c r="F1040" s="1330"/>
      <c r="G1040" s="3"/>
      <c r="I1040" s="490"/>
    </row>
    <row r="1041" spans="1:9" ht="12.75" hidden="1" customHeight="1">
      <c r="A1041" s="118"/>
      <c r="B1041" s="485" t="s">
        <v>306</v>
      </c>
      <c r="D1041" s="1292" t="s">
        <v>1271</v>
      </c>
      <c r="E1041" s="1292"/>
      <c r="F1041" s="1292"/>
      <c r="G1041" s="3"/>
      <c r="I1041" s="490"/>
    </row>
    <row r="1042" spans="1:9" ht="12.75" hidden="1" customHeight="1">
      <c r="A1042" s="118"/>
      <c r="B1042" s="402"/>
      <c r="D1042" s="1292" t="s">
        <v>1810</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1065</v>
      </c>
      <c r="E1044" s="1331"/>
      <c r="F1044" s="1331"/>
      <c r="G1044" s="3"/>
      <c r="I1044" s="490"/>
    </row>
    <row r="1045" spans="1:9" ht="12.75" customHeight="1">
      <c r="A1045" s="319"/>
      <c r="B1045" s="319"/>
      <c r="C1045" s="319"/>
      <c r="D1045" s="1301" t="s">
        <v>2247</v>
      </c>
      <c r="E1045" s="1301"/>
      <c r="F1045" s="1301"/>
      <c r="G1045" s="98"/>
      <c r="I1045" s="490"/>
    </row>
    <row r="1046" spans="1:9" ht="12.75" customHeight="1">
      <c r="A1046" s="175"/>
      <c r="B1046" s="485" t="s">
        <v>2738</v>
      </c>
      <c r="C1046" s="354"/>
      <c r="D1046" s="1301" t="s">
        <v>984</v>
      </c>
      <c r="E1046" s="1301"/>
      <c r="F1046" s="1301"/>
      <c r="G1046" s="3"/>
      <c r="I1046" s="490"/>
    </row>
    <row r="1047" spans="1:9" ht="12.75" customHeight="1">
      <c r="A1047" s="354"/>
      <c r="B1047" s="354"/>
      <c r="C1047" s="354"/>
      <c r="D1047" s="1036" t="s">
        <v>1917</v>
      </c>
      <c r="E1047" s="96"/>
      <c r="F1047" s="96"/>
      <c r="G1047" s="3"/>
      <c r="I1047" s="490"/>
    </row>
    <row r="1048" spans="1:9">
      <c r="A1048" s="402"/>
      <c r="B1048" s="402"/>
      <c r="C1048" s="402"/>
      <c r="I1048" s="490"/>
    </row>
    <row r="1049" spans="1:9">
      <c r="A1049" s="1309" t="s">
        <v>1830</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2738</v>
      </c>
      <c r="C1054" s="402"/>
      <c r="D1054" s="1327" t="s">
        <v>1814</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2738</v>
      </c>
      <c r="C1062" s="402"/>
      <c r="D1062" s="402" t="s">
        <v>1812</v>
      </c>
      <c r="I1062" s="490"/>
    </row>
    <row r="1063" spans="1:9">
      <c r="A1063" s="402"/>
      <c r="B1063" s="402"/>
      <c r="C1063" s="402"/>
      <c r="I1063" s="490"/>
    </row>
    <row r="1064" spans="1:9">
      <c r="A1064" s="402"/>
      <c r="B1064" s="485" t="s">
        <v>2737</v>
      </c>
      <c r="C1064" s="402"/>
      <c r="D1064" s="1327" t="s">
        <v>1818</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1819</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2737</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2738</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2738</v>
      </c>
      <c r="C1079" s="402"/>
      <c r="D1079" s="119" t="s">
        <v>1828</v>
      </c>
      <c r="I1079" s="490"/>
    </row>
    <row r="1080" spans="1:9">
      <c r="A1080" s="402"/>
      <c r="B1080" s="402"/>
      <c r="C1080" s="402"/>
      <c r="D1080" s="1260" t="s">
        <v>1829</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2738</v>
      </c>
      <c r="C1087" s="402"/>
      <c r="D1087" s="1326" t="s">
        <v>1821</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1826</v>
      </c>
      <c r="I1092" s="490"/>
    </row>
    <row r="1093" spans="1:9">
      <c r="A1093" s="402"/>
      <c r="B1093" s="402"/>
      <c r="C1093" s="402"/>
      <c r="I1093" s="490"/>
    </row>
    <row r="1094" spans="1:9">
      <c r="A1094" s="402"/>
      <c r="B1094" s="485" t="s">
        <v>2738</v>
      </c>
      <c r="C1094" s="402"/>
      <c r="D1094" s="1276" t="s">
        <v>2280</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1831</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2738</v>
      </c>
      <c r="C1101" s="402"/>
      <c r="D1101" s="1328" t="s">
        <v>1929</v>
      </c>
      <c r="E1101" s="1328"/>
      <c r="F1101" s="1328"/>
      <c r="I1101" s="490"/>
    </row>
    <row r="1102" spans="1:9">
      <c r="A1102" s="402"/>
      <c r="B1102" s="402"/>
      <c r="C1102" s="402"/>
      <c r="D1102" s="1328"/>
      <c r="E1102" s="1328"/>
      <c r="F1102" s="1328"/>
      <c r="I1102" s="490"/>
    </row>
    <row r="1103" spans="1:9">
      <c r="A1103" s="402"/>
      <c r="B1103" s="402"/>
      <c r="C1103" s="402"/>
      <c r="D1103" s="1329" t="s">
        <v>2143</v>
      </c>
      <c r="E1103" s="1260"/>
      <c r="F1103" s="1260"/>
      <c r="I1103" s="490"/>
    </row>
    <row r="1104" spans="1:9">
      <c r="A1104" s="402"/>
      <c r="B1104" s="402"/>
      <c r="C1104" s="402"/>
      <c r="D1104" s="527"/>
      <c r="I1104" s="490"/>
    </row>
    <row r="1105" spans="1:9">
      <c r="A1105" s="402"/>
      <c r="B1105" s="485" t="s">
        <v>2738</v>
      </c>
      <c r="C1105" s="402"/>
      <c r="D1105" s="1326" t="s">
        <v>1832</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2738</v>
      </c>
      <c r="C1108" s="402"/>
      <c r="D1108" s="1326" t="s">
        <v>1887</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c r="A1114" s="402"/>
      <c r="B1114" s="402"/>
      <c r="C1114" s="402"/>
      <c r="D1114" s="527"/>
      <c r="I1114" s="480"/>
    </row>
    <row r="1115" spans="1:9">
      <c r="A1115" s="402"/>
      <c r="B1115" s="485" t="s">
        <v>2737</v>
      </c>
      <c r="C1115" s="402"/>
      <c r="D1115" s="1326" t="s">
        <v>1833</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2737</v>
      </c>
      <c r="C1119" s="402"/>
      <c r="D1119" s="1266" t="s">
        <v>1888</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2738</v>
      </c>
      <c r="C1123" s="402"/>
      <c r="D1123" s="1260" t="s">
        <v>1889</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431" workbookViewId="0">
      <selection activeCell="W475" sqref="W475"/>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2496</v>
      </c>
      <c r="BE1" s="3"/>
      <c r="BF1" s="3"/>
    </row>
    <row r="2" spans="1:58" ht="12.95" customHeight="1">
      <c r="BD2" s="3" t="s">
        <v>2497</v>
      </c>
      <c r="BE2" s="3" t="s">
        <v>2498</v>
      </c>
      <c r="BF2" s="3" t="s">
        <v>2499</v>
      </c>
    </row>
    <row r="3" spans="1:58" ht="12.95" customHeight="1">
      <c r="BD3" s="3" t="s">
        <v>2594</v>
      </c>
      <c r="BE3" t="str">
        <f>AC220</f>
        <v>Bay Area ((Alameda, Contra Costa, Marin, San Francisco, San Mateo, Santa Clara, and Santa Cruz Counties)</v>
      </c>
    </row>
    <row r="4" spans="1:58" ht="12.95" customHeight="1">
      <c r="BD4" s="3" t="s">
        <v>2506</v>
      </c>
      <c r="BE4" s="1246"/>
    </row>
    <row r="5" spans="1:58" ht="12.95" customHeight="1">
      <c r="BD5" s="3" t="s">
        <v>2507</v>
      </c>
      <c r="BE5">
        <f>SUMIF($AC$718:$AC$752,"&lt;=20%",$G$718:G$752)</f>
        <v>0</v>
      </c>
      <c r="BF5" s="3" t="s">
        <v>2512</v>
      </c>
    </row>
    <row r="6" spans="1:58" ht="12.95" customHeight="1">
      <c r="BD6" s="3" t="s">
        <v>2508</v>
      </c>
      <c r="BE6" s="1249">
        <f>SUMIF($AC$718:$AC$752,"&lt;=25%",$G$718:G$752)-SUM($BE$5:BE5)</f>
        <v>0</v>
      </c>
    </row>
    <row r="7" spans="1:58" ht="12.95" customHeight="1">
      <c r="BD7" s="1247" t="s">
        <v>2500</v>
      </c>
      <c r="BE7" s="1249">
        <f>SUMIF($AC$718:$AC$752,"&lt;=30%",$G$718:G$752)-SUM($BE$5:BE6)</f>
        <v>23</v>
      </c>
    </row>
    <row r="8" spans="1:58" ht="26.25" customHeight="1">
      <c r="A8" s="1840" t="s">
        <v>100</v>
      </c>
      <c r="B8" s="1840"/>
      <c r="C8" s="1840"/>
      <c r="D8" s="1840"/>
      <c r="E8" s="1840"/>
      <c r="F8" s="1840"/>
      <c r="G8" s="1840"/>
      <c r="H8" s="1840"/>
      <c r="I8" s="1840"/>
      <c r="J8" s="1840"/>
      <c r="K8" s="1840"/>
      <c r="L8" s="1840"/>
      <c r="M8" s="1840"/>
      <c r="N8" s="1840"/>
      <c r="O8" s="1840"/>
      <c r="P8" s="1840"/>
      <c r="Q8" s="1840"/>
      <c r="R8" s="1840"/>
      <c r="S8" s="1840"/>
      <c r="T8" s="1840"/>
      <c r="U8" s="1840"/>
      <c r="V8" s="1840"/>
      <c r="W8" s="1840"/>
      <c r="X8" s="1840"/>
      <c r="Y8" s="1840"/>
      <c r="Z8" s="1840"/>
      <c r="AA8" s="1840"/>
      <c r="AB8" s="1840"/>
      <c r="AC8" s="1840"/>
      <c r="AD8" s="1840"/>
      <c r="AE8" s="1840"/>
      <c r="AF8" s="1840"/>
      <c r="AG8" s="1840"/>
      <c r="AH8" s="1840"/>
      <c r="AI8" s="1840"/>
      <c r="AJ8" s="1840"/>
      <c r="AK8" s="1840"/>
      <c r="AL8" s="1840"/>
      <c r="AM8" s="1840"/>
      <c r="AN8" s="1840"/>
      <c r="AO8" s="1840"/>
      <c r="AP8" s="1840"/>
      <c r="AQ8" s="1840"/>
      <c r="AR8" s="1840"/>
      <c r="AS8" s="1840"/>
      <c r="AT8" s="1840"/>
      <c r="AU8" s="898"/>
      <c r="AV8" s="898"/>
      <c r="AW8" s="898"/>
      <c r="AX8" s="898"/>
      <c r="AY8" s="898"/>
      <c r="BD8" s="3" t="s">
        <v>2509</v>
      </c>
      <c r="BE8" s="1249">
        <f>SUMIF($AC$718:$AC$752,"&lt;=35%",$G$718:G$752)-SUM($BE$5:BE7)</f>
        <v>0</v>
      </c>
    </row>
    <row r="9" spans="1:58" ht="12.95" customHeight="1">
      <c r="A9" s="1841" t="s">
        <v>2076</v>
      </c>
      <c r="B9" s="1841"/>
      <c r="C9" s="1841"/>
      <c r="D9" s="1841"/>
      <c r="E9" s="1841"/>
      <c r="F9" s="1841"/>
      <c r="G9" s="1841"/>
      <c r="H9" s="1841"/>
      <c r="I9" s="1841"/>
      <c r="J9" s="1841"/>
      <c r="K9" s="1841"/>
      <c r="L9" s="1841"/>
      <c r="M9" s="1841"/>
      <c r="N9" s="1841"/>
      <c r="O9" s="1841"/>
      <c r="P9" s="1841"/>
      <c r="Q9" s="1841"/>
      <c r="R9" s="1841"/>
      <c r="S9" s="1841"/>
      <c r="T9" s="1841"/>
      <c r="U9" s="1841"/>
      <c r="V9" s="1841"/>
      <c r="W9" s="1841"/>
      <c r="X9" s="1841"/>
      <c r="Y9" s="1841"/>
      <c r="Z9" s="1841"/>
      <c r="AA9" s="1841"/>
      <c r="AB9" s="1841"/>
      <c r="AC9" s="1841"/>
      <c r="AD9" s="1841"/>
      <c r="AE9" s="1841"/>
      <c r="AF9" s="1841"/>
      <c r="AG9" s="1841"/>
      <c r="AH9" s="1841"/>
      <c r="AI9" s="1841"/>
      <c r="AJ9" s="1841"/>
      <c r="AK9" s="1841"/>
      <c r="AL9" s="1841"/>
      <c r="AM9" s="1841"/>
      <c r="AN9" s="1841"/>
      <c r="AO9" s="1841"/>
      <c r="AP9" s="1841"/>
      <c r="AQ9" s="1841"/>
      <c r="AR9" s="1841"/>
      <c r="AS9" s="1841"/>
      <c r="AT9" s="1841"/>
      <c r="AU9" s="13"/>
      <c r="AV9" s="13"/>
      <c r="AW9" s="13"/>
      <c r="AX9" s="13"/>
      <c r="AY9" s="13"/>
      <c r="BD9" s="1248" t="s">
        <v>2501</v>
      </c>
      <c r="BE9" s="1249">
        <f>SUMIF($AC$718:$AC$752,"&lt;=40%",$G$718:G$752)-SUM($BE$5:BE8)</f>
        <v>0</v>
      </c>
    </row>
    <row r="10" spans="1:58" ht="12.95" customHeight="1">
      <c r="A10" s="1841" t="s">
        <v>2458</v>
      </c>
      <c r="B10" s="1841"/>
      <c r="C10" s="1841"/>
      <c r="D10" s="1841"/>
      <c r="E10" s="1841"/>
      <c r="F10" s="1841"/>
      <c r="G10" s="1841"/>
      <c r="H10" s="1841"/>
      <c r="I10" s="1841"/>
      <c r="J10" s="1841"/>
      <c r="K10" s="1841"/>
      <c r="L10" s="1841"/>
      <c r="M10" s="1841"/>
      <c r="N10" s="1841"/>
      <c r="O10" s="1841"/>
      <c r="P10" s="1841"/>
      <c r="Q10" s="1841"/>
      <c r="R10" s="1841"/>
      <c r="S10" s="1841"/>
      <c r="T10" s="1841"/>
      <c r="U10" s="1841"/>
      <c r="V10" s="1841"/>
      <c r="W10" s="1841"/>
      <c r="X10" s="1841"/>
      <c r="Y10" s="1841"/>
      <c r="Z10" s="1841"/>
      <c r="AA10" s="1841"/>
      <c r="AB10" s="1841"/>
      <c r="AC10" s="1841"/>
      <c r="AD10" s="1841"/>
      <c r="AE10" s="1841"/>
      <c r="AF10" s="1841"/>
      <c r="AG10" s="1841"/>
      <c r="AH10" s="1841"/>
      <c r="AI10" s="1841"/>
      <c r="AJ10" s="1841"/>
      <c r="AK10" s="1841"/>
      <c r="AL10" s="1841"/>
      <c r="AM10" s="1841"/>
      <c r="AN10" s="1841"/>
      <c r="AO10" s="1841"/>
      <c r="AP10" s="1841"/>
      <c r="AQ10" s="1841"/>
      <c r="AR10" s="1841"/>
      <c r="AS10" s="1841"/>
      <c r="AT10" s="1841"/>
      <c r="AU10" s="13"/>
      <c r="AV10" s="13"/>
      <c r="AW10" s="13"/>
      <c r="AX10" s="13"/>
      <c r="AY10" s="13"/>
      <c r="BD10" s="3" t="s">
        <v>2510</v>
      </c>
      <c r="BE10" s="1249">
        <f>SUMIF($AC$718:$AC$752,"&lt;=45%",$G$718:G$752)-SUM($BE$5:BE9)</f>
        <v>0</v>
      </c>
    </row>
    <row r="11" spans="1:58" ht="12.95" customHeight="1">
      <c r="A11" s="1841" t="s">
        <v>2604</v>
      </c>
      <c r="B11" s="1841"/>
      <c r="C11" s="1841"/>
      <c r="D11" s="1841"/>
      <c r="E11" s="1841"/>
      <c r="F11" s="1841"/>
      <c r="G11" s="1841"/>
      <c r="H11" s="1841"/>
      <c r="I11" s="1841"/>
      <c r="J11" s="1841"/>
      <c r="K11" s="1841"/>
      <c r="L11" s="1841"/>
      <c r="M11" s="1841"/>
      <c r="N11" s="1841"/>
      <c r="O11" s="1841"/>
      <c r="P11" s="1841"/>
      <c r="Q11" s="1841"/>
      <c r="R11" s="1841"/>
      <c r="S11" s="1841"/>
      <c r="T11" s="1841"/>
      <c r="U11" s="1841"/>
      <c r="V11" s="1841"/>
      <c r="W11" s="1841"/>
      <c r="X11" s="1841"/>
      <c r="Y11" s="1841"/>
      <c r="Z11" s="1841"/>
      <c r="AA11" s="1841"/>
      <c r="AB11" s="1841"/>
      <c r="AC11" s="1841"/>
      <c r="AD11" s="1841"/>
      <c r="AE11" s="1841"/>
      <c r="AF11" s="1841"/>
      <c r="AG11" s="1841"/>
      <c r="AH11" s="1841"/>
      <c r="AI11" s="1841"/>
      <c r="AJ11" s="1841"/>
      <c r="AK11" s="1841"/>
      <c r="AL11" s="1841"/>
      <c r="AM11" s="1841"/>
      <c r="AN11" s="1841"/>
      <c r="AO11" s="1841"/>
      <c r="AP11" s="1841"/>
      <c r="AQ11" s="1841"/>
      <c r="AR11" s="1841"/>
      <c r="AS11" s="1841"/>
      <c r="AT11" s="1841"/>
      <c r="AU11" s="13"/>
      <c r="AV11" s="13"/>
      <c r="AW11" s="13"/>
      <c r="AX11" s="13"/>
      <c r="AY11" s="13"/>
      <c r="BD11" s="1247" t="s">
        <v>2502</v>
      </c>
      <c r="BE11" s="1249">
        <f>SUMIF($AC$718:$AC$752,"&lt;=50%",$G$718:G$752)-SUM($BE$5:BE10)</f>
        <v>27</v>
      </c>
    </row>
    <row r="12" spans="1:58" ht="12.95" customHeight="1">
      <c r="A12" s="1842" t="s">
        <v>2610</v>
      </c>
      <c r="B12" s="1842"/>
      <c r="C12" s="1842"/>
      <c r="D12" s="1842"/>
      <c r="E12" s="1842"/>
      <c r="F12" s="1842"/>
      <c r="G12" s="1842"/>
      <c r="H12" s="1842"/>
      <c r="I12" s="1842"/>
      <c r="J12" s="1842"/>
      <c r="K12" s="1842"/>
      <c r="L12" s="1842"/>
      <c r="M12" s="1842"/>
      <c r="N12" s="1842"/>
      <c r="O12" s="1842"/>
      <c r="P12" s="1842"/>
      <c r="Q12" s="1842"/>
      <c r="R12" s="1842"/>
      <c r="S12" s="1842"/>
      <c r="T12" s="1842"/>
      <c r="U12" s="1842"/>
      <c r="V12" s="1842"/>
      <c r="W12" s="1842"/>
      <c r="X12" s="1842"/>
      <c r="Y12" s="1842"/>
      <c r="Z12" s="1842"/>
      <c r="AA12" s="1842"/>
      <c r="AB12" s="1842"/>
      <c r="AC12" s="1842"/>
      <c r="AD12" s="1842"/>
      <c r="AE12" s="1842"/>
      <c r="AF12" s="1842"/>
      <c r="AG12" s="1842"/>
      <c r="AH12" s="1842"/>
      <c r="AI12" s="1842"/>
      <c r="AJ12" s="1842"/>
      <c r="AK12" s="1842"/>
      <c r="AL12" s="1842"/>
      <c r="AM12" s="1842"/>
      <c r="AN12" s="1842"/>
      <c r="AO12" s="1842"/>
      <c r="AP12" s="1842"/>
      <c r="AQ12" s="1842"/>
      <c r="AR12" s="1842"/>
      <c r="AS12" s="1842"/>
      <c r="AT12" s="1842"/>
      <c r="AU12" s="6"/>
      <c r="AV12" s="6"/>
      <c r="AW12" s="6"/>
      <c r="AX12" s="6"/>
      <c r="AY12" s="6"/>
      <c r="BD12" s="3" t="s">
        <v>2511</v>
      </c>
      <c r="BE12" s="1249">
        <f>SUMIF($AC$718:$AC$752,"&lt;=55%",$G$718:G$752)-SUM($BE$5:BE11)</f>
        <v>0</v>
      </c>
    </row>
    <row r="13" spans="1:58" ht="12.95" customHeight="1">
      <c r="A13" s="1270" t="s">
        <v>2077</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2503</v>
      </c>
      <c r="BE13" s="1249">
        <f>SUMIF($AC$718:$AC$752,"&lt;=60%",$G$718:G$752)-SUM($BE$5:BE12)</f>
        <v>34</v>
      </c>
    </row>
    <row r="14" spans="1:58" ht="12.95"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2504</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2505</v>
      </c>
      <c r="BE15" s="1249">
        <f>SUMIF($AC$718:$AC$752,"&lt;=80%",$G$718:G$752)-SUM($BE$5:BE14)</f>
        <v>46</v>
      </c>
    </row>
    <row r="16" spans="1:58" ht="12.95" customHeight="1">
      <c r="A16" s="57" t="s">
        <v>2078</v>
      </c>
      <c r="C16" s="4"/>
      <c r="D16" s="4"/>
      <c r="E16" s="4"/>
      <c r="F16" s="4"/>
      <c r="G16" s="4"/>
      <c r="H16" s="1564" t="s">
        <v>2636</v>
      </c>
      <c r="I16" s="1538"/>
      <c r="J16" s="1538"/>
      <c r="K16" s="1538"/>
      <c r="L16" s="1538"/>
      <c r="M16" s="1538"/>
      <c r="N16" s="1538"/>
      <c r="O16" s="1538"/>
      <c r="P16" s="1538"/>
      <c r="Q16" s="1538"/>
      <c r="R16" s="1538"/>
      <c r="S16" s="1538"/>
      <c r="T16" s="1538"/>
      <c r="U16" s="1538"/>
      <c r="V16" s="1538"/>
      <c r="W16" s="1538"/>
      <c r="X16" s="1538"/>
      <c r="Y16" s="1538"/>
      <c r="Z16" s="1538"/>
      <c r="AA16" s="1538"/>
      <c r="AB16" s="1538"/>
      <c r="AC16" s="1538"/>
      <c r="AD16" s="1538"/>
      <c r="AE16" s="1538"/>
      <c r="AF16" s="1538"/>
      <c r="AG16" s="1538"/>
      <c r="AH16" s="1538"/>
      <c r="AI16" s="1538"/>
      <c r="AJ16" s="1538"/>
      <c r="BD16" s="1248" t="s">
        <v>655</v>
      </c>
      <c r="BE16" s="1249" t="str">
        <f>Application!H18</f>
        <v xml:space="preserve">Bella Village Apartments </v>
      </c>
    </row>
    <row r="17" spans="1:58" ht="12.95" customHeight="1">
      <c r="BD17" s="1247" t="s">
        <v>2518</v>
      </c>
      <c r="BE17" s="1249">
        <f>Application!AA934</f>
        <v>0</v>
      </c>
    </row>
    <row r="18" spans="1:58" ht="12.95" customHeight="1">
      <c r="A18" s="57" t="s">
        <v>101</v>
      </c>
      <c r="C18" s="4"/>
      <c r="D18" s="4"/>
      <c r="E18" s="4"/>
      <c r="F18" s="4"/>
      <c r="G18" s="4"/>
      <c r="H18" s="1516" t="s">
        <v>2612</v>
      </c>
      <c r="I18" s="1519"/>
      <c r="J18" s="1519"/>
      <c r="K18" s="1519"/>
      <c r="L18" s="1519"/>
      <c r="M18" s="1519"/>
      <c r="N18" s="1519"/>
      <c r="O18" s="1519"/>
      <c r="P18" s="1519"/>
      <c r="Q18" s="1519"/>
      <c r="R18" s="1519"/>
      <c r="S18" s="1519"/>
      <c r="T18" s="1519"/>
      <c r="U18" s="1519"/>
      <c r="V18" s="1519"/>
      <c r="W18" s="1519"/>
      <c r="X18" s="1519"/>
      <c r="Y18" s="1519"/>
      <c r="Z18" s="1519"/>
      <c r="AA18" s="1519"/>
      <c r="AB18" s="1519"/>
      <c r="AC18" s="1519"/>
      <c r="AD18" s="1519"/>
      <c r="AE18" s="1519"/>
      <c r="AF18" s="1519"/>
      <c r="AG18" s="1519"/>
      <c r="AH18" s="1519"/>
      <c r="AI18" s="1519"/>
      <c r="AJ18" s="1519"/>
      <c r="BD18" s="1248" t="s">
        <v>2519</v>
      </c>
      <c r="BE18" s="1249">
        <f>'CalHFA Addendum'!N11</f>
        <v>0</v>
      </c>
    </row>
    <row r="19" spans="1:58" ht="12.95" customHeight="1">
      <c r="BD19" s="1247" t="s">
        <v>2520</v>
      </c>
      <c r="BE19" s="1249">
        <f>Application!M26</f>
        <v>3070246</v>
      </c>
    </row>
    <row r="20" spans="1:58" ht="12.95" customHeight="1">
      <c r="A20" s="1843" t="s">
        <v>872</v>
      </c>
      <c r="B20" s="1843"/>
      <c r="C20" s="1843"/>
      <c r="D20" s="1843"/>
      <c r="E20" s="1843"/>
      <c r="F20" s="1843"/>
      <c r="G20" s="1843"/>
      <c r="H20" s="1843"/>
      <c r="I20" s="1843"/>
      <c r="J20" s="1843"/>
      <c r="K20" s="1843"/>
      <c r="L20" s="1843"/>
      <c r="M20" s="1843"/>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c r="AL20" s="1843"/>
      <c r="AM20" s="1843"/>
      <c r="AN20" s="1843"/>
      <c r="AO20" s="1843"/>
      <c r="AP20" s="1843"/>
      <c r="AQ20" s="1843"/>
      <c r="AR20" s="1843"/>
      <c r="AS20" s="1843"/>
      <c r="AT20" s="1843"/>
      <c r="AU20" s="900"/>
      <c r="AV20" s="900"/>
      <c r="AW20" s="900"/>
      <c r="AX20" s="900"/>
      <c r="AY20" s="900"/>
      <c r="BD20" s="1248" t="s">
        <v>2521</v>
      </c>
      <c r="BE20" s="1249">
        <f>Application!M27</f>
        <v>13350001</v>
      </c>
    </row>
    <row r="21" spans="1:58" ht="12.95" customHeight="1">
      <c r="A21" s="1846" t="s">
        <v>1008</v>
      </c>
      <c r="B21" s="1846"/>
      <c r="C21" s="1846"/>
      <c r="D21" s="1846"/>
      <c r="E21" s="1846"/>
      <c r="F21" s="1846"/>
      <c r="G21" s="1846"/>
      <c r="H21" s="1846"/>
      <c r="I21" s="1846"/>
      <c r="J21" s="1846"/>
      <c r="K21" s="1846"/>
      <c r="L21" s="1846"/>
      <c r="M21" s="1846"/>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c r="AL21" s="1846"/>
      <c r="AM21" s="901"/>
      <c r="AN21" s="901"/>
      <c r="AO21" s="901"/>
      <c r="AP21" s="901"/>
      <c r="AQ21" s="901"/>
      <c r="AR21" s="901"/>
      <c r="AS21" s="901"/>
      <c r="AT21" s="901"/>
      <c r="AU21" s="901"/>
      <c r="AV21" s="901"/>
      <c r="AW21" s="901"/>
      <c r="AX21" s="901"/>
      <c r="AY21" s="901"/>
      <c r="BD21" s="1247" t="s">
        <v>2522</v>
      </c>
      <c r="BE21" s="1249">
        <f>Application!AM554</f>
        <v>20262958</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68611339</v>
      </c>
      <c r="BF22" s="3" t="s">
        <v>2595</v>
      </c>
    </row>
    <row r="23" spans="1:58" ht="12.95" customHeight="1">
      <c r="A23" s="1328" t="s">
        <v>2146</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2523</v>
      </c>
      <c r="BE23" s="1249">
        <f>'Sources and Uses Budget'!B4</f>
        <v>8500000</v>
      </c>
    </row>
    <row r="24" spans="1:58"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2524</v>
      </c>
      <c r="BE24" s="1249">
        <f>Application!AG450</f>
        <v>164036</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2525</v>
      </c>
      <c r="BE25" s="1249" t="str">
        <f>Application!D208</f>
        <v>40%/60% Average Income</v>
      </c>
    </row>
    <row r="26" spans="1:58" ht="12.95" customHeight="1">
      <c r="A26" s="4"/>
      <c r="C26" s="4"/>
      <c r="D26" s="4"/>
      <c r="E26" s="4"/>
      <c r="F26" s="4"/>
      <c r="G26" s="4"/>
      <c r="H26" s="4"/>
      <c r="I26" s="4"/>
      <c r="J26" s="4"/>
      <c r="K26" s="4"/>
      <c r="L26" s="4"/>
      <c r="M26" s="1845">
        <f>'Basis &amp; Credits'!AB56</f>
        <v>3070246</v>
      </c>
      <c r="N26" s="1845"/>
      <c r="O26" s="1845"/>
      <c r="P26" s="1845"/>
      <c r="Q26" s="1845"/>
      <c r="R26" s="4" t="s">
        <v>758</v>
      </c>
      <c r="S26" s="4"/>
      <c r="T26" s="4"/>
      <c r="U26" s="4"/>
      <c r="V26" s="4"/>
      <c r="W26" s="4"/>
      <c r="X26" s="4"/>
      <c r="Y26" s="4"/>
      <c r="Z26" s="4"/>
      <c r="AF26" s="4"/>
      <c r="AG26" s="4"/>
      <c r="AH26" s="4"/>
      <c r="AI26" s="4"/>
      <c r="AJ26" s="4"/>
      <c r="AK26" s="4"/>
      <c r="BD26" s="1248" t="s">
        <v>1639</v>
      </c>
      <c r="BE26" s="1249" t="b">
        <f>Application!M356="Yes"</f>
        <v>0</v>
      </c>
    </row>
    <row r="27" spans="1:58" ht="12.95" customHeight="1">
      <c r="A27" s="4"/>
      <c r="C27" s="4"/>
      <c r="D27" s="4"/>
      <c r="E27" s="4"/>
      <c r="F27" s="4"/>
      <c r="G27" s="4"/>
      <c r="H27" s="4"/>
      <c r="I27" s="4"/>
      <c r="J27" s="4"/>
      <c r="K27" s="4"/>
      <c r="L27" s="4"/>
      <c r="M27" s="1389">
        <f>'Basis &amp; Credits'!AB78</f>
        <v>13350001</v>
      </c>
      <c r="N27" s="1389"/>
      <c r="O27" s="1389"/>
      <c r="P27" s="1389"/>
      <c r="Q27" s="1389"/>
      <c r="R27" s="3" t="s">
        <v>1267</v>
      </c>
      <c r="S27" s="4"/>
      <c r="T27" s="4"/>
      <c r="U27" s="4"/>
      <c r="V27" s="4"/>
      <c r="W27" s="4"/>
      <c r="X27" s="4"/>
      <c r="Y27" s="4"/>
      <c r="Z27" s="4"/>
      <c r="AF27" s="4"/>
      <c r="AG27" s="4"/>
      <c r="AH27" s="4"/>
      <c r="AI27" s="4"/>
      <c r="AJ27" s="4"/>
      <c r="AK27" s="4"/>
      <c r="BD27" s="1247" t="s">
        <v>2098</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2526</v>
      </c>
      <c r="BE28" s="1249" t="b">
        <f>Application!M357="Yes"</f>
        <v>0</v>
      </c>
    </row>
    <row r="29" spans="1:58" ht="12.95" customHeight="1">
      <c r="A29" s="1532" t="s">
        <v>2147</v>
      </c>
      <c r="B29" s="1532"/>
      <c r="C29" s="1532"/>
      <c r="D29" s="1532"/>
      <c r="E29" s="1532"/>
      <c r="F29" s="1532"/>
      <c r="G29" s="1532"/>
      <c r="H29" s="1532"/>
      <c r="I29" s="1532"/>
      <c r="J29" s="1532"/>
      <c r="K29" s="1532"/>
      <c r="L29" s="1532"/>
      <c r="M29" s="1532"/>
      <c r="N29" s="1532"/>
      <c r="O29" s="1532"/>
      <c r="P29" s="1532"/>
      <c r="Q29" s="1532"/>
      <c r="R29" s="1532"/>
      <c r="S29" s="1532"/>
      <c r="T29" s="1532"/>
      <c r="U29" s="1532"/>
      <c r="V29" s="1532"/>
      <c r="W29" s="1532"/>
      <c r="X29" s="1532"/>
      <c r="Y29" s="1532"/>
      <c r="Z29" s="1532"/>
      <c r="AA29" s="1532"/>
      <c r="AB29" s="1532"/>
      <c r="AC29" s="1532"/>
      <c r="AD29" s="1532"/>
      <c r="AE29" s="1532"/>
      <c r="AF29" s="1532"/>
      <c r="AG29" s="1532"/>
      <c r="AH29" s="1532"/>
      <c r="AI29" s="1532"/>
      <c r="AJ29" s="1532"/>
      <c r="AK29" s="1532"/>
      <c r="AL29" s="1532"/>
      <c r="AM29" s="1532"/>
      <c r="AN29" s="1532"/>
      <c r="AO29" s="1532"/>
      <c r="AP29" s="1532"/>
      <c r="AQ29" s="1532"/>
      <c r="AR29" s="1532"/>
      <c r="AS29" s="1532"/>
      <c r="AT29" s="1532"/>
      <c r="BD29" s="1247" t="s">
        <v>2527</v>
      </c>
      <c r="BE29" s="1249" t="b">
        <f>Application!M358="Yes"</f>
        <v>0</v>
      </c>
    </row>
    <row r="30" spans="1:58" ht="12.95" customHeight="1">
      <c r="A30" s="1532"/>
      <c r="B30" s="1532"/>
      <c r="C30" s="1532"/>
      <c r="D30" s="1532"/>
      <c r="E30" s="1532"/>
      <c r="F30" s="1532"/>
      <c r="G30" s="1532"/>
      <c r="H30" s="1532"/>
      <c r="I30" s="1532"/>
      <c r="J30" s="1532"/>
      <c r="K30" s="1532"/>
      <c r="L30" s="1532"/>
      <c r="M30" s="1532"/>
      <c r="N30" s="1532"/>
      <c r="O30" s="1532"/>
      <c r="P30" s="1532"/>
      <c r="Q30" s="1532"/>
      <c r="R30" s="1532"/>
      <c r="S30" s="1532"/>
      <c r="T30" s="1532"/>
      <c r="U30" s="1532"/>
      <c r="V30" s="1532"/>
      <c r="W30" s="1532"/>
      <c r="X30" s="1532"/>
      <c r="Y30" s="1532"/>
      <c r="Z30" s="1532"/>
      <c r="AA30" s="1532"/>
      <c r="AB30" s="1532"/>
      <c r="AC30" s="1532"/>
      <c r="AD30" s="1532"/>
      <c r="AE30" s="1532"/>
      <c r="AF30" s="1532"/>
      <c r="AG30" s="1532"/>
      <c r="AH30" s="1532"/>
      <c r="AI30" s="1532"/>
      <c r="AJ30" s="1532"/>
      <c r="AK30" s="1532"/>
      <c r="AL30" s="1532"/>
      <c r="AM30" s="1532"/>
      <c r="AN30" s="1532"/>
      <c r="AO30" s="1532"/>
      <c r="AP30" s="1532"/>
      <c r="AQ30" s="1532"/>
      <c r="AR30" s="1532"/>
      <c r="AS30" s="1532"/>
      <c r="AT30" s="1532"/>
      <c r="AZ30" s="20"/>
      <c r="BD30" s="1248" t="s">
        <v>28</v>
      </c>
      <c r="BE30" s="1249" t="b">
        <f>Application!AJ355="Yes"</f>
        <v>1</v>
      </c>
    </row>
    <row r="31" spans="1:58" ht="12.95" customHeight="1">
      <c r="A31" s="1532"/>
      <c r="B31" s="1532"/>
      <c r="C31" s="1532"/>
      <c r="D31" s="1532"/>
      <c r="E31" s="1532"/>
      <c r="F31" s="1532"/>
      <c r="G31" s="1532"/>
      <c r="H31" s="1532"/>
      <c r="I31" s="1532"/>
      <c r="J31" s="1532"/>
      <c r="K31" s="1532"/>
      <c r="L31" s="1532"/>
      <c r="M31" s="1532"/>
      <c r="N31" s="1532"/>
      <c r="O31" s="1532"/>
      <c r="P31" s="1532"/>
      <c r="Q31" s="1532"/>
      <c r="R31" s="1532"/>
      <c r="S31" s="1532"/>
      <c r="T31" s="1532"/>
      <c r="U31" s="1532"/>
      <c r="V31" s="1532"/>
      <c r="W31" s="1532"/>
      <c r="X31" s="1532"/>
      <c r="Y31" s="1532"/>
      <c r="Z31" s="1532"/>
      <c r="AA31" s="1532"/>
      <c r="AB31" s="1532"/>
      <c r="AC31" s="1532"/>
      <c r="AD31" s="1532"/>
      <c r="AE31" s="1532"/>
      <c r="AF31" s="1532"/>
      <c r="AG31" s="1532"/>
      <c r="AH31" s="1532"/>
      <c r="AI31" s="1532"/>
      <c r="AJ31" s="1532"/>
      <c r="AK31" s="1532"/>
      <c r="AL31" s="1532"/>
      <c r="AM31" s="1532"/>
      <c r="AN31" s="1532"/>
      <c r="AO31" s="1532"/>
      <c r="AP31" s="1532"/>
      <c r="AQ31" s="1532"/>
      <c r="AR31" s="1532"/>
      <c r="AS31" s="1532"/>
      <c r="AT31" s="1532"/>
      <c r="AU31" s="20"/>
      <c r="AV31" s="20"/>
      <c r="AW31" s="20"/>
      <c r="AX31" s="20"/>
      <c r="AY31" s="20"/>
      <c r="AZ31" s="20"/>
      <c r="BD31" s="1247" t="s">
        <v>2528</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2529</v>
      </c>
      <c r="BE32" s="1249">
        <f>IF(ISNUMBER(Application!W465),W465,0)</f>
        <v>0</v>
      </c>
    </row>
    <row r="33" spans="1:57" ht="12.95" customHeight="1">
      <c r="A33" s="519" t="s">
        <v>1278</v>
      </c>
      <c r="C33" s="519"/>
      <c r="D33" s="519"/>
      <c r="E33" s="519"/>
      <c r="F33" s="519"/>
      <c r="G33" s="519"/>
      <c r="H33" s="519"/>
      <c r="I33" s="519"/>
      <c r="J33" s="519"/>
      <c r="K33" s="519"/>
      <c r="L33" s="519"/>
      <c r="M33" s="519"/>
      <c r="N33" s="519"/>
      <c r="O33" s="1352" t="s">
        <v>668</v>
      </c>
      <c r="P33" s="1352"/>
      <c r="Q33" s="1844" t="s">
        <v>2148</v>
      </c>
      <c r="R33" s="1844"/>
      <c r="S33" s="1844"/>
      <c r="T33" s="1844"/>
      <c r="U33" s="1844"/>
      <c r="V33" s="1844"/>
      <c r="W33" s="1844"/>
      <c r="X33" s="1844"/>
      <c r="Y33" s="1844"/>
      <c r="Z33" s="1844"/>
      <c r="AA33" s="1844"/>
      <c r="AB33" s="1844"/>
      <c r="AC33" s="1844"/>
      <c r="AD33" s="1844"/>
      <c r="AE33" s="1844"/>
      <c r="AF33" s="1844"/>
      <c r="AG33" s="1844"/>
      <c r="AH33" s="1844"/>
      <c r="AI33" s="1844"/>
      <c r="AJ33" s="1844"/>
      <c r="AK33" s="1844"/>
      <c r="AL33" s="1844"/>
      <c r="AM33" s="1844"/>
      <c r="AN33" s="1844"/>
      <c r="AO33" s="1844"/>
      <c r="AP33" s="1844"/>
      <c r="AQ33" s="1844"/>
      <c r="AR33" s="1844"/>
      <c r="AS33" s="1844"/>
      <c r="AT33" s="1844"/>
      <c r="AU33" s="20"/>
      <c r="AV33" s="20"/>
      <c r="AW33" s="20"/>
      <c r="AX33" s="20"/>
      <c r="AY33" s="20"/>
      <c r="BD33" s="1247" t="s">
        <v>2596</v>
      </c>
      <c r="BE33" s="1249" t="str">
        <f>Application!D220</f>
        <v>East Bay Region: Alameda and Contra Costa Counties</v>
      </c>
    </row>
    <row r="34" spans="1:57" ht="12.95" customHeight="1">
      <c r="A34" s="1532" t="s">
        <v>2149</v>
      </c>
      <c r="B34" s="1532"/>
      <c r="C34" s="1532"/>
      <c r="D34" s="1532"/>
      <c r="E34" s="1532"/>
      <c r="F34" s="1532"/>
      <c r="G34" s="1532"/>
      <c r="H34" s="1532"/>
      <c r="I34" s="1532"/>
      <c r="J34" s="1532"/>
      <c r="K34" s="1532"/>
      <c r="L34" s="1532"/>
      <c r="M34" s="1532"/>
      <c r="N34" s="1532"/>
      <c r="O34" s="1532"/>
      <c r="P34" s="1532"/>
      <c r="Q34" s="1532"/>
      <c r="R34" s="1532"/>
      <c r="S34" s="1532"/>
      <c r="T34" s="1532"/>
      <c r="U34" s="1532"/>
      <c r="V34" s="1532"/>
      <c r="W34" s="1532"/>
      <c r="X34" s="1532"/>
      <c r="Y34" s="1532"/>
      <c r="Z34" s="1532"/>
      <c r="AA34" s="1532"/>
      <c r="AB34" s="1532"/>
      <c r="AC34" s="1532"/>
      <c r="AD34" s="1532"/>
      <c r="AE34" s="1532"/>
      <c r="AF34" s="1532"/>
      <c r="AG34" s="1532"/>
      <c r="AH34" s="1532"/>
      <c r="AI34" s="1532"/>
      <c r="AJ34" s="1532"/>
      <c r="AK34" s="1532"/>
      <c r="AL34" s="1532"/>
      <c r="AM34" s="1532"/>
      <c r="AN34" s="1532"/>
      <c r="AO34" s="1532"/>
      <c r="AP34" s="1532"/>
      <c r="AQ34" s="1532"/>
      <c r="AR34" s="1532"/>
      <c r="AS34" s="1532"/>
      <c r="AT34" s="1532"/>
      <c r="AU34" s="20"/>
      <c r="AV34" s="20"/>
      <c r="AW34" s="20"/>
      <c r="AX34" s="20"/>
      <c r="AY34" s="20"/>
      <c r="AZ34" s="20"/>
      <c r="BD34" s="1248" t="s">
        <v>2530</v>
      </c>
      <c r="BE34" s="1249" t="str">
        <f>Application!I185</f>
        <v>2233 San Ramon Valley Blvd</v>
      </c>
    </row>
    <row r="35" spans="1:57" ht="12.95" customHeight="1">
      <c r="A35" s="1532"/>
      <c r="B35" s="1532"/>
      <c r="C35" s="1532"/>
      <c r="D35" s="1532"/>
      <c r="E35" s="1532"/>
      <c r="F35" s="1532"/>
      <c r="G35" s="1532"/>
      <c r="H35" s="1532"/>
      <c r="I35" s="1532"/>
      <c r="J35" s="1532"/>
      <c r="K35" s="1532"/>
      <c r="L35" s="1532"/>
      <c r="M35" s="1532"/>
      <c r="N35" s="1532"/>
      <c r="O35" s="1532"/>
      <c r="P35" s="1532"/>
      <c r="Q35" s="1532"/>
      <c r="R35" s="1532"/>
      <c r="S35" s="1532"/>
      <c r="T35" s="1532"/>
      <c r="U35" s="1532"/>
      <c r="V35" s="1532"/>
      <c r="W35" s="1532"/>
      <c r="X35" s="1532"/>
      <c r="Y35" s="1532"/>
      <c r="Z35" s="1532"/>
      <c r="AA35" s="1532"/>
      <c r="AB35" s="1532"/>
      <c r="AC35" s="1532"/>
      <c r="AD35" s="1532"/>
      <c r="AE35" s="1532"/>
      <c r="AF35" s="1532"/>
      <c r="AG35" s="1532"/>
      <c r="AH35" s="1532"/>
      <c r="AI35" s="1532"/>
      <c r="AJ35" s="1532"/>
      <c r="AK35" s="1532"/>
      <c r="AL35" s="1532"/>
      <c r="AM35" s="1532"/>
      <c r="AN35" s="1532"/>
      <c r="AO35" s="1532"/>
      <c r="AP35" s="1532"/>
      <c r="AQ35" s="1532"/>
      <c r="AR35" s="1532"/>
      <c r="AS35" s="1532"/>
      <c r="AT35" s="1532"/>
      <c r="AU35" s="20"/>
      <c r="AV35" s="20"/>
      <c r="AW35" s="20"/>
      <c r="AX35" s="20"/>
      <c r="AY35" s="20"/>
      <c r="AZ35" s="20"/>
      <c r="BD35" s="1247" t="s">
        <v>2531</v>
      </c>
      <c r="BE35" s="1249" t="str">
        <f>IF(Application!E187="","",Application!E187)</f>
        <v/>
      </c>
    </row>
    <row r="36" spans="1:57" ht="12.95" customHeight="1">
      <c r="A36" s="1532"/>
      <c r="B36" s="1532"/>
      <c r="C36" s="1532"/>
      <c r="D36" s="1532"/>
      <c r="E36" s="1532"/>
      <c r="F36" s="1532"/>
      <c r="G36" s="1532"/>
      <c r="H36" s="1532"/>
      <c r="I36" s="1532"/>
      <c r="J36" s="1532"/>
      <c r="K36" s="1532"/>
      <c r="L36" s="1532"/>
      <c r="M36" s="1532"/>
      <c r="N36" s="1532"/>
      <c r="O36" s="1532"/>
      <c r="P36" s="1532"/>
      <c r="Q36" s="1532"/>
      <c r="R36" s="1532"/>
      <c r="S36" s="1532"/>
      <c r="T36" s="1532"/>
      <c r="U36" s="1532"/>
      <c r="V36" s="1532"/>
      <c r="W36" s="1532"/>
      <c r="X36" s="1532"/>
      <c r="Y36" s="1532"/>
      <c r="Z36" s="1532"/>
      <c r="AA36" s="1532"/>
      <c r="AB36" s="1532"/>
      <c r="AC36" s="1532"/>
      <c r="AD36" s="1532"/>
      <c r="AE36" s="1532"/>
      <c r="AF36" s="1532"/>
      <c r="AG36" s="1532"/>
      <c r="AH36" s="1532"/>
      <c r="AI36" s="1532"/>
      <c r="AJ36" s="1532"/>
      <c r="AK36" s="1532"/>
      <c r="AL36" s="1532"/>
      <c r="AM36" s="1532"/>
      <c r="AN36" s="1532"/>
      <c r="AO36" s="1532"/>
      <c r="AP36" s="1532"/>
      <c r="AQ36" s="1532"/>
      <c r="AR36" s="1532"/>
      <c r="AS36" s="1532"/>
      <c r="AT36" s="1532"/>
      <c r="AU36" s="20"/>
      <c r="AV36" s="20"/>
      <c r="AW36" s="20"/>
      <c r="AX36" s="20"/>
      <c r="AY36" s="20"/>
      <c r="AZ36" s="20"/>
      <c r="BD36" s="1248" t="s">
        <v>2532</v>
      </c>
      <c r="BE36" s="1249" t="str">
        <f>Application!I189</f>
        <v>San Ramon</v>
      </c>
    </row>
    <row r="37" spans="1:57" ht="12.95" customHeight="1">
      <c r="A37" s="1532"/>
      <c r="B37" s="1532"/>
      <c r="C37" s="1532"/>
      <c r="D37" s="1532"/>
      <c r="E37" s="1532"/>
      <c r="F37" s="1532"/>
      <c r="G37" s="1532"/>
      <c r="H37" s="1532"/>
      <c r="I37" s="1532"/>
      <c r="J37" s="1532"/>
      <c r="K37" s="1532"/>
      <c r="L37" s="1532"/>
      <c r="M37" s="1532"/>
      <c r="N37" s="1532"/>
      <c r="O37" s="1532"/>
      <c r="P37" s="1532"/>
      <c r="Q37" s="1532"/>
      <c r="R37" s="1532"/>
      <c r="S37" s="1532"/>
      <c r="T37" s="1532"/>
      <c r="U37" s="1532"/>
      <c r="V37" s="1532"/>
      <c r="W37" s="1532"/>
      <c r="X37" s="1532"/>
      <c r="Y37" s="1532"/>
      <c r="Z37" s="1532"/>
      <c r="AA37" s="1532"/>
      <c r="AB37" s="1532"/>
      <c r="AC37" s="1532"/>
      <c r="AD37" s="1532"/>
      <c r="AE37" s="1532"/>
      <c r="AF37" s="1532"/>
      <c r="AG37" s="1532"/>
      <c r="AH37" s="1532"/>
      <c r="AI37" s="1532"/>
      <c r="AJ37" s="1532"/>
      <c r="AK37" s="1532"/>
      <c r="AL37" s="1532"/>
      <c r="AM37" s="1532"/>
      <c r="AN37" s="1532"/>
      <c r="AO37" s="1532"/>
      <c r="AP37" s="1532"/>
      <c r="AQ37" s="1532"/>
      <c r="AR37" s="1532"/>
      <c r="AS37" s="1532"/>
      <c r="AT37" s="1532"/>
      <c r="AZ37" s="20"/>
      <c r="BD37" s="1247" t="s">
        <v>2533</v>
      </c>
      <c r="BE37" s="1249" t="str">
        <f>Application!T189</f>
        <v>Contra Costa</v>
      </c>
    </row>
    <row r="38" spans="1:57" ht="12.95" customHeight="1">
      <c r="A38" s="3"/>
      <c r="AZ38" s="20"/>
      <c r="BD38" s="1248" t="s">
        <v>2534</v>
      </c>
      <c r="BE38" s="1249">
        <f>Application!I190</f>
        <v>94583</v>
      </c>
    </row>
    <row r="39" spans="1:57" ht="12.95" customHeight="1">
      <c r="A39" s="1260" t="s">
        <v>2150</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2535</v>
      </c>
      <c r="BE39" s="1249">
        <f>Application!AG437</f>
        <v>131</v>
      </c>
    </row>
    <row r="40" spans="1:57" ht="12.95"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383</v>
      </c>
      <c r="BE40" s="1249">
        <f>Application!AG440</f>
        <v>130</v>
      </c>
    </row>
    <row r="41" spans="1:57" ht="12.95"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286</v>
      </c>
      <c r="BE41" s="1249">
        <f>Application!AG438</f>
        <v>0</v>
      </c>
    </row>
    <row r="42" spans="1:57" ht="12.95"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2536</v>
      </c>
      <c r="BE42" s="1251">
        <f>Application!AC753</f>
        <v>0.596923076923077</v>
      </c>
    </row>
    <row r="43" spans="1:57" ht="12.95"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2537</v>
      </c>
      <c r="BE43" s="1251">
        <f>Application!AH753</f>
        <v>0.58657285678644799</v>
      </c>
    </row>
    <row r="44" spans="1:57" ht="12.95"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2538</v>
      </c>
      <c r="BE44" s="1249">
        <f>Application!AC454</f>
        <v>523750.67938931298</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2539</v>
      </c>
      <c r="BE45" s="1249">
        <f>Application!AE424</f>
        <v>3</v>
      </c>
    </row>
    <row r="46" spans="1:57" ht="12.95" customHeight="1">
      <c r="A46" s="1328" t="s">
        <v>2151</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2540</v>
      </c>
      <c r="BE46" s="1249" t="b">
        <f>Application!T195="Yes"</f>
        <v>1</v>
      </c>
    </row>
    <row r="47" spans="1:57"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2541</v>
      </c>
      <c r="BE47" s="1249" t="b">
        <f>Application!T196="Yes"</f>
        <v>0</v>
      </c>
    </row>
    <row r="48" spans="1:57"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2542</v>
      </c>
      <c r="BE48" s="1249" t="str">
        <f>Application!M243</f>
        <v xml:space="preserve">LIHTC Advisors, LLC </v>
      </c>
    </row>
    <row r="49" spans="1:57"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2543</v>
      </c>
      <c r="BE49" s="1249" t="str">
        <f>Application!M246</f>
        <v xml:space="preserve">John Nicolas </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2544</v>
      </c>
      <c r="BE50" s="1249">
        <f>Application!AA249</f>
        <v>0</v>
      </c>
    </row>
    <row r="51" spans="1:57" ht="12.95" customHeight="1">
      <c r="A51" s="1260" t="s">
        <v>2152</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2545</v>
      </c>
      <c r="BE51" s="1249" t="str">
        <f>Application!M251</f>
        <v>Central Valley Coalition for Affordable Housing</v>
      </c>
    </row>
    <row r="52" spans="1:57" ht="12.95"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2546</v>
      </c>
      <c r="BE52" s="1249" t="str">
        <f>Application!M254</f>
        <v>Christina Alley</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2547</v>
      </c>
      <c r="BE53" s="1249">
        <f>Application!AA257</f>
        <v>0</v>
      </c>
    </row>
    <row r="54" spans="1:57" ht="12.95" customHeight="1">
      <c r="A54" s="1260" t="s">
        <v>2153</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2548</v>
      </c>
      <c r="BE54" s="1249">
        <f>Application!M259</f>
        <v>0</v>
      </c>
    </row>
    <row r="55" spans="1:57" ht="12.95"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2549</v>
      </c>
      <c r="BE55" s="1249">
        <f>Application!M262</f>
        <v>0</v>
      </c>
    </row>
    <row r="56" spans="1:57" ht="12.95"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2550</v>
      </c>
      <c r="BE56" s="1249">
        <f>Application!AA265</f>
        <v>0</v>
      </c>
    </row>
    <row r="57" spans="1:57" ht="12.95"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2551</v>
      </c>
      <c r="BE57" s="1249" t="str">
        <f>Application!H287</f>
        <v xml:space="preserve">LIHTC Advisors, LLC </v>
      </c>
    </row>
    <row r="58" spans="1:57" ht="12.95"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2552</v>
      </c>
      <c r="BE58" s="1249" t="str">
        <f>Application!H288</f>
        <v xml:space="preserve">4509 Salix Drive </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2553</v>
      </c>
      <c r="BE59" s="1249" t="str">
        <f>Application!H289</f>
        <v>Meridian, ID 83646</v>
      </c>
    </row>
    <row r="60" spans="1:57" ht="12.95" customHeight="1">
      <c r="A60" s="1260" t="s">
        <v>2154</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2554</v>
      </c>
      <c r="BE60" s="1249" t="str">
        <f>Application!H290</f>
        <v>John Nicolas</v>
      </c>
    </row>
    <row r="61" spans="1:57" ht="12.95"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2555</v>
      </c>
      <c r="BE61" s="1249" t="str">
        <f>Application!H293</f>
        <v>john@lihtcadv.com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2556</v>
      </c>
      <c r="BE62" s="1252">
        <f>'Basis &amp; Credits'!AB50</f>
        <v>0.82</v>
      </c>
    </row>
    <row r="63" spans="1:57" ht="12.95"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0.9</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2557</v>
      </c>
      <c r="BE64" s="1249">
        <f>Application!X180</f>
        <v>0</v>
      </c>
    </row>
    <row r="65" spans="1:57" ht="12.95" customHeight="1">
      <c r="A65" s="1542" t="s">
        <v>2156</v>
      </c>
      <c r="B65" s="1542"/>
      <c r="C65" s="1542"/>
      <c r="D65" s="1542"/>
      <c r="E65" s="1542"/>
      <c r="F65" s="1542"/>
      <c r="G65" s="1542"/>
      <c r="H65" s="1542"/>
      <c r="I65" s="1542"/>
      <c r="J65" s="1542"/>
      <c r="K65" s="1542"/>
      <c r="L65" s="1542"/>
      <c r="M65" s="1542"/>
      <c r="N65" s="1542"/>
      <c r="O65" s="1542"/>
      <c r="P65" s="1542"/>
      <c r="Q65" s="1542"/>
      <c r="R65" s="1542"/>
      <c r="S65" s="1542"/>
      <c r="T65" s="1542"/>
      <c r="U65" s="1542"/>
      <c r="V65" s="1542"/>
      <c r="W65" s="1542"/>
      <c r="X65" s="1542"/>
      <c r="Y65" s="1542"/>
      <c r="Z65" s="1542"/>
      <c r="AA65" s="1542"/>
      <c r="AB65" s="1542"/>
      <c r="AC65" s="1542"/>
      <c r="AD65" s="1542"/>
      <c r="AE65" s="1542"/>
      <c r="AF65" s="1542"/>
      <c r="AG65" s="1542"/>
      <c r="AH65" s="1542"/>
      <c r="AI65" s="1542"/>
      <c r="AJ65" s="1542"/>
      <c r="AK65" s="1542"/>
      <c r="AL65" s="1542"/>
      <c r="AM65" s="1542"/>
      <c r="AN65" s="1542"/>
      <c r="AO65" s="1542"/>
      <c r="AP65" s="1542"/>
      <c r="AQ65" s="1542"/>
      <c r="AR65" s="1542"/>
      <c r="AS65" s="1542"/>
      <c r="AT65" s="1542"/>
      <c r="AU65" s="21"/>
      <c r="AV65" s="21"/>
      <c r="AW65" s="21"/>
      <c r="AX65" s="21"/>
      <c r="AY65" s="21"/>
      <c r="AZ65" s="20"/>
      <c r="BD65" s="1247" t="s">
        <v>2593</v>
      </c>
      <c r="BE65" s="1249" t="str">
        <f>Z205</f>
        <v>$500M</v>
      </c>
    </row>
    <row r="66" spans="1:57" ht="12.95" customHeight="1">
      <c r="A66" s="1542"/>
      <c r="B66" s="1542"/>
      <c r="C66" s="1542"/>
      <c r="D66" s="1542"/>
      <c r="E66" s="1542"/>
      <c r="F66" s="1542"/>
      <c r="G66" s="1542"/>
      <c r="H66" s="1542"/>
      <c r="I66" s="1542"/>
      <c r="J66" s="1542"/>
      <c r="K66" s="1542"/>
      <c r="L66" s="1542"/>
      <c r="M66" s="1542"/>
      <c r="N66" s="1542"/>
      <c r="O66" s="1542"/>
      <c r="P66" s="1542"/>
      <c r="Q66" s="1542"/>
      <c r="R66" s="1542"/>
      <c r="S66" s="1542"/>
      <c r="T66" s="1542"/>
      <c r="U66" s="1542"/>
      <c r="V66" s="1542"/>
      <c r="W66" s="1542"/>
      <c r="X66" s="1542"/>
      <c r="Y66" s="1542"/>
      <c r="Z66" s="1542"/>
      <c r="AA66" s="1542"/>
      <c r="AB66" s="1542"/>
      <c r="AC66" s="1542"/>
      <c r="AD66" s="1542"/>
      <c r="AE66" s="1542"/>
      <c r="AF66" s="1542"/>
      <c r="AG66" s="1542"/>
      <c r="AH66" s="1542"/>
      <c r="AI66" s="1542"/>
      <c r="AJ66" s="1542"/>
      <c r="AK66" s="1542"/>
      <c r="AL66" s="1542"/>
      <c r="AM66" s="1542"/>
      <c r="AN66" s="1542"/>
      <c r="AO66" s="1542"/>
      <c r="AP66" s="1542"/>
      <c r="AQ66" s="1542"/>
      <c r="AR66" s="1542"/>
      <c r="AS66" s="1542"/>
      <c r="AT66" s="1542"/>
      <c r="AU66" s="21"/>
      <c r="AV66" s="21"/>
      <c r="AW66" s="21"/>
      <c r="AX66" s="21"/>
      <c r="AY66" s="21"/>
      <c r="AZ66" s="20"/>
      <c r="BD66" s="1248" t="s">
        <v>2558</v>
      </c>
      <c r="BE66" s="1249" t="b">
        <f>Application!Z205="State Farmworker Credit"</f>
        <v>0</v>
      </c>
    </row>
    <row r="67" spans="1:57" ht="12.95" customHeight="1">
      <c r="A67" s="1542"/>
      <c r="B67" s="1542"/>
      <c r="C67" s="1542"/>
      <c r="D67" s="1542"/>
      <c r="E67" s="1542"/>
      <c r="F67" s="1542"/>
      <c r="G67" s="1542"/>
      <c r="H67" s="1542"/>
      <c r="I67" s="1542"/>
      <c r="J67" s="1542"/>
      <c r="K67" s="1542"/>
      <c r="L67" s="1542"/>
      <c r="M67" s="1542"/>
      <c r="N67" s="1542"/>
      <c r="O67" s="1542"/>
      <c r="P67" s="1542"/>
      <c r="Q67" s="1542"/>
      <c r="R67" s="1542"/>
      <c r="S67" s="1542"/>
      <c r="T67" s="1542"/>
      <c r="U67" s="1542"/>
      <c r="V67" s="1542"/>
      <c r="W67" s="1542"/>
      <c r="X67" s="1542"/>
      <c r="Y67" s="1542"/>
      <c r="Z67" s="1542"/>
      <c r="AA67" s="1542"/>
      <c r="AB67" s="1542"/>
      <c r="AC67" s="1542"/>
      <c r="AD67" s="1542"/>
      <c r="AE67" s="1542"/>
      <c r="AF67" s="1542"/>
      <c r="AG67" s="1542"/>
      <c r="AH67" s="1542"/>
      <c r="AI67" s="1542"/>
      <c r="AJ67" s="1542"/>
      <c r="AK67" s="1542"/>
      <c r="AL67" s="1542"/>
      <c r="AM67" s="1542"/>
      <c r="AN67" s="1542"/>
      <c r="AO67" s="1542"/>
      <c r="AP67" s="1542"/>
      <c r="AQ67" s="1542"/>
      <c r="AR67" s="1542"/>
      <c r="AS67" s="1542"/>
      <c r="AT67" s="1542"/>
      <c r="AZ67" s="20"/>
      <c r="BD67" s="1247" t="s">
        <v>2559</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2560</v>
      </c>
      <c r="BE68" s="1249">
        <f>'Sources and Uses Budget'!D105</f>
        <v>0</v>
      </c>
    </row>
    <row r="69" spans="1:57" ht="12.95" customHeight="1">
      <c r="A69" s="1542" t="s">
        <v>2157</v>
      </c>
      <c r="B69" s="1542"/>
      <c r="C69" s="1542"/>
      <c r="D69" s="1542"/>
      <c r="E69" s="1542"/>
      <c r="F69" s="1542"/>
      <c r="G69" s="1542"/>
      <c r="H69" s="1542"/>
      <c r="I69" s="1542"/>
      <c r="J69" s="1542"/>
      <c r="K69" s="1542"/>
      <c r="L69" s="1542"/>
      <c r="M69" s="1542"/>
      <c r="N69" s="1542"/>
      <c r="O69" s="1542"/>
      <c r="P69" s="1542"/>
      <c r="Q69" s="1542"/>
      <c r="R69" s="1542"/>
      <c r="S69" s="1542"/>
      <c r="T69" s="1542"/>
      <c r="U69" s="1542"/>
      <c r="V69" s="1542"/>
      <c r="W69" s="1542"/>
      <c r="X69" s="1542"/>
      <c r="Y69" s="1542"/>
      <c r="Z69" s="1542"/>
      <c r="AA69" s="1542"/>
      <c r="AB69" s="1542"/>
      <c r="AC69" s="1542"/>
      <c r="AD69" s="1542"/>
      <c r="AE69" s="1542"/>
      <c r="AF69" s="1542"/>
      <c r="AG69" s="1542"/>
      <c r="AH69" s="1542"/>
      <c r="AI69" s="1542"/>
      <c r="AJ69" s="1542"/>
      <c r="AK69" s="1542"/>
      <c r="AL69" s="1542"/>
      <c r="AM69" s="1542"/>
      <c r="AN69" s="1542"/>
      <c r="AO69" s="1542"/>
      <c r="AP69" s="1542"/>
      <c r="AQ69" s="1542"/>
      <c r="AR69" s="1542"/>
      <c r="AS69" s="1542"/>
      <c r="AT69" s="1542"/>
      <c r="AZ69" s="20"/>
      <c r="BD69" s="1247" t="s">
        <v>2561</v>
      </c>
      <c r="BE69" s="1249" t="str">
        <f>Application!W700</f>
        <v>California Municipal Finance Authority</v>
      </c>
    </row>
    <row r="70" spans="1:57" ht="12.95" customHeight="1">
      <c r="A70" s="1542"/>
      <c r="B70" s="1542"/>
      <c r="C70" s="1542"/>
      <c r="D70" s="1542"/>
      <c r="E70" s="1542"/>
      <c r="F70" s="1542"/>
      <c r="G70" s="1542"/>
      <c r="H70" s="1542"/>
      <c r="I70" s="1542"/>
      <c r="J70" s="1542"/>
      <c r="K70" s="1542"/>
      <c r="L70" s="1542"/>
      <c r="M70" s="1542"/>
      <c r="N70" s="1542"/>
      <c r="O70" s="1542"/>
      <c r="P70" s="1542"/>
      <c r="Q70" s="1542"/>
      <c r="R70" s="1542"/>
      <c r="S70" s="1542"/>
      <c r="T70" s="1542"/>
      <c r="U70" s="1542"/>
      <c r="V70" s="1542"/>
      <c r="W70" s="1542"/>
      <c r="X70" s="1542"/>
      <c r="Y70" s="1542"/>
      <c r="Z70" s="1542"/>
      <c r="AA70" s="1542"/>
      <c r="AB70" s="1542"/>
      <c r="AC70" s="1542"/>
      <c r="AD70" s="1542"/>
      <c r="AE70" s="1542"/>
      <c r="AF70" s="1542"/>
      <c r="AG70" s="1542"/>
      <c r="AH70" s="1542"/>
      <c r="AI70" s="1542"/>
      <c r="AJ70" s="1542"/>
      <c r="AK70" s="1542"/>
      <c r="AL70" s="1542"/>
      <c r="AM70" s="1542"/>
      <c r="AN70" s="1542"/>
      <c r="AO70" s="1542"/>
      <c r="AP70" s="1542"/>
      <c r="AQ70" s="1542"/>
      <c r="AR70" s="1542"/>
      <c r="AS70" s="1542"/>
      <c r="AT70" s="1542"/>
      <c r="AU70" s="20"/>
      <c r="AV70" s="20"/>
      <c r="AW70" s="20"/>
      <c r="AX70" s="20"/>
      <c r="AY70" s="20"/>
      <c r="AZ70" s="20"/>
      <c r="BD70" s="1248" t="s">
        <v>2562</v>
      </c>
      <c r="BE70" s="1249">
        <f ca="1">'Points System'!AF821</f>
        <v>120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2563</v>
      </c>
      <c r="BE71" s="1249">
        <f>'Points System'!AF804</f>
        <v>0</v>
      </c>
    </row>
    <row r="72" spans="1:57" ht="12.95" customHeight="1">
      <c r="A72" s="1532" t="s">
        <v>2158</v>
      </c>
      <c r="B72" s="1532"/>
      <c r="C72" s="1532"/>
      <c r="D72" s="1532"/>
      <c r="E72" s="1532"/>
      <c r="F72" s="1532"/>
      <c r="G72" s="1532"/>
      <c r="H72" s="1532"/>
      <c r="I72" s="1532"/>
      <c r="J72" s="1532"/>
      <c r="K72" s="1532"/>
      <c r="L72" s="1532"/>
      <c r="M72" s="1532"/>
      <c r="N72" s="1532"/>
      <c r="O72" s="1532"/>
      <c r="P72" s="1532"/>
      <c r="Q72" s="1532"/>
      <c r="R72" s="1532"/>
      <c r="S72" s="1532"/>
      <c r="T72" s="1532"/>
      <c r="U72" s="1532"/>
      <c r="V72" s="1532"/>
      <c r="W72" s="1532"/>
      <c r="X72" s="1532"/>
      <c r="Y72" s="1532"/>
      <c r="Z72" s="1532"/>
      <c r="AA72" s="1532"/>
      <c r="AB72" s="1532"/>
      <c r="AC72" s="1532"/>
      <c r="AD72" s="1532"/>
      <c r="AE72" s="1532"/>
      <c r="AF72" s="1532"/>
      <c r="AG72" s="1532"/>
      <c r="AH72" s="1532"/>
      <c r="AI72" s="1532"/>
      <c r="AJ72" s="1532"/>
      <c r="AK72" s="1532"/>
      <c r="AL72" s="1532"/>
      <c r="AM72" s="1532"/>
      <c r="AN72" s="1532"/>
      <c r="AO72" s="1532"/>
      <c r="AP72" s="1532"/>
      <c r="AQ72" s="1532"/>
      <c r="AR72" s="1532"/>
      <c r="AS72" s="1532"/>
      <c r="AT72" s="1532"/>
      <c r="AU72" s="20"/>
      <c r="AV72" s="20"/>
      <c r="AW72" s="20"/>
      <c r="AX72" s="20"/>
      <c r="AY72" s="20"/>
      <c r="AZ72" s="20"/>
      <c r="BD72" s="1248" t="s">
        <v>2564</v>
      </c>
      <c r="BE72" s="1249">
        <f>'Points System'!AF805</f>
        <v>10</v>
      </c>
    </row>
    <row r="73" spans="1:57" ht="12.95" customHeight="1">
      <c r="A73" s="1532"/>
      <c r="B73" s="1532"/>
      <c r="C73" s="1532"/>
      <c r="D73" s="1532"/>
      <c r="E73" s="1532"/>
      <c r="F73" s="1532"/>
      <c r="G73" s="1532"/>
      <c r="H73" s="1532"/>
      <c r="I73" s="1532"/>
      <c r="J73" s="1532"/>
      <c r="K73" s="1532"/>
      <c r="L73" s="1532"/>
      <c r="M73" s="1532"/>
      <c r="N73" s="1532"/>
      <c r="O73" s="1532"/>
      <c r="P73" s="1532"/>
      <c r="Q73" s="1532"/>
      <c r="R73" s="1532"/>
      <c r="S73" s="1532"/>
      <c r="T73" s="1532"/>
      <c r="U73" s="1532"/>
      <c r="V73" s="1532"/>
      <c r="W73" s="1532"/>
      <c r="X73" s="1532"/>
      <c r="Y73" s="1532"/>
      <c r="Z73" s="1532"/>
      <c r="AA73" s="1532"/>
      <c r="AB73" s="1532"/>
      <c r="AC73" s="1532"/>
      <c r="AD73" s="1532"/>
      <c r="AE73" s="1532"/>
      <c r="AF73" s="1532"/>
      <c r="AG73" s="1532"/>
      <c r="AH73" s="1532"/>
      <c r="AI73" s="1532"/>
      <c r="AJ73" s="1532"/>
      <c r="AK73" s="1532"/>
      <c r="AL73" s="1532"/>
      <c r="AM73" s="1532"/>
      <c r="AN73" s="1532"/>
      <c r="AO73" s="1532"/>
      <c r="AP73" s="1532"/>
      <c r="AQ73" s="1532"/>
      <c r="AR73" s="1532"/>
      <c r="AS73" s="1532"/>
      <c r="AT73" s="1532"/>
      <c r="AU73" s="20"/>
      <c r="AV73" s="20"/>
      <c r="AW73" s="20"/>
      <c r="AX73" s="20"/>
      <c r="AY73" s="20"/>
      <c r="AZ73" s="20"/>
      <c r="BD73" s="1247" t="s">
        <v>2565</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2566</v>
      </c>
      <c r="BE74" s="1249">
        <f>'Points System'!AF807</f>
        <v>10</v>
      </c>
    </row>
    <row r="75" spans="1:57" ht="12.95" customHeight="1">
      <c r="A75" s="1541" t="s">
        <v>2159</v>
      </c>
      <c r="B75" s="1541"/>
      <c r="C75" s="1541"/>
      <c r="D75" s="1541"/>
      <c r="E75" s="1541"/>
      <c r="F75" s="1541"/>
      <c r="G75" s="1541"/>
      <c r="H75" s="1541"/>
      <c r="I75" s="1541"/>
      <c r="J75" s="1541"/>
      <c r="K75" s="1541"/>
      <c r="L75" s="1541"/>
      <c r="M75" s="1541"/>
      <c r="N75" s="1541"/>
      <c r="O75" s="1541"/>
      <c r="P75" s="1541"/>
      <c r="Q75" s="1541"/>
      <c r="R75" s="1541"/>
      <c r="S75" s="1541"/>
      <c r="T75" s="1541"/>
      <c r="U75" s="1541"/>
      <c r="V75" s="1541"/>
      <c r="W75" s="1541"/>
      <c r="X75" s="1541"/>
      <c r="Y75" s="1541"/>
      <c r="Z75" s="1541"/>
      <c r="AA75" s="1541"/>
      <c r="AB75" s="1541"/>
      <c r="AC75" s="1541"/>
      <c r="AD75" s="1541"/>
      <c r="AE75" s="1541"/>
      <c r="AF75" s="1541"/>
      <c r="AG75" s="1541"/>
      <c r="AH75" s="1541"/>
      <c r="AI75" s="1541"/>
      <c r="AJ75" s="1541"/>
      <c r="AK75" s="1541"/>
      <c r="AL75" s="1541"/>
      <c r="AM75" s="1541"/>
      <c r="AN75" s="1541"/>
      <c r="AO75" s="1541"/>
      <c r="AP75" s="1541"/>
      <c r="AQ75" s="1541"/>
      <c r="AR75" s="1541"/>
      <c r="AS75" s="1541"/>
      <c r="AT75" s="1541"/>
      <c r="AU75" s="20"/>
      <c r="AV75" s="20"/>
      <c r="AW75" s="20"/>
      <c r="AX75" s="20"/>
      <c r="AY75" s="20"/>
      <c r="AZ75" s="20"/>
      <c r="BD75" s="1247" t="s">
        <v>2567</v>
      </c>
      <c r="BE75" s="1249">
        <f>'Points System'!AF808</f>
        <v>10</v>
      </c>
    </row>
    <row r="76" spans="1:57" ht="12.95" customHeight="1">
      <c r="A76" s="1541"/>
      <c r="B76" s="1541"/>
      <c r="C76" s="1541"/>
      <c r="D76" s="1541"/>
      <c r="E76" s="1541"/>
      <c r="F76" s="1541"/>
      <c r="G76" s="1541"/>
      <c r="H76" s="1541"/>
      <c r="I76" s="1541"/>
      <c r="J76" s="1541"/>
      <c r="K76" s="1541"/>
      <c r="L76" s="1541"/>
      <c r="M76" s="1541"/>
      <c r="N76" s="1541"/>
      <c r="O76" s="1541"/>
      <c r="P76" s="1541"/>
      <c r="Q76" s="1541"/>
      <c r="R76" s="1541"/>
      <c r="S76" s="1541"/>
      <c r="T76" s="1541"/>
      <c r="U76" s="1541"/>
      <c r="V76" s="1541"/>
      <c r="W76" s="1541"/>
      <c r="X76" s="1541"/>
      <c r="Y76" s="1541"/>
      <c r="Z76" s="1541"/>
      <c r="AA76" s="1541"/>
      <c r="AB76" s="1541"/>
      <c r="AC76" s="1541"/>
      <c r="AD76" s="1541"/>
      <c r="AE76" s="1541"/>
      <c r="AF76" s="1541"/>
      <c r="AG76" s="1541"/>
      <c r="AH76" s="1541"/>
      <c r="AI76" s="1541"/>
      <c r="AJ76" s="1541"/>
      <c r="AK76" s="1541"/>
      <c r="AL76" s="1541"/>
      <c r="AM76" s="1541"/>
      <c r="AN76" s="1541"/>
      <c r="AO76" s="1541"/>
      <c r="AP76" s="1541"/>
      <c r="AQ76" s="1541"/>
      <c r="AR76" s="1541"/>
      <c r="AS76" s="1541"/>
      <c r="AT76" s="1541"/>
      <c r="AU76" s="20"/>
      <c r="AV76" s="20"/>
      <c r="AW76" s="20"/>
      <c r="AX76" s="20"/>
      <c r="AY76" s="20"/>
      <c r="AZ76" s="17"/>
      <c r="BD76" s="1248" t="s">
        <v>2568</v>
      </c>
      <c r="BE76" s="1249">
        <f>'Points System'!AF811</f>
        <v>10</v>
      </c>
    </row>
    <row r="77" spans="1:57" ht="12.95" customHeight="1">
      <c r="A77" s="1541"/>
      <c r="B77" s="1541"/>
      <c r="C77" s="1541"/>
      <c r="D77" s="1541"/>
      <c r="E77" s="1541"/>
      <c r="F77" s="1541"/>
      <c r="G77" s="1541"/>
      <c r="H77" s="1541"/>
      <c r="I77" s="1541"/>
      <c r="J77" s="1541"/>
      <c r="K77" s="1541"/>
      <c r="L77" s="1541"/>
      <c r="M77" s="1541"/>
      <c r="N77" s="1541"/>
      <c r="O77" s="1541"/>
      <c r="P77" s="1541"/>
      <c r="Q77" s="1541"/>
      <c r="R77" s="1541"/>
      <c r="S77" s="1541"/>
      <c r="T77" s="1541"/>
      <c r="U77" s="1541"/>
      <c r="V77" s="1541"/>
      <c r="W77" s="1541"/>
      <c r="X77" s="1541"/>
      <c r="Y77" s="1541"/>
      <c r="Z77" s="1541"/>
      <c r="AA77" s="1541"/>
      <c r="AB77" s="1541"/>
      <c r="AC77" s="1541"/>
      <c r="AD77" s="1541"/>
      <c r="AE77" s="1541"/>
      <c r="AF77" s="1541"/>
      <c r="AG77" s="1541"/>
      <c r="AH77" s="1541"/>
      <c r="AI77" s="1541"/>
      <c r="AJ77" s="1541"/>
      <c r="AK77" s="1541"/>
      <c r="AL77" s="1541"/>
      <c r="AM77" s="1541"/>
      <c r="AN77" s="1541"/>
      <c r="AO77" s="1541"/>
      <c r="AP77" s="1541"/>
      <c r="AQ77" s="1541"/>
      <c r="AR77" s="1541"/>
      <c r="AS77" s="1541"/>
      <c r="AT77" s="1541"/>
      <c r="AU77" s="20"/>
      <c r="AV77" s="20"/>
      <c r="AW77" s="20"/>
      <c r="AX77" s="20"/>
      <c r="AY77" s="20"/>
      <c r="AZ77" s="17"/>
      <c r="BD77" s="1247" t="s">
        <v>2569</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2570</v>
      </c>
      <c r="BE78" s="1249">
        <f>'Points System'!AF814</f>
        <v>10</v>
      </c>
    </row>
    <row r="79" spans="1:57" ht="12.95" customHeight="1">
      <c r="A79" s="1542" t="s">
        <v>2160</v>
      </c>
      <c r="B79" s="1542"/>
      <c r="C79" s="1542"/>
      <c r="D79" s="1542"/>
      <c r="E79" s="1542"/>
      <c r="F79" s="1542"/>
      <c r="G79" s="1542"/>
      <c r="H79" s="1542"/>
      <c r="I79" s="1542"/>
      <c r="J79" s="1542"/>
      <c r="K79" s="1542"/>
      <c r="L79" s="1542"/>
      <c r="M79" s="1542"/>
      <c r="N79" s="1542"/>
      <c r="O79" s="1542"/>
      <c r="P79" s="1542"/>
      <c r="Q79" s="1542"/>
      <c r="R79" s="1542"/>
      <c r="S79" s="1542"/>
      <c r="T79" s="1542"/>
      <c r="U79" s="1542"/>
      <c r="V79" s="1542"/>
      <c r="W79" s="1542"/>
      <c r="X79" s="1542"/>
      <c r="Y79" s="1542"/>
      <c r="Z79" s="1542"/>
      <c r="AA79" s="1542"/>
      <c r="AB79" s="1542"/>
      <c r="AC79" s="1542"/>
      <c r="AD79" s="1542"/>
      <c r="AE79" s="1542"/>
      <c r="AF79" s="1542"/>
      <c r="AG79" s="1542"/>
      <c r="AH79" s="1542"/>
      <c r="AI79" s="1542"/>
      <c r="AJ79" s="1542"/>
      <c r="AK79" s="1542"/>
      <c r="AL79" s="1542"/>
      <c r="AM79" s="1542"/>
      <c r="AN79" s="1542"/>
      <c r="AO79" s="1542"/>
      <c r="AP79" s="1542"/>
      <c r="AQ79" s="1542"/>
      <c r="AR79" s="1542"/>
      <c r="AS79" s="1542"/>
      <c r="AT79" s="1542"/>
      <c r="AU79" s="20"/>
      <c r="AV79" s="20"/>
      <c r="AW79" s="20"/>
      <c r="AX79" s="20"/>
      <c r="AY79" s="20"/>
      <c r="AZ79" s="20"/>
      <c r="BD79" s="1247" t="s">
        <v>2571</v>
      </c>
      <c r="BE79" s="1249">
        <f>'Points System'!AF815</f>
        <v>10</v>
      </c>
    </row>
    <row r="80" spans="1:57" ht="12.95" customHeight="1">
      <c r="A80" s="1542"/>
      <c r="B80" s="1542"/>
      <c r="C80" s="1542"/>
      <c r="D80" s="1542"/>
      <c r="E80" s="1542"/>
      <c r="F80" s="1542"/>
      <c r="G80" s="1542"/>
      <c r="H80" s="1542"/>
      <c r="I80" s="1542"/>
      <c r="J80" s="1542"/>
      <c r="K80" s="1542"/>
      <c r="L80" s="1542"/>
      <c r="M80" s="1542"/>
      <c r="N80" s="1542"/>
      <c r="O80" s="1542"/>
      <c r="P80" s="1542"/>
      <c r="Q80" s="1542"/>
      <c r="R80" s="1542"/>
      <c r="S80" s="1542"/>
      <c r="T80" s="1542"/>
      <c r="U80" s="1542"/>
      <c r="V80" s="1542"/>
      <c r="W80" s="1542"/>
      <c r="X80" s="1542"/>
      <c r="Y80" s="1542"/>
      <c r="Z80" s="1542"/>
      <c r="AA80" s="1542"/>
      <c r="AB80" s="1542"/>
      <c r="AC80" s="1542"/>
      <c r="AD80" s="1542"/>
      <c r="AE80" s="1542"/>
      <c r="AF80" s="1542"/>
      <c r="AG80" s="1542"/>
      <c r="AH80" s="1542"/>
      <c r="AI80" s="1542"/>
      <c r="AJ80" s="1542"/>
      <c r="AK80" s="1542"/>
      <c r="AL80" s="1542"/>
      <c r="AM80" s="1542"/>
      <c r="AN80" s="1542"/>
      <c r="AO80" s="1542"/>
      <c r="AP80" s="1542"/>
      <c r="AQ80" s="1542"/>
      <c r="AR80" s="1542"/>
      <c r="AS80" s="1542"/>
      <c r="AT80" s="1542"/>
      <c r="AU80" s="20"/>
      <c r="AV80" s="20"/>
      <c r="AW80" s="20"/>
      <c r="AX80" s="20"/>
      <c r="AY80" s="20"/>
      <c r="AZ80" s="20"/>
      <c r="BD80" s="1248" t="s">
        <v>2572</v>
      </c>
      <c r="BE80" s="1249">
        <f>'Points System'!AF817</f>
        <v>10</v>
      </c>
    </row>
    <row r="81" spans="1:57" ht="12.95" customHeight="1">
      <c r="A81" s="1542"/>
      <c r="B81" s="1542"/>
      <c r="C81" s="1542"/>
      <c r="D81" s="1542"/>
      <c r="E81" s="1542"/>
      <c r="F81" s="1542"/>
      <c r="G81" s="1542"/>
      <c r="H81" s="1542"/>
      <c r="I81" s="1542"/>
      <c r="J81" s="1542"/>
      <c r="K81" s="1542"/>
      <c r="L81" s="1542"/>
      <c r="M81" s="1542"/>
      <c r="N81" s="1542"/>
      <c r="O81" s="1542"/>
      <c r="P81" s="1542"/>
      <c r="Q81" s="1542"/>
      <c r="R81" s="1542"/>
      <c r="S81" s="1542"/>
      <c r="T81" s="1542"/>
      <c r="U81" s="1542"/>
      <c r="V81" s="1542"/>
      <c r="W81" s="1542"/>
      <c r="X81" s="1542"/>
      <c r="Y81" s="1542"/>
      <c r="Z81" s="1542"/>
      <c r="AA81" s="1542"/>
      <c r="AB81" s="1542"/>
      <c r="AC81" s="1542"/>
      <c r="AD81" s="1542"/>
      <c r="AE81" s="1542"/>
      <c r="AF81" s="1542"/>
      <c r="AG81" s="1542"/>
      <c r="AH81" s="1542"/>
      <c r="AI81" s="1542"/>
      <c r="AJ81" s="1542"/>
      <c r="AK81" s="1542"/>
      <c r="AL81" s="1542"/>
      <c r="AM81" s="1542"/>
      <c r="AN81" s="1542"/>
      <c r="AO81" s="1542"/>
      <c r="AP81" s="1542"/>
      <c r="AQ81" s="1542"/>
      <c r="AR81" s="1542"/>
      <c r="AS81" s="1542"/>
      <c r="AT81" s="1542"/>
      <c r="AU81" s="20"/>
      <c r="AV81" s="20"/>
      <c r="AW81" s="20"/>
      <c r="AX81" s="20"/>
      <c r="AY81" s="20"/>
      <c r="AZ81" s="20"/>
      <c r="BD81" s="1247" t="s">
        <v>2573</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2574</v>
      </c>
      <c r="BE82" s="1249">
        <f>'Points System'!AF819</f>
        <v>10</v>
      </c>
    </row>
    <row r="83" spans="1:57" ht="12.95" customHeight="1">
      <c r="A83" s="1260" t="s">
        <v>2161</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2575</v>
      </c>
      <c r="BE83" s="1253">
        <f>'Tie Breaker'!H5</f>
        <v>1.2822291028810076</v>
      </c>
    </row>
    <row r="84" spans="1:57" ht="12.95"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2576</v>
      </c>
      <c r="BE84" s="1249" t="str">
        <f>Application!O153</f>
        <v xml:space="preserve">City of San Ramon </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2577</v>
      </c>
      <c r="BE85" s="1249" t="str">
        <f>Application!O154</f>
        <v>Brooke Litman</v>
      </c>
    </row>
    <row r="86" spans="1:57" ht="12.95" customHeight="1">
      <c r="A86" s="1260" t="s">
        <v>2162</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2578</v>
      </c>
      <c r="BE86" s="1249" t="str">
        <f>Application!O155</f>
        <v>Housing Programs Manager</v>
      </c>
    </row>
    <row r="87" spans="1:57" ht="12.95"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2579</v>
      </c>
      <c r="BE87" s="1249" t="str">
        <f>Application!O156</f>
        <v xml:space="preserve">2222 Camino Ramon </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2580</v>
      </c>
      <c r="BE88" s="1249" t="str">
        <f>Application!O157</f>
        <v xml:space="preserve">San Ramon </v>
      </c>
    </row>
    <row r="89" spans="1:57" ht="12.95" customHeight="1">
      <c r="A89" s="1551" t="s">
        <v>2163</v>
      </c>
      <c r="B89" s="1551"/>
      <c r="C89" s="1551"/>
      <c r="D89" s="1551"/>
      <c r="E89" s="1551"/>
      <c r="F89" s="1551"/>
      <c r="G89" s="1551"/>
      <c r="H89" s="1551"/>
      <c r="I89" s="1551"/>
      <c r="J89" s="1551"/>
      <c r="K89" s="1551"/>
      <c r="L89" s="1551"/>
      <c r="M89" s="1551"/>
      <c r="N89" s="1551"/>
      <c r="O89" s="1551"/>
      <c r="P89" s="1551"/>
      <c r="Q89" s="1551"/>
      <c r="R89" s="1551"/>
      <c r="S89" s="1551"/>
      <c r="T89" s="1551"/>
      <c r="U89" s="1551"/>
      <c r="V89" s="1551"/>
      <c r="W89" s="1551"/>
      <c r="X89" s="1551"/>
      <c r="Y89" s="1551"/>
      <c r="Z89" s="1551"/>
      <c r="AA89" s="1551"/>
      <c r="AB89" s="1551"/>
      <c r="AC89" s="1551"/>
      <c r="AD89" s="1551"/>
      <c r="AE89" s="1551"/>
      <c r="AF89" s="1551"/>
      <c r="AG89" s="1551"/>
      <c r="AH89" s="1551"/>
      <c r="AI89" s="1551"/>
      <c r="AJ89" s="1551"/>
      <c r="AK89" s="1551"/>
      <c r="AL89" s="1551"/>
      <c r="AM89" s="1551"/>
      <c r="AN89" s="1551"/>
      <c r="AO89" s="1551"/>
      <c r="AP89" s="1551"/>
      <c r="AQ89" s="1551"/>
      <c r="AR89" s="1551"/>
      <c r="AS89" s="1551"/>
      <c r="AT89" s="1551"/>
      <c r="AU89" s="17"/>
      <c r="AV89" s="17"/>
      <c r="AW89" s="17"/>
      <c r="AX89" s="17"/>
      <c r="AY89" s="17"/>
      <c r="AZ89" s="20"/>
      <c r="BD89" s="1247" t="s">
        <v>2581</v>
      </c>
      <c r="BE89" s="1249">
        <f>Application!O158</f>
        <v>94583</v>
      </c>
    </row>
    <row r="90" spans="1:57" ht="12.95" customHeight="1">
      <c r="A90" s="1551"/>
      <c r="B90" s="1551"/>
      <c r="C90" s="1551"/>
      <c r="D90" s="1551"/>
      <c r="E90" s="1551"/>
      <c r="F90" s="1551"/>
      <c r="G90" s="1551"/>
      <c r="H90" s="1551"/>
      <c r="I90" s="1551"/>
      <c r="J90" s="1551"/>
      <c r="K90" s="1551"/>
      <c r="L90" s="1551"/>
      <c r="M90" s="1551"/>
      <c r="N90" s="1551"/>
      <c r="O90" s="1551"/>
      <c r="P90" s="1551"/>
      <c r="Q90" s="1551"/>
      <c r="R90" s="1551"/>
      <c r="S90" s="1551"/>
      <c r="T90" s="1551"/>
      <c r="U90" s="1551"/>
      <c r="V90" s="1551"/>
      <c r="W90" s="1551"/>
      <c r="X90" s="1551"/>
      <c r="Y90" s="1551"/>
      <c r="Z90" s="1551"/>
      <c r="AA90" s="1551"/>
      <c r="AB90" s="1551"/>
      <c r="AC90" s="1551"/>
      <c r="AD90" s="1551"/>
      <c r="AE90" s="1551"/>
      <c r="AF90" s="1551"/>
      <c r="AG90" s="1551"/>
      <c r="AH90" s="1551"/>
      <c r="AI90" s="1551"/>
      <c r="AJ90" s="1551"/>
      <c r="AK90" s="1551"/>
      <c r="AL90" s="1551"/>
      <c r="AM90" s="1551"/>
      <c r="AN90" s="1551"/>
      <c r="AO90" s="1551"/>
      <c r="AP90" s="1551"/>
      <c r="AQ90" s="1551"/>
      <c r="AR90" s="1551"/>
      <c r="AS90" s="1551"/>
      <c r="AT90" s="1551"/>
      <c r="AU90" s="17"/>
      <c r="AV90" s="17"/>
      <c r="AW90" s="17"/>
      <c r="AX90" s="17"/>
      <c r="AY90" s="17"/>
      <c r="AZ90" s="20"/>
      <c r="BD90" s="1248" t="s">
        <v>2582</v>
      </c>
      <c r="BE90" s="1249" t="str">
        <f>Application!H16</f>
        <v xml:space="preserve">LIHTC Advisors, LLC </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2583</v>
      </c>
      <c r="BE91" s="1249" t="str">
        <f>Application!M233</f>
        <v xml:space="preserve">4509 W Salix Drive </v>
      </c>
    </row>
    <row r="92" spans="1:57" ht="12.95" customHeight="1">
      <c r="A92" s="1541" t="s">
        <v>2164</v>
      </c>
      <c r="B92" s="1541"/>
      <c r="C92" s="1541"/>
      <c r="D92" s="1541"/>
      <c r="E92" s="1541"/>
      <c r="F92" s="1541"/>
      <c r="G92" s="1541"/>
      <c r="H92" s="1541"/>
      <c r="I92" s="1541"/>
      <c r="J92" s="1541"/>
      <c r="K92" s="1541"/>
      <c r="L92" s="1541"/>
      <c r="M92" s="1541"/>
      <c r="N92" s="1541"/>
      <c r="O92" s="1541"/>
      <c r="P92" s="1541"/>
      <c r="Q92" s="1541"/>
      <c r="R92" s="1541"/>
      <c r="S92" s="1541"/>
      <c r="T92" s="1541"/>
      <c r="U92" s="1541"/>
      <c r="V92" s="1541"/>
      <c r="W92" s="1541"/>
      <c r="X92" s="1541"/>
      <c r="Y92" s="1541"/>
      <c r="Z92" s="1541"/>
      <c r="AA92" s="1541"/>
      <c r="AB92" s="1541"/>
      <c r="AC92" s="1541"/>
      <c r="AD92" s="1541"/>
      <c r="AE92" s="1541"/>
      <c r="AF92" s="1541"/>
      <c r="AG92" s="1541"/>
      <c r="AH92" s="1541"/>
      <c r="AI92" s="1541"/>
      <c r="AJ92" s="1541"/>
      <c r="AK92" s="1541"/>
      <c r="AL92" s="1541"/>
      <c r="AM92" s="1541"/>
      <c r="AN92" s="1541"/>
      <c r="AO92" s="1541"/>
      <c r="AP92" s="1541"/>
      <c r="AQ92" s="1541"/>
      <c r="AR92" s="1541"/>
      <c r="AS92" s="1541"/>
      <c r="AT92" s="1541"/>
      <c r="AU92" s="20"/>
      <c r="AV92" s="20"/>
      <c r="AW92" s="20"/>
      <c r="AX92" s="20"/>
      <c r="AY92" s="20"/>
      <c r="AZ92" s="20"/>
      <c r="BD92" s="1248" t="s">
        <v>2584</v>
      </c>
      <c r="BE92" s="1249" t="str">
        <f>Application!M234</f>
        <v xml:space="preserve">Meridian </v>
      </c>
    </row>
    <row r="93" spans="1:57" ht="12.95" customHeight="1">
      <c r="A93" s="1541"/>
      <c r="B93" s="1541"/>
      <c r="C93" s="1541"/>
      <c r="D93" s="1541"/>
      <c r="E93" s="1541"/>
      <c r="F93" s="1541"/>
      <c r="G93" s="1541"/>
      <c r="H93" s="1541"/>
      <c r="I93" s="1541"/>
      <c r="J93" s="1541"/>
      <c r="K93" s="1541"/>
      <c r="L93" s="1541"/>
      <c r="M93" s="1541"/>
      <c r="N93" s="1541"/>
      <c r="O93" s="1541"/>
      <c r="P93" s="1541"/>
      <c r="Q93" s="1541"/>
      <c r="R93" s="1541"/>
      <c r="S93" s="1541"/>
      <c r="T93" s="1541"/>
      <c r="U93" s="1541"/>
      <c r="V93" s="1541"/>
      <c r="W93" s="1541"/>
      <c r="X93" s="1541"/>
      <c r="Y93" s="1541"/>
      <c r="Z93" s="1541"/>
      <c r="AA93" s="1541"/>
      <c r="AB93" s="1541"/>
      <c r="AC93" s="1541"/>
      <c r="AD93" s="1541"/>
      <c r="AE93" s="1541"/>
      <c r="AF93" s="1541"/>
      <c r="AG93" s="1541"/>
      <c r="AH93" s="1541"/>
      <c r="AI93" s="1541"/>
      <c r="AJ93" s="1541"/>
      <c r="AK93" s="1541"/>
      <c r="AL93" s="1541"/>
      <c r="AM93" s="1541"/>
      <c r="AN93" s="1541"/>
      <c r="AO93" s="1541"/>
      <c r="AP93" s="1541"/>
      <c r="AQ93" s="1541"/>
      <c r="AR93" s="1541"/>
      <c r="AS93" s="1541"/>
      <c r="AT93" s="1541"/>
      <c r="AU93" s="20"/>
      <c r="AV93" s="20"/>
      <c r="AW93" s="20"/>
      <c r="AX93" s="20"/>
      <c r="AY93" s="20"/>
      <c r="AZ93" s="20"/>
      <c r="BD93" s="1247" t="s">
        <v>2585</v>
      </c>
      <c r="BE93" s="1249" t="str">
        <f>Application!W234</f>
        <v xml:space="preserve">ID </v>
      </c>
    </row>
    <row r="94" spans="1:57" ht="12.95" customHeight="1">
      <c r="A94" s="1541"/>
      <c r="B94" s="1541"/>
      <c r="C94" s="1541"/>
      <c r="D94" s="1541"/>
      <c r="E94" s="1541"/>
      <c r="F94" s="1541"/>
      <c r="G94" s="1541"/>
      <c r="H94" s="1541"/>
      <c r="I94" s="1541"/>
      <c r="J94" s="1541"/>
      <c r="K94" s="1541"/>
      <c r="L94" s="1541"/>
      <c r="M94" s="1541"/>
      <c r="N94" s="1541"/>
      <c r="O94" s="1541"/>
      <c r="P94" s="1541"/>
      <c r="Q94" s="1541"/>
      <c r="R94" s="1541"/>
      <c r="S94" s="1541"/>
      <c r="T94" s="1541"/>
      <c r="U94" s="1541"/>
      <c r="V94" s="1541"/>
      <c r="W94" s="1541"/>
      <c r="X94" s="1541"/>
      <c r="Y94" s="1541"/>
      <c r="Z94" s="1541"/>
      <c r="AA94" s="1541"/>
      <c r="AB94" s="1541"/>
      <c r="AC94" s="1541"/>
      <c r="AD94" s="1541"/>
      <c r="AE94" s="1541"/>
      <c r="AF94" s="1541"/>
      <c r="AG94" s="1541"/>
      <c r="AH94" s="1541"/>
      <c r="AI94" s="1541"/>
      <c r="AJ94" s="1541"/>
      <c r="AK94" s="1541"/>
      <c r="AL94" s="1541"/>
      <c r="AM94" s="1541"/>
      <c r="AN94" s="1541"/>
      <c r="AO94" s="1541"/>
      <c r="AP94" s="1541"/>
      <c r="AQ94" s="1541"/>
      <c r="AR94" s="1541"/>
      <c r="AS94" s="1541"/>
      <c r="AT94" s="1541"/>
      <c r="AU94" s="20"/>
      <c r="AV94" s="20"/>
      <c r="AW94" s="20"/>
      <c r="AX94" s="20"/>
      <c r="AY94" s="20"/>
      <c r="AZ94" s="20"/>
      <c r="BD94" s="1248" t="s">
        <v>2586</v>
      </c>
      <c r="BE94" s="1249">
        <f>Application!AC234</f>
        <v>83646</v>
      </c>
    </row>
    <row r="95" spans="1:57" ht="12.95" customHeight="1">
      <c r="A95" s="1541"/>
      <c r="B95" s="1541"/>
      <c r="C95" s="1541"/>
      <c r="D95" s="1541"/>
      <c r="E95" s="1541"/>
      <c r="F95" s="1541"/>
      <c r="G95" s="1541"/>
      <c r="H95" s="1541"/>
      <c r="I95" s="1541"/>
      <c r="J95" s="1541"/>
      <c r="K95" s="1541"/>
      <c r="L95" s="1541"/>
      <c r="M95" s="1541"/>
      <c r="N95" s="1541"/>
      <c r="O95" s="1541"/>
      <c r="P95" s="1541"/>
      <c r="Q95" s="1541"/>
      <c r="R95" s="1541"/>
      <c r="S95" s="1541"/>
      <c r="T95" s="1541"/>
      <c r="U95" s="1541"/>
      <c r="V95" s="1541"/>
      <c r="W95" s="1541"/>
      <c r="X95" s="1541"/>
      <c r="Y95" s="1541"/>
      <c r="Z95" s="1541"/>
      <c r="AA95" s="1541"/>
      <c r="AB95" s="1541"/>
      <c r="AC95" s="1541"/>
      <c r="AD95" s="1541"/>
      <c r="AE95" s="1541"/>
      <c r="AF95" s="1541"/>
      <c r="AG95" s="1541"/>
      <c r="AH95" s="1541"/>
      <c r="AI95" s="1541"/>
      <c r="AJ95" s="1541"/>
      <c r="AK95" s="1541"/>
      <c r="AL95" s="1541"/>
      <c r="AM95" s="1541"/>
      <c r="AN95" s="1541"/>
      <c r="AO95" s="1541"/>
      <c r="AP95" s="1541"/>
      <c r="AQ95" s="1541"/>
      <c r="AR95" s="1541"/>
      <c r="AS95" s="1541"/>
      <c r="AT95" s="1541"/>
      <c r="AU95" s="20"/>
      <c r="AV95" s="20"/>
      <c r="AW95" s="20"/>
      <c r="AX95" s="20"/>
      <c r="AY95" s="20"/>
      <c r="AZ95" s="20"/>
      <c r="BD95" s="1247" t="s">
        <v>2587</v>
      </c>
      <c r="BE95" s="1249" t="str">
        <f>Application!M235</f>
        <v xml:space="preserve">John Nicolas </v>
      </c>
    </row>
    <row r="96" spans="1:57" ht="12.95" customHeight="1">
      <c r="A96" s="1541"/>
      <c r="B96" s="1541"/>
      <c r="C96" s="1541"/>
      <c r="D96" s="1541"/>
      <c r="E96" s="1541"/>
      <c r="F96" s="1541"/>
      <c r="G96" s="1541"/>
      <c r="H96" s="1541"/>
      <c r="I96" s="1541"/>
      <c r="J96" s="1541"/>
      <c r="K96" s="1541"/>
      <c r="L96" s="1541"/>
      <c r="M96" s="1541"/>
      <c r="N96" s="1541"/>
      <c r="O96" s="1541"/>
      <c r="P96" s="1541"/>
      <c r="Q96" s="1541"/>
      <c r="R96" s="1541"/>
      <c r="S96" s="1541"/>
      <c r="T96" s="1541"/>
      <c r="U96" s="1541"/>
      <c r="V96" s="1541"/>
      <c r="W96" s="1541"/>
      <c r="X96" s="1541"/>
      <c r="Y96" s="1541"/>
      <c r="Z96" s="1541"/>
      <c r="AA96" s="1541"/>
      <c r="AB96" s="1541"/>
      <c r="AC96" s="1541"/>
      <c r="AD96" s="1541"/>
      <c r="AE96" s="1541"/>
      <c r="AF96" s="1541"/>
      <c r="AG96" s="1541"/>
      <c r="AH96" s="1541"/>
      <c r="AI96" s="1541"/>
      <c r="AJ96" s="1541"/>
      <c r="AK96" s="1541"/>
      <c r="AL96" s="1541"/>
      <c r="AM96" s="1541"/>
      <c r="AN96" s="1541"/>
      <c r="AO96" s="1541"/>
      <c r="AP96" s="1541"/>
      <c r="AQ96" s="1541"/>
      <c r="AR96" s="1541"/>
      <c r="AS96" s="1541"/>
      <c r="AT96" s="1541"/>
      <c r="AU96" s="20"/>
      <c r="AV96" s="20"/>
      <c r="AW96" s="20"/>
      <c r="AX96" s="20"/>
      <c r="AY96" s="20"/>
      <c r="AZ96" s="20"/>
      <c r="BD96" s="1248" t="s">
        <v>2588</v>
      </c>
      <c r="BE96" s="1249" t="str">
        <f>Application!M237</f>
        <v>john@lihtcadv.com</v>
      </c>
    </row>
    <row r="97" spans="1:57" ht="12.95" customHeight="1">
      <c r="A97" s="1541"/>
      <c r="B97" s="1541"/>
      <c r="C97" s="1541"/>
      <c r="D97" s="1541"/>
      <c r="E97" s="1541"/>
      <c r="F97" s="1541"/>
      <c r="G97" s="1541"/>
      <c r="H97" s="1541"/>
      <c r="I97" s="1541"/>
      <c r="J97" s="1541"/>
      <c r="K97" s="1541"/>
      <c r="L97" s="1541"/>
      <c r="M97" s="1541"/>
      <c r="N97" s="1541"/>
      <c r="O97" s="1541"/>
      <c r="P97" s="1541"/>
      <c r="Q97" s="1541"/>
      <c r="R97" s="1541"/>
      <c r="S97" s="1541"/>
      <c r="T97" s="1541"/>
      <c r="U97" s="1541"/>
      <c r="V97" s="1541"/>
      <c r="W97" s="1541"/>
      <c r="X97" s="1541"/>
      <c r="Y97" s="1541"/>
      <c r="Z97" s="1541"/>
      <c r="AA97" s="1541"/>
      <c r="AB97" s="1541"/>
      <c r="AC97" s="1541"/>
      <c r="AD97" s="1541"/>
      <c r="AE97" s="1541"/>
      <c r="AF97" s="1541"/>
      <c r="AG97" s="1541"/>
      <c r="AH97" s="1541"/>
      <c r="AI97" s="1541"/>
      <c r="AJ97" s="1541"/>
      <c r="AK97" s="1541"/>
      <c r="AL97" s="1541"/>
      <c r="AM97" s="1541"/>
      <c r="AN97" s="1541"/>
      <c r="AO97" s="1541"/>
      <c r="AP97" s="1541"/>
      <c r="AQ97" s="1541"/>
      <c r="AR97" s="1541"/>
      <c r="AS97" s="1541"/>
      <c r="AT97" s="1541"/>
      <c r="AU97" s="20"/>
      <c r="AV97" s="20"/>
      <c r="AW97" s="20"/>
      <c r="AX97" s="20"/>
      <c r="AY97" s="20"/>
      <c r="AZ97" s="20"/>
      <c r="BD97" s="1247" t="s">
        <v>2589</v>
      </c>
      <c r="BE97" s="1249" t="str">
        <f>Application!M248</f>
        <v>john@lihtcadv.com</v>
      </c>
    </row>
    <row r="98" spans="1:57" ht="12.95" customHeight="1">
      <c r="A98" s="1541"/>
      <c r="B98" s="1541"/>
      <c r="C98" s="1541"/>
      <c r="D98" s="1541"/>
      <c r="E98" s="1541"/>
      <c r="F98" s="1541"/>
      <c r="G98" s="1541"/>
      <c r="H98" s="1541"/>
      <c r="I98" s="1541"/>
      <c r="J98" s="1541"/>
      <c r="K98" s="1541"/>
      <c r="L98" s="1541"/>
      <c r="M98" s="1541"/>
      <c r="N98" s="1541"/>
      <c r="O98" s="1541"/>
      <c r="P98" s="1541"/>
      <c r="Q98" s="1541"/>
      <c r="R98" s="1541"/>
      <c r="S98" s="1541"/>
      <c r="T98" s="1541"/>
      <c r="U98" s="1541"/>
      <c r="V98" s="1541"/>
      <c r="W98" s="1541"/>
      <c r="X98" s="1541"/>
      <c r="Y98" s="1541"/>
      <c r="Z98" s="1541"/>
      <c r="AA98" s="1541"/>
      <c r="AB98" s="1541"/>
      <c r="AC98" s="1541"/>
      <c r="AD98" s="1541"/>
      <c r="AE98" s="1541"/>
      <c r="AF98" s="1541"/>
      <c r="AG98" s="1541"/>
      <c r="AH98" s="1541"/>
      <c r="AI98" s="1541"/>
      <c r="AJ98" s="1541"/>
      <c r="AK98" s="1541"/>
      <c r="AL98" s="1541"/>
      <c r="AM98" s="1541"/>
      <c r="AN98" s="1541"/>
      <c r="AO98" s="1541"/>
      <c r="AP98" s="1541"/>
      <c r="AQ98" s="1541"/>
      <c r="AR98" s="1541"/>
      <c r="AS98" s="1541"/>
      <c r="AT98" s="1541"/>
      <c r="AU98" s="20"/>
      <c r="AV98" s="20"/>
      <c r="AW98" s="20"/>
      <c r="AX98" s="20"/>
      <c r="AY98" s="20"/>
      <c r="AZ98" s="20"/>
      <c r="BD98" s="1248" t="s">
        <v>2590</v>
      </c>
      <c r="BE98" s="1249" t="str">
        <f>Application!M256</f>
        <v>chris@centralvalleycoalition.com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2591</v>
      </c>
      <c r="BE99" s="1249">
        <f>Application!M264</f>
        <v>0</v>
      </c>
    </row>
    <row r="100" spans="1:57" ht="12.95" customHeight="1">
      <c r="A100" s="1552" t="s">
        <v>2165</v>
      </c>
      <c r="B100" s="1552"/>
      <c r="C100" s="1552"/>
      <c r="D100" s="1552"/>
      <c r="E100" s="1552"/>
      <c r="F100" s="1552"/>
      <c r="G100" s="1552"/>
      <c r="H100" s="1552"/>
      <c r="I100" s="1552"/>
      <c r="J100" s="1552"/>
      <c r="K100" s="1552"/>
      <c r="L100" s="1552"/>
      <c r="M100" s="1552"/>
      <c r="N100" s="1552"/>
      <c r="O100" s="1552"/>
      <c r="P100" s="1552"/>
      <c r="Q100" s="1552"/>
      <c r="R100" s="1552"/>
      <c r="S100" s="1552"/>
      <c r="T100" s="1552"/>
      <c r="U100" s="1552"/>
      <c r="V100" s="1552"/>
      <c r="W100" s="1552"/>
      <c r="X100" s="1552"/>
      <c r="Y100" s="1552"/>
      <c r="Z100" s="1552"/>
      <c r="AA100" s="1552"/>
      <c r="AB100" s="1552"/>
      <c r="AC100" s="1552"/>
      <c r="AD100" s="1552"/>
      <c r="AE100" s="1552"/>
      <c r="AF100" s="1552"/>
      <c r="AG100" s="1552"/>
      <c r="AH100" s="1552"/>
      <c r="AI100" s="1552"/>
      <c r="AJ100" s="1552"/>
      <c r="AK100" s="1552"/>
      <c r="AL100" s="1552"/>
      <c r="AM100" s="1552"/>
      <c r="AN100" s="1552"/>
      <c r="AO100" s="1552"/>
      <c r="AP100" s="1552"/>
      <c r="AQ100" s="1552"/>
      <c r="AR100" s="1552"/>
      <c r="AS100" s="1552"/>
      <c r="AT100" s="1552"/>
      <c r="AU100" s="20"/>
      <c r="AV100" s="20"/>
      <c r="AW100" s="20"/>
      <c r="AX100" s="20"/>
      <c r="AY100" s="20"/>
      <c r="AZ100" s="20"/>
      <c r="BD100" s="1248" t="s">
        <v>2592</v>
      </c>
      <c r="BE100" s="1249" t="str">
        <f>Application!L279</f>
        <v>sstrain@sabelhauslaw.com</v>
      </c>
    </row>
    <row r="101" spans="1:57" ht="12.95" customHeight="1">
      <c r="A101" s="1552"/>
      <c r="B101" s="1552"/>
      <c r="C101" s="1552"/>
      <c r="D101" s="1552"/>
      <c r="E101" s="1552"/>
      <c r="F101" s="1552"/>
      <c r="G101" s="1552"/>
      <c r="H101" s="1552"/>
      <c r="I101" s="1552"/>
      <c r="J101" s="1552"/>
      <c r="K101" s="1552"/>
      <c r="L101" s="1552"/>
      <c r="M101" s="1552"/>
      <c r="N101" s="1552"/>
      <c r="O101" s="1552"/>
      <c r="P101" s="1552"/>
      <c r="Q101" s="1552"/>
      <c r="R101" s="1552"/>
      <c r="S101" s="1552"/>
      <c r="T101" s="1552"/>
      <c r="U101" s="1552"/>
      <c r="V101" s="1552"/>
      <c r="W101" s="1552"/>
      <c r="X101" s="1552"/>
      <c r="Y101" s="1552"/>
      <c r="Z101" s="1552"/>
      <c r="AA101" s="1552"/>
      <c r="AB101" s="1552"/>
      <c r="AC101" s="1552"/>
      <c r="AD101" s="1552"/>
      <c r="AE101" s="1552"/>
      <c r="AF101" s="1552"/>
      <c r="AG101" s="1552"/>
      <c r="AH101" s="1552"/>
      <c r="AI101" s="1552"/>
      <c r="AJ101" s="1552"/>
      <c r="AK101" s="1552"/>
      <c r="AL101" s="1552"/>
      <c r="AM101" s="1552"/>
      <c r="AN101" s="1552"/>
      <c r="AO101" s="1552"/>
      <c r="AP101" s="1552"/>
      <c r="AQ101" s="1552"/>
      <c r="AR101" s="1552"/>
      <c r="AS101" s="1552"/>
      <c r="AT101" s="1552"/>
      <c r="AU101" s="20"/>
      <c r="AV101" s="20"/>
      <c r="AW101" s="20"/>
      <c r="AX101" s="20"/>
      <c r="AY101" s="20"/>
      <c r="AZ101" s="20"/>
      <c r="BD101" s="3" t="s">
        <v>2597</v>
      </c>
      <c r="BE101">
        <f>'Sources and Uses Budget'!C105</f>
        <v>68611339</v>
      </c>
    </row>
    <row r="102" spans="1:57" ht="12.95" customHeight="1">
      <c r="A102" s="1552"/>
      <c r="B102" s="1552"/>
      <c r="C102" s="1552"/>
      <c r="D102" s="1552"/>
      <c r="E102" s="1552"/>
      <c r="F102" s="1552"/>
      <c r="G102" s="1552"/>
      <c r="H102" s="1552"/>
      <c r="I102" s="1552"/>
      <c r="J102" s="1552"/>
      <c r="K102" s="1552"/>
      <c r="L102" s="1552"/>
      <c r="M102" s="1552"/>
      <c r="N102" s="1552"/>
      <c r="O102" s="1552"/>
      <c r="P102" s="1552"/>
      <c r="Q102" s="1552"/>
      <c r="R102" s="1552"/>
      <c r="S102" s="1552"/>
      <c r="T102" s="1552"/>
      <c r="U102" s="1552"/>
      <c r="V102" s="1552"/>
      <c r="W102" s="1552"/>
      <c r="X102" s="1552"/>
      <c r="Y102" s="1552"/>
      <c r="Z102" s="1552"/>
      <c r="AA102" s="1552"/>
      <c r="AB102" s="1552"/>
      <c r="AC102" s="1552"/>
      <c r="AD102" s="1552"/>
      <c r="AE102" s="1552"/>
      <c r="AF102" s="1552"/>
      <c r="AG102" s="1552"/>
      <c r="AH102" s="1552"/>
      <c r="AI102" s="1552"/>
      <c r="AJ102" s="1552"/>
      <c r="AK102" s="1552"/>
      <c r="AL102" s="1552"/>
      <c r="AM102" s="1552"/>
      <c r="AN102" s="1552"/>
      <c r="AO102" s="1552"/>
      <c r="AP102" s="1552"/>
      <c r="AQ102" s="1552"/>
      <c r="AR102" s="1552"/>
      <c r="AS102" s="1552"/>
      <c r="AT102" s="1552"/>
      <c r="AU102" s="20"/>
      <c r="AV102" s="20"/>
      <c r="AW102" s="20"/>
      <c r="AX102" s="20"/>
      <c r="AY102" s="20"/>
      <c r="AZ102" s="20"/>
      <c r="BD102" s="3" t="s">
        <v>2598</v>
      </c>
      <c r="BE102" t="b">
        <f>T197="Yes"</f>
        <v>0</v>
      </c>
    </row>
    <row r="103" spans="1:57" ht="12.95" customHeight="1">
      <c r="A103" s="1552"/>
      <c r="B103" s="1552"/>
      <c r="C103" s="1552"/>
      <c r="D103" s="1552"/>
      <c r="E103" s="1552"/>
      <c r="F103" s="1552"/>
      <c r="G103" s="1552"/>
      <c r="H103" s="1552"/>
      <c r="I103" s="1552"/>
      <c r="J103" s="1552"/>
      <c r="K103" s="1552"/>
      <c r="L103" s="1552"/>
      <c r="M103" s="1552"/>
      <c r="N103" s="1552"/>
      <c r="O103" s="1552"/>
      <c r="P103" s="1552"/>
      <c r="Q103" s="1552"/>
      <c r="R103" s="1552"/>
      <c r="S103" s="1552"/>
      <c r="T103" s="1552"/>
      <c r="U103" s="1552"/>
      <c r="V103" s="1552"/>
      <c r="W103" s="1552"/>
      <c r="X103" s="1552"/>
      <c r="Y103" s="1552"/>
      <c r="Z103" s="1552"/>
      <c r="AA103" s="1552"/>
      <c r="AB103" s="1552"/>
      <c r="AC103" s="1552"/>
      <c r="AD103" s="1552"/>
      <c r="AE103" s="1552"/>
      <c r="AF103" s="1552"/>
      <c r="AG103" s="1552"/>
      <c r="AH103" s="1552"/>
      <c r="AI103" s="1552"/>
      <c r="AJ103" s="1552"/>
      <c r="AK103" s="1552"/>
      <c r="AL103" s="1552"/>
      <c r="AM103" s="1552"/>
      <c r="AN103" s="1552"/>
      <c r="AO103" s="1552"/>
      <c r="AP103" s="1552"/>
      <c r="AQ103" s="1552"/>
      <c r="AR103" s="1552"/>
      <c r="AS103" s="1552"/>
      <c r="AT103" s="1552"/>
      <c r="AU103" s="20"/>
      <c r="AV103" s="20"/>
      <c r="AW103" s="20"/>
      <c r="AX103" s="20"/>
      <c r="AY103" s="20"/>
      <c r="BD103" t="s">
        <v>2175</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52" t="s">
        <v>2166</v>
      </c>
      <c r="B105" s="1552"/>
      <c r="C105" s="1552"/>
      <c r="D105" s="1552"/>
      <c r="E105" s="1552"/>
      <c r="F105" s="1552"/>
      <c r="G105" s="1552"/>
      <c r="H105" s="1552"/>
      <c r="I105" s="1552"/>
      <c r="J105" s="1552"/>
      <c r="K105" s="1552"/>
      <c r="L105" s="1552"/>
      <c r="M105" s="1552"/>
      <c r="N105" s="1552"/>
      <c r="O105" s="1552"/>
      <c r="P105" s="1552"/>
      <c r="Q105" s="1552"/>
      <c r="R105" s="1552"/>
      <c r="S105" s="1552"/>
      <c r="T105" s="1552"/>
      <c r="U105" s="1552"/>
      <c r="V105" s="1552"/>
      <c r="W105" s="1552"/>
      <c r="X105" s="1552"/>
      <c r="Y105" s="1552"/>
      <c r="Z105" s="1552"/>
      <c r="AA105" s="1552"/>
      <c r="AB105" s="1552"/>
      <c r="AC105" s="1552"/>
      <c r="AD105" s="1552"/>
      <c r="AE105" s="1552"/>
      <c r="AF105" s="1552"/>
      <c r="AG105" s="1552"/>
      <c r="AH105" s="1552"/>
      <c r="AI105" s="1552"/>
      <c r="AJ105" s="1552"/>
      <c r="AK105" s="1552"/>
      <c r="AL105" s="1552"/>
      <c r="AM105" s="1552"/>
      <c r="AN105" s="1552"/>
      <c r="AO105" s="1552"/>
      <c r="AP105" s="1552"/>
      <c r="AQ105" s="1552"/>
      <c r="AR105" s="1552"/>
      <c r="AS105" s="1552"/>
      <c r="AT105" s="1552"/>
      <c r="AU105" s="20"/>
      <c r="AV105" s="20"/>
      <c r="AW105" s="20"/>
      <c r="AX105" s="20"/>
      <c r="AY105" s="20"/>
    </row>
    <row r="106" spans="1:57" ht="12.95" customHeight="1">
      <c r="A106" s="1552"/>
      <c r="B106" s="1552"/>
      <c r="C106" s="1552"/>
      <c r="D106" s="1552"/>
      <c r="E106" s="1552"/>
      <c r="F106" s="1552"/>
      <c r="G106" s="1552"/>
      <c r="H106" s="1552"/>
      <c r="I106" s="1552"/>
      <c r="J106" s="1552"/>
      <c r="K106" s="1552"/>
      <c r="L106" s="1552"/>
      <c r="M106" s="1552"/>
      <c r="N106" s="1552"/>
      <c r="O106" s="1552"/>
      <c r="P106" s="1552"/>
      <c r="Q106" s="1552"/>
      <c r="R106" s="1552"/>
      <c r="S106" s="1552"/>
      <c r="T106" s="1552"/>
      <c r="U106" s="1552"/>
      <c r="V106" s="1552"/>
      <c r="W106" s="1552"/>
      <c r="X106" s="1552"/>
      <c r="Y106" s="1552"/>
      <c r="Z106" s="1552"/>
      <c r="AA106" s="1552"/>
      <c r="AB106" s="1552"/>
      <c r="AC106" s="1552"/>
      <c r="AD106" s="1552"/>
      <c r="AE106" s="1552"/>
      <c r="AF106" s="1552"/>
      <c r="AG106" s="1552"/>
      <c r="AH106" s="1552"/>
      <c r="AI106" s="1552"/>
      <c r="AJ106" s="1552"/>
      <c r="AK106" s="1552"/>
      <c r="AL106" s="1552"/>
      <c r="AM106" s="1552"/>
      <c r="AN106" s="1552"/>
      <c r="AO106" s="1552"/>
      <c r="AP106" s="1552"/>
      <c r="AQ106" s="1552"/>
      <c r="AR106" s="1552"/>
      <c r="AS106" s="1552"/>
      <c r="AT106" s="1552"/>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180</v>
      </c>
      <c r="G113" s="1545">
        <v>1</v>
      </c>
      <c r="H113" s="1545"/>
      <c r="I113" s="3" t="s">
        <v>181</v>
      </c>
      <c r="L113" s="1545" t="s">
        <v>2672</v>
      </c>
      <c r="M113" s="1545"/>
      <c r="N113" s="1545"/>
      <c r="O113" s="1545"/>
      <c r="P113" s="1559" t="s">
        <v>2239</v>
      </c>
      <c r="Q113" s="1559"/>
      <c r="R113" s="1559"/>
      <c r="S113" s="1559"/>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46" t="s">
        <v>2673</v>
      </c>
      <c r="D115" s="1546"/>
      <c r="E115" s="1546"/>
      <c r="F115" s="1546"/>
      <c r="G115" s="1546"/>
      <c r="H115" s="1546"/>
      <c r="I115" s="1546"/>
      <c r="J115" s="1546"/>
      <c r="K115" s="1546"/>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627</v>
      </c>
      <c r="Y117" s="1545"/>
      <c r="Z117" s="1545"/>
      <c r="AA117" s="1545"/>
      <c r="AB117" s="1545"/>
      <c r="AC117" s="1545"/>
      <c r="AD117" s="1545"/>
      <c r="AE117" s="1545"/>
      <c r="AF117" s="1545"/>
      <c r="AG117" s="1545"/>
      <c r="AH117" s="1545"/>
      <c r="AI117" s="1545"/>
      <c r="AJ117" s="1545"/>
      <c r="AK117" s="1545"/>
    </row>
    <row r="118" spans="1:117" ht="12.95" customHeight="1">
      <c r="X118" s="3"/>
      <c r="Y118" s="3"/>
      <c r="Z118" s="3" t="s">
        <v>628</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45" t="s">
        <v>2640</v>
      </c>
      <c r="Z120" s="1545"/>
      <c r="AA120" s="1545"/>
      <c r="AB120" s="1545"/>
      <c r="AC120" s="1545"/>
      <c r="AD120" s="1545"/>
      <c r="AE120" s="1545"/>
      <c r="AF120" s="1545"/>
      <c r="AG120" s="1545"/>
      <c r="AH120" s="1545"/>
      <c r="AI120" s="1545"/>
      <c r="AJ120" s="1545"/>
      <c r="AK120" s="1545"/>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700" t="s">
        <v>468</v>
      </c>
      <c r="CV122" s="1701"/>
      <c r="CW122" s="14"/>
      <c r="CX122" s="14" t="s">
        <v>633</v>
      </c>
      <c r="CY122" s="14"/>
      <c r="CZ122" s="14"/>
      <c r="DA122" s="14"/>
      <c r="DB122" s="14"/>
      <c r="DC122" s="14"/>
      <c r="DD122" s="14"/>
      <c r="DE122" s="14"/>
      <c r="DF122" s="14"/>
      <c r="DG122" s="1697" t="str">
        <f>T189</f>
        <v>Contra Costa</v>
      </c>
      <c r="DH122" s="1698"/>
      <c r="DI122" s="1698"/>
      <c r="DJ122" s="1698"/>
      <c r="DK122" s="1698"/>
      <c r="DL122" s="1698"/>
      <c r="DM122" s="1699"/>
    </row>
    <row r="123" spans="1:117" ht="12.95" customHeight="1">
      <c r="A123" s="3"/>
      <c r="B123" s="3"/>
      <c r="T123" s="3"/>
      <c r="U123" s="3"/>
      <c r="V123" s="3"/>
      <c r="W123" s="3"/>
      <c r="X123" s="3"/>
      <c r="Y123" s="1545" t="s">
        <v>2674</v>
      </c>
      <c r="Z123" s="1545"/>
      <c r="AA123" s="1545"/>
      <c r="AB123" s="1545"/>
      <c r="AC123" s="1545"/>
      <c r="AD123" s="1545"/>
      <c r="AE123" s="1545"/>
      <c r="AF123" s="1545"/>
      <c r="AG123" s="1545"/>
      <c r="AH123" s="1545"/>
      <c r="AI123" s="1545"/>
      <c r="AJ123" s="1545"/>
      <c r="AK123" s="1545"/>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95" customHeight="1">
      <c r="A150" s="3"/>
      <c r="B150" s="3"/>
      <c r="D150" s="3"/>
      <c r="E150" s="3"/>
      <c r="F150" s="1423"/>
      <c r="G150" s="1423"/>
      <c r="H150" s="1423"/>
      <c r="I150" s="1423"/>
      <c r="J150" s="1423"/>
      <c r="K150" s="1423"/>
      <c r="L150" s="1423"/>
      <c r="M150" s="1423"/>
      <c r="N150" s="1423"/>
      <c r="O150" s="1423"/>
      <c r="P150" s="1423"/>
      <c r="Q150" s="1423"/>
      <c r="R150" s="1423"/>
      <c r="S150" s="1423"/>
      <c r="T150" s="142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2465</v>
      </c>
    </row>
    <row r="152" spans="1:108" ht="12.95" customHeight="1">
      <c r="BM152">
        <v>4</v>
      </c>
      <c r="BN152" s="3" t="s">
        <v>2464</v>
      </c>
    </row>
    <row r="153" spans="1:108" ht="12.95" customHeight="1">
      <c r="D153" t="s">
        <v>644</v>
      </c>
      <c r="O153" s="1516" t="s">
        <v>2613</v>
      </c>
      <c r="P153" s="1519"/>
      <c r="Q153" s="1519"/>
      <c r="R153" s="1519"/>
      <c r="S153" s="1519"/>
      <c r="T153" s="1519"/>
      <c r="U153" s="1519"/>
      <c r="V153" s="1519"/>
      <c r="W153" s="1519"/>
      <c r="X153" s="1519"/>
      <c r="Y153" s="1519"/>
      <c r="Z153" s="1519"/>
      <c r="AA153" s="1519"/>
      <c r="AB153" s="1519"/>
      <c r="AC153" s="1519"/>
      <c r="AD153" s="1519"/>
      <c r="AE153" s="1519"/>
      <c r="AF153" s="1519"/>
      <c r="AG153" s="1519"/>
      <c r="AH153" s="1519"/>
      <c r="BM153">
        <v>5</v>
      </c>
      <c r="BN153" s="3" t="s">
        <v>2466</v>
      </c>
      <c r="CR153" s="31" t="s">
        <v>2599</v>
      </c>
      <c r="CS153" s="32"/>
      <c r="CT153" s="32"/>
      <c r="CU153" s="32"/>
      <c r="CV153" s="32"/>
      <c r="CW153" s="32"/>
      <c r="CX153" s="14"/>
      <c r="CY153" s="31" t="s">
        <v>2600</v>
      </c>
      <c r="CZ153" s="14"/>
      <c r="DA153" s="14"/>
      <c r="DB153" s="14"/>
      <c r="DC153" s="14"/>
      <c r="DD153" s="14"/>
    </row>
    <row r="154" spans="1:108" ht="12.95" customHeight="1">
      <c r="D154" s="303" t="s">
        <v>439</v>
      </c>
      <c r="O154" s="1529" t="s">
        <v>2675</v>
      </c>
      <c r="P154" s="1448"/>
      <c r="Q154" s="1448"/>
      <c r="R154" s="1448"/>
      <c r="S154" s="1448"/>
      <c r="T154" s="1448"/>
      <c r="U154" s="1448"/>
      <c r="V154" s="1448"/>
      <c r="W154" s="1448"/>
      <c r="X154" s="1448"/>
      <c r="Y154" s="1448"/>
      <c r="Z154" s="1448"/>
      <c r="AA154" s="1448"/>
      <c r="AB154" s="1448"/>
      <c r="AC154" s="1448"/>
      <c r="AD154" s="1448"/>
      <c r="AE154" s="1448"/>
      <c r="AF154" s="1448"/>
      <c r="AG154" s="1448"/>
      <c r="AH154" s="1448"/>
      <c r="BM154">
        <v>6</v>
      </c>
      <c r="BN154" s="3" t="s">
        <v>2467</v>
      </c>
      <c r="CR154" s="31"/>
      <c r="CS154" s="32"/>
      <c r="CT154" s="32"/>
      <c r="CU154" s="32"/>
      <c r="CV154" s="32"/>
      <c r="CW154" s="32"/>
      <c r="CX154" s="14"/>
      <c r="CY154" s="31"/>
      <c r="CZ154" s="14"/>
      <c r="DA154" s="14"/>
      <c r="DB154" s="14"/>
      <c r="DC154" s="14"/>
      <c r="DD154" s="14"/>
    </row>
    <row r="155" spans="1:108" ht="12.95" customHeight="1">
      <c r="D155" s="8" t="s">
        <v>440</v>
      </c>
      <c r="F155" s="8"/>
      <c r="G155" s="8"/>
      <c r="H155" s="8"/>
      <c r="I155" s="8"/>
      <c r="J155" s="8"/>
      <c r="K155" s="8"/>
      <c r="L155" s="8"/>
      <c r="M155" s="8"/>
      <c r="N155" s="8"/>
      <c r="O155" s="1527" t="s">
        <v>2676</v>
      </c>
      <c r="P155" s="1528"/>
      <c r="Q155" s="1528"/>
      <c r="R155" s="1528"/>
      <c r="S155" s="1528"/>
      <c r="T155" s="1528"/>
      <c r="U155" s="1528"/>
      <c r="V155" s="1528"/>
      <c r="W155" s="1528"/>
      <c r="X155" s="1528"/>
      <c r="Y155" s="1528"/>
      <c r="Z155" s="1528"/>
      <c r="AA155" s="1528"/>
      <c r="AB155" s="1528"/>
      <c r="AC155" s="1528"/>
      <c r="AD155" s="1528"/>
      <c r="AE155" s="1528"/>
      <c r="AF155" s="1528"/>
      <c r="AG155" s="1528"/>
      <c r="AH155" s="1528"/>
      <c r="BM155">
        <v>7</v>
      </c>
      <c r="BN155" s="3" t="s">
        <v>590</v>
      </c>
      <c r="CR155" s="31"/>
      <c r="CS155" s="32"/>
      <c r="CT155" s="32"/>
      <c r="CU155" s="32"/>
      <c r="CV155" s="32"/>
      <c r="CW155" s="32"/>
      <c r="CX155" s="14"/>
      <c r="CY155" s="31"/>
      <c r="CZ155" s="14"/>
      <c r="DA155" s="14"/>
      <c r="DB155" s="14"/>
      <c r="DC155" s="14"/>
      <c r="DD155" s="14"/>
    </row>
    <row r="156" spans="1:108" ht="12.95" customHeight="1">
      <c r="D156" t="s">
        <v>312</v>
      </c>
      <c r="O156" s="1344" t="s">
        <v>2677</v>
      </c>
      <c r="P156" s="1344"/>
      <c r="Q156" s="1344"/>
      <c r="R156" s="1344"/>
      <c r="S156" s="1344"/>
      <c r="T156" s="1344"/>
      <c r="U156" s="1344"/>
      <c r="V156" s="1344"/>
      <c r="W156" s="1344"/>
      <c r="X156" s="1344"/>
      <c r="Y156" s="1344"/>
      <c r="Z156" s="1344"/>
      <c r="AA156" s="1344"/>
      <c r="AB156" s="1344"/>
      <c r="AC156" s="1344"/>
      <c r="AD156" s="1344"/>
      <c r="AE156" s="1344"/>
      <c r="AF156" s="1344"/>
      <c r="AG156" s="1344"/>
      <c r="AH156" s="1344"/>
      <c r="BT156" t="s">
        <v>306</v>
      </c>
      <c r="CB156" s="195" t="s">
        <v>2609</v>
      </c>
      <c r="CC156" s="196"/>
      <c r="CD156" s="196"/>
      <c r="CE156" s="196"/>
      <c r="CF156" s="196"/>
      <c r="CG156" s="196"/>
      <c r="CH156" s="196"/>
      <c r="CI156" s="3"/>
      <c r="CJ156" s="195" t="s">
        <v>2607</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516" t="s">
        <v>2673</v>
      </c>
      <c r="P157" s="1519"/>
      <c r="Q157" s="1519"/>
      <c r="R157" s="1519"/>
      <c r="S157" s="1519"/>
      <c r="T157" s="1519"/>
      <c r="U157" s="1519"/>
      <c r="V157" s="1519"/>
      <c r="W157" s="1519"/>
      <c r="X157" s="1519"/>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555">
        <v>94583</v>
      </c>
      <c r="P158" s="1555"/>
      <c r="Q158" s="1555"/>
      <c r="R158" s="1555"/>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550" t="s">
        <v>2678</v>
      </c>
      <c r="P159" s="1550"/>
      <c r="Q159" s="1550"/>
      <c r="R159" s="1550"/>
      <c r="S159" s="1550"/>
      <c r="T159" s="1550"/>
      <c r="V159" s="97" t="s">
        <v>270</v>
      </c>
      <c r="W159" s="1556"/>
      <c r="X159" s="1556"/>
      <c r="Y159" s="10"/>
      <c r="Z159" s="10"/>
      <c r="AA159" s="10"/>
      <c r="AB159" s="10"/>
      <c r="AC159" s="10"/>
      <c r="AD159" s="10"/>
      <c r="AE159" s="10"/>
      <c r="AF159" s="10"/>
      <c r="BN159" s="23" t="s">
        <v>338</v>
      </c>
      <c r="BS159">
        <v>7</v>
      </c>
      <c r="BT159" t="s">
        <v>477</v>
      </c>
      <c r="CB159" s="347" t="s">
        <v>647</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632</v>
      </c>
      <c r="CT159" s="72" t="s">
        <v>324</v>
      </c>
      <c r="CU159" s="72" t="s">
        <v>163</v>
      </c>
      <c r="CV159" s="72" t="s">
        <v>164</v>
      </c>
      <c r="CW159" s="72" t="s">
        <v>459</v>
      </c>
      <c r="CX159" s="14"/>
      <c r="CY159" s="14"/>
      <c r="CZ159" s="71" t="s">
        <v>632</v>
      </c>
      <c r="DA159" s="72" t="s">
        <v>324</v>
      </c>
      <c r="DB159" s="72" t="s">
        <v>163</v>
      </c>
      <c r="DC159" s="72" t="s">
        <v>164</v>
      </c>
      <c r="DD159" s="72" t="s">
        <v>459</v>
      </c>
    </row>
    <row r="160" spans="1:108" ht="12.95" customHeight="1">
      <c r="D160" t="s">
        <v>316</v>
      </c>
      <c r="O160" s="1550" t="s">
        <v>2679</v>
      </c>
      <c r="P160" s="1550"/>
      <c r="Q160" s="1550"/>
      <c r="R160" s="1550"/>
      <c r="S160" s="1550"/>
      <c r="T160" s="1550"/>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635</v>
      </c>
      <c r="CS160" s="323">
        <v>473390</v>
      </c>
      <c r="CT160" s="323">
        <v>545814</v>
      </c>
      <c r="CU160" s="323">
        <v>658400</v>
      </c>
      <c r="CV160" s="323">
        <v>842752</v>
      </c>
      <c r="CW160" s="323">
        <v>938878</v>
      </c>
      <c r="CX160" s="14"/>
      <c r="CY160" s="23" t="s">
        <v>635</v>
      </c>
      <c r="CZ160" s="323">
        <v>473390</v>
      </c>
      <c r="DA160" s="323">
        <v>545814</v>
      </c>
      <c r="DB160" s="323">
        <v>658400</v>
      </c>
      <c r="DC160" s="323">
        <v>842752</v>
      </c>
      <c r="DD160" s="323">
        <v>938878</v>
      </c>
    </row>
    <row r="161" spans="1:108" ht="12.95" customHeight="1">
      <c r="D161" t="s">
        <v>317</v>
      </c>
      <c r="O161" s="1536" t="s">
        <v>2680</v>
      </c>
      <c r="P161" s="1536"/>
      <c r="Q161" s="1536"/>
      <c r="R161" s="1536"/>
      <c r="S161" s="1536"/>
      <c r="T161" s="1536"/>
      <c r="U161" s="1536"/>
      <c r="V161" s="1536"/>
      <c r="W161" s="1536"/>
      <c r="X161" s="1536"/>
      <c r="Y161" s="1536"/>
      <c r="Z161" s="1536"/>
      <c r="AA161" s="1536"/>
      <c r="AB161" s="1536"/>
      <c r="AC161" s="1536"/>
      <c r="AD161" s="1536"/>
      <c r="AE161" s="1536"/>
      <c r="AF161" s="1536"/>
      <c r="AG161" s="1536"/>
      <c r="AH161" s="1536"/>
      <c r="BJ161" t="s">
        <v>668</v>
      </c>
      <c r="BN161" s="23" t="s">
        <v>660</v>
      </c>
      <c r="BS161">
        <v>7</v>
      </c>
      <c r="BT161" t="s">
        <v>479</v>
      </c>
      <c r="CB161" s="350" t="s">
        <v>476</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636</v>
      </c>
      <c r="CS161" s="321">
        <v>352022</v>
      </c>
      <c r="CT161" s="321">
        <v>405878</v>
      </c>
      <c r="CU161" s="321">
        <v>489600</v>
      </c>
      <c r="CV161" s="321">
        <v>626688</v>
      </c>
      <c r="CW161" s="321">
        <v>698170</v>
      </c>
      <c r="CX161" s="14"/>
      <c r="CY161" s="23" t="s">
        <v>636</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2.95"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659</v>
      </c>
      <c r="CS163" s="321">
        <v>319236</v>
      </c>
      <c r="CT163" s="321">
        <v>368076</v>
      </c>
      <c r="CU163" s="321">
        <v>444000</v>
      </c>
      <c r="CV163" s="321">
        <v>568320</v>
      </c>
      <c r="CW163" s="321">
        <v>633144</v>
      </c>
      <c r="CX163" s="14"/>
      <c r="CY163" s="23" t="s">
        <v>659</v>
      </c>
      <c r="CZ163" s="321">
        <v>319236</v>
      </c>
      <c r="DA163" s="321">
        <v>368076</v>
      </c>
      <c r="DB163" s="321">
        <v>444000</v>
      </c>
      <c r="DC163" s="321">
        <v>568320</v>
      </c>
      <c r="DD163" s="321">
        <v>633144</v>
      </c>
    </row>
    <row r="164" spans="1:108" ht="12.95" customHeight="1">
      <c r="C164" s="27"/>
      <c r="D164" s="1547" t="s">
        <v>2216</v>
      </c>
      <c r="E164" s="1547"/>
      <c r="F164" s="1547"/>
      <c r="G164" s="1547"/>
      <c r="H164" s="1547"/>
      <c r="I164" s="1547"/>
      <c r="J164" s="1547"/>
      <c r="K164" s="1547"/>
      <c r="L164" s="1547"/>
      <c r="M164" s="1547"/>
      <c r="N164" s="1547"/>
      <c r="O164" s="1547"/>
      <c r="P164" s="1547"/>
      <c r="Q164" s="1547"/>
      <c r="R164" s="1547"/>
      <c r="S164" s="1547"/>
      <c r="T164" s="1547"/>
      <c r="U164" s="1547"/>
      <c r="V164" s="1547"/>
      <c r="W164" s="1547"/>
      <c r="X164" s="1547"/>
      <c r="Y164" s="1547"/>
      <c r="Z164" s="1547"/>
      <c r="AA164" s="1547"/>
      <c r="AB164" s="1547"/>
      <c r="AC164" s="1547"/>
      <c r="AD164" s="1547"/>
      <c r="AE164" s="1547"/>
      <c r="AF164" s="1547"/>
      <c r="AG164" s="1547"/>
      <c r="AH164" s="1547"/>
      <c r="BN164" s="23" t="s">
        <v>663</v>
      </c>
      <c r="BS164">
        <v>7</v>
      </c>
      <c r="BT164" t="s">
        <v>482</v>
      </c>
      <c r="CB164" s="350" t="s">
        <v>479</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660</v>
      </c>
      <c r="CS164" s="323">
        <v>352022</v>
      </c>
      <c r="CT164" s="323">
        <v>405878</v>
      </c>
      <c r="CU164" s="323">
        <v>489600</v>
      </c>
      <c r="CV164" s="323">
        <v>626688</v>
      </c>
      <c r="CW164" s="323">
        <v>698170</v>
      </c>
      <c r="CX164" s="14"/>
      <c r="CY164" s="23" t="s">
        <v>660</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661</v>
      </c>
      <c r="CS165" s="321">
        <v>352022</v>
      </c>
      <c r="CT165" s="321">
        <v>405878</v>
      </c>
      <c r="CU165" s="321">
        <v>489600</v>
      </c>
      <c r="CV165" s="321">
        <v>626688</v>
      </c>
      <c r="CW165" s="321">
        <v>698170</v>
      </c>
      <c r="CX165" s="14"/>
      <c r="CY165" s="23" t="s">
        <v>661</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662</v>
      </c>
      <c r="CS166" s="323">
        <v>473390</v>
      </c>
      <c r="CT166" s="323">
        <v>545814</v>
      </c>
      <c r="CU166" s="323">
        <v>658400</v>
      </c>
      <c r="CV166" s="323">
        <v>842752</v>
      </c>
      <c r="CW166" s="323">
        <v>938878</v>
      </c>
      <c r="CX166" s="14"/>
      <c r="CY166" s="23" t="s">
        <v>662</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663</v>
      </c>
      <c r="CS167" s="321">
        <v>352022</v>
      </c>
      <c r="CT167" s="321">
        <v>405878</v>
      </c>
      <c r="CU167" s="321">
        <v>489600</v>
      </c>
      <c r="CV167" s="321">
        <v>626688</v>
      </c>
      <c r="CW167" s="321">
        <v>698170</v>
      </c>
      <c r="CX167" s="14"/>
      <c r="CY167" s="23" t="s">
        <v>663</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664</v>
      </c>
      <c r="CS168" s="323">
        <v>331890</v>
      </c>
      <c r="CT168" s="323">
        <v>382666</v>
      </c>
      <c r="CU168" s="323">
        <v>461600</v>
      </c>
      <c r="CV168" s="323">
        <v>590848</v>
      </c>
      <c r="CW168" s="323">
        <v>658242</v>
      </c>
      <c r="CX168" s="14"/>
      <c r="CY168" s="23" t="s">
        <v>664</v>
      </c>
      <c r="CZ168" s="323">
        <v>331890</v>
      </c>
      <c r="DA168" s="323">
        <v>382666</v>
      </c>
      <c r="DB168" s="323">
        <v>461600</v>
      </c>
      <c r="DC168" s="323">
        <v>590848</v>
      </c>
      <c r="DD168" s="323">
        <v>658242</v>
      </c>
    </row>
    <row r="169" spans="1:108" ht="12.95" customHeight="1">
      <c r="A169" s="1531" t="s">
        <v>538</v>
      </c>
      <c r="B169" s="1531"/>
      <c r="C169" s="1531"/>
      <c r="D169" s="1531"/>
      <c r="E169" s="1531"/>
      <c r="F169" s="1531"/>
      <c r="G169" s="1531"/>
      <c r="H169" s="1531"/>
      <c r="I169" s="1531"/>
      <c r="J169" s="1531"/>
      <c r="K169" s="1531"/>
      <c r="L169" s="1531"/>
      <c r="M169" s="1531"/>
      <c r="N169" s="1531"/>
      <c r="O169" s="1531"/>
      <c r="P169" s="1531"/>
      <c r="Q169" s="1531"/>
      <c r="R169" s="1531"/>
      <c r="S169" s="1531"/>
      <c r="T169" s="1531"/>
      <c r="U169" s="1531"/>
      <c r="V169" s="1531"/>
      <c r="W169" s="1531"/>
      <c r="X169" s="1531"/>
      <c r="Y169" s="1531"/>
      <c r="Z169" s="1531"/>
      <c r="AA169" s="1531"/>
      <c r="AB169" s="1531"/>
      <c r="AC169" s="1531"/>
      <c r="AD169" s="1531"/>
      <c r="AE169" s="1531"/>
      <c r="AF169" s="1531"/>
      <c r="AG169" s="1531"/>
      <c r="AH169" s="1531"/>
      <c r="AI169" s="1531"/>
      <c r="AJ169" s="1531"/>
      <c r="AK169" s="1531"/>
      <c r="AL169" s="1531"/>
      <c r="AM169" s="1531"/>
      <c r="AN169" s="1531"/>
      <c r="AO169" s="1531"/>
      <c r="AP169" s="1531"/>
      <c r="AQ169" s="1531"/>
      <c r="AR169" s="1531"/>
      <c r="AS169" s="1531"/>
      <c r="AT169" s="1531"/>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666</v>
      </c>
      <c r="CS169" s="321">
        <v>307732</v>
      </c>
      <c r="CT169" s="321">
        <v>354812</v>
      </c>
      <c r="CU169" s="321">
        <v>428000</v>
      </c>
      <c r="CV169" s="321">
        <v>547840</v>
      </c>
      <c r="CW169" s="321">
        <v>610328</v>
      </c>
      <c r="CX169" s="14"/>
      <c r="CY169" s="23" t="s">
        <v>666</v>
      </c>
      <c r="CZ169" s="321">
        <v>307732</v>
      </c>
      <c r="DA169" s="321">
        <v>354812</v>
      </c>
      <c r="DB169" s="321">
        <v>428000</v>
      </c>
      <c r="DC169" s="321">
        <v>547840</v>
      </c>
      <c r="DD169" s="321">
        <v>610328</v>
      </c>
    </row>
    <row r="170" spans="1:108" ht="12.95" customHeight="1">
      <c r="A170" s="1531"/>
      <c r="B170" s="1531"/>
      <c r="C170" s="1531"/>
      <c r="D170" s="1531"/>
      <c r="E170" s="1531"/>
      <c r="F170" s="1531"/>
      <c r="G170" s="1531"/>
      <c r="H170" s="1531"/>
      <c r="I170" s="1531"/>
      <c r="J170" s="1531"/>
      <c r="K170" s="1531"/>
      <c r="L170" s="1531"/>
      <c r="M170" s="1531"/>
      <c r="N170" s="1531"/>
      <c r="O170" s="1531"/>
      <c r="P170" s="1531"/>
      <c r="Q170" s="1531"/>
      <c r="R170" s="1531"/>
      <c r="S170" s="1531"/>
      <c r="T170" s="1531"/>
      <c r="U170" s="1531"/>
      <c r="V170" s="1531"/>
      <c r="W170" s="1531"/>
      <c r="X170" s="1531"/>
      <c r="Y170" s="1531"/>
      <c r="Z170" s="1531"/>
      <c r="AA170" s="1531"/>
      <c r="AB170" s="1531"/>
      <c r="AC170" s="1531"/>
      <c r="AD170" s="1531"/>
      <c r="AE170" s="1531"/>
      <c r="AF170" s="1531"/>
      <c r="AG170" s="1531"/>
      <c r="AH170" s="1531"/>
      <c r="AI170" s="1531"/>
      <c r="AJ170" s="1531"/>
      <c r="AK170" s="1531"/>
      <c r="AL170" s="1531"/>
      <c r="AM170" s="1531"/>
      <c r="AN170" s="1531"/>
      <c r="AO170" s="1531"/>
      <c r="AP170" s="1531"/>
      <c r="AQ170" s="1531"/>
      <c r="AR170" s="1531"/>
      <c r="AS170" s="1531"/>
      <c r="AT170" s="1531"/>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669</v>
      </c>
      <c r="CS170" s="323">
        <v>352022</v>
      </c>
      <c r="CT170" s="323">
        <v>405878</v>
      </c>
      <c r="CU170" s="323">
        <v>489600</v>
      </c>
      <c r="CV170" s="323">
        <v>626688</v>
      </c>
      <c r="CW170" s="323">
        <v>698170</v>
      </c>
      <c r="CX170" s="14"/>
      <c r="CY170" s="23" t="s">
        <v>669</v>
      </c>
      <c r="CZ170" s="323">
        <v>352022</v>
      </c>
      <c r="DA170" s="323">
        <v>405878</v>
      </c>
      <c r="DB170" s="323">
        <v>489600</v>
      </c>
      <c r="DC170" s="323">
        <v>626688</v>
      </c>
      <c r="DD170" s="323">
        <v>698170</v>
      </c>
    </row>
    <row r="171" spans="1:108" ht="12.95" customHeight="1">
      <c r="BN171" s="23" t="s">
        <v>210</v>
      </c>
      <c r="BS171">
        <v>5</v>
      </c>
      <c r="BT171" t="s">
        <v>489</v>
      </c>
      <c r="CB171" s="350" t="s">
        <v>486</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670</v>
      </c>
      <c r="CS171" s="321">
        <v>352022</v>
      </c>
      <c r="CT171" s="321">
        <v>405878</v>
      </c>
      <c r="CU171" s="321">
        <v>489600</v>
      </c>
      <c r="CV171" s="321">
        <v>626688</v>
      </c>
      <c r="CW171" s="321">
        <v>698170</v>
      </c>
      <c r="CX171" s="14"/>
      <c r="CY171" s="23" t="s">
        <v>670</v>
      </c>
      <c r="CZ171" s="321">
        <v>352022</v>
      </c>
      <c r="DA171" s="321">
        <v>405878</v>
      </c>
      <c r="DB171" s="321">
        <v>489600</v>
      </c>
      <c r="DC171" s="321">
        <v>626688</v>
      </c>
      <c r="DD171" s="321">
        <v>698170</v>
      </c>
    </row>
    <row r="172" spans="1:108" ht="12.95"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672</v>
      </c>
      <c r="CS172" s="323">
        <v>324988</v>
      </c>
      <c r="CT172" s="323">
        <v>374708</v>
      </c>
      <c r="CU172" s="323">
        <v>452000</v>
      </c>
      <c r="CV172" s="323">
        <v>578560</v>
      </c>
      <c r="CW172" s="323">
        <v>644552</v>
      </c>
      <c r="CX172" s="14"/>
      <c r="CY172" s="23" t="s">
        <v>672</v>
      </c>
      <c r="CZ172" s="323">
        <v>324988</v>
      </c>
      <c r="DA172" s="323">
        <v>374708</v>
      </c>
      <c r="DB172" s="323">
        <v>452000</v>
      </c>
      <c r="DC172" s="323">
        <v>578560</v>
      </c>
      <c r="DD172" s="323">
        <v>644552</v>
      </c>
    </row>
    <row r="173" spans="1:108" ht="12.95" customHeight="1">
      <c r="C173" s="24"/>
      <c r="D173" t="s">
        <v>320</v>
      </c>
      <c r="J173" s="1526" t="s">
        <v>370</v>
      </c>
      <c r="K173" s="1526"/>
      <c r="L173" s="1526"/>
      <c r="M173" s="1526"/>
      <c r="N173" s="1526"/>
      <c r="O173" s="1526"/>
      <c r="P173" s="1526"/>
      <c r="Q173" s="1526"/>
      <c r="R173" s="1526"/>
      <c r="S173" s="1526"/>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673</v>
      </c>
      <c r="CS173" s="321">
        <v>352022</v>
      </c>
      <c r="CT173" s="321">
        <v>405878</v>
      </c>
      <c r="CU173" s="321">
        <v>489600</v>
      </c>
      <c r="CV173" s="321">
        <v>626688</v>
      </c>
      <c r="CW173" s="321">
        <v>698170</v>
      </c>
      <c r="CX173" s="14"/>
      <c r="CY173" s="23" t="s">
        <v>673</v>
      </c>
      <c r="CZ173" s="321">
        <v>352022</v>
      </c>
      <c r="DA173" s="321">
        <v>405878</v>
      </c>
      <c r="DB173" s="321">
        <v>489600</v>
      </c>
      <c r="DC173" s="321">
        <v>626688</v>
      </c>
      <c r="DD173" s="321">
        <v>698170</v>
      </c>
    </row>
    <row r="174" spans="1:108" ht="12.95" customHeight="1">
      <c r="C174" s="24"/>
      <c r="D174" s="3" t="s">
        <v>1201</v>
      </c>
      <c r="J174" s="1344" t="s">
        <v>2101</v>
      </c>
      <c r="K174" s="1344"/>
      <c r="L174" s="1344"/>
      <c r="M174" s="1344"/>
      <c r="N174" s="1344"/>
      <c r="O174" s="1344"/>
      <c r="P174" s="1344"/>
      <c r="Q174" s="1344"/>
      <c r="R174" s="1344"/>
      <c r="S174" s="1344"/>
      <c r="T174" s="1344"/>
      <c r="U174" s="1344"/>
      <c r="V174" s="1344"/>
      <c r="W174" s="1344"/>
      <c r="X174" s="1344"/>
      <c r="Y174" s="1344"/>
      <c r="Z174" s="1344"/>
      <c r="AA174" s="1344"/>
      <c r="AB174" s="1344"/>
      <c r="BB174" t="s">
        <v>1969</v>
      </c>
      <c r="BN174" s="23" t="s">
        <v>215</v>
      </c>
      <c r="BS174">
        <v>7</v>
      </c>
      <c r="BT174" t="s">
        <v>492</v>
      </c>
      <c r="CB174" s="350" t="s">
        <v>489</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2.95" customHeight="1">
      <c r="C175" s="8"/>
      <c r="D175" s="3" t="s">
        <v>321</v>
      </c>
      <c r="O175" s="27"/>
      <c r="U175" s="1352" t="s">
        <v>668</v>
      </c>
      <c r="V175" s="1352"/>
      <c r="BB175" t="s">
        <v>1937</v>
      </c>
      <c r="BN175" s="23" t="s">
        <v>216</v>
      </c>
      <c r="BS175">
        <v>1</v>
      </c>
      <c r="BT175" t="s">
        <v>493</v>
      </c>
      <c r="CB175" s="350" t="s">
        <v>490</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2.95" customHeight="1">
      <c r="C176" s="8"/>
      <c r="D176" s="26"/>
      <c r="E176" t="s">
        <v>303</v>
      </c>
      <c r="O176" s="27"/>
      <c r="P176" t="s">
        <v>2079</v>
      </c>
      <c r="T176" s="27" t="s">
        <v>304</v>
      </c>
      <c r="U176" s="1509"/>
      <c r="V176" s="1509"/>
      <c r="W176" s="1" t="s">
        <v>305</v>
      </c>
      <c r="X176" s="1563"/>
      <c r="Y176" s="1563"/>
      <c r="BB176" t="s">
        <v>1970</v>
      </c>
      <c r="BN176" s="23" t="s">
        <v>218</v>
      </c>
      <c r="BS176">
        <v>5</v>
      </c>
      <c r="BT176" t="s">
        <v>494</v>
      </c>
      <c r="CB176" s="350" t="s">
        <v>491</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2.95" customHeight="1">
      <c r="C177" s="24"/>
      <c r="D177" t="s">
        <v>248</v>
      </c>
      <c r="R177" s="1352"/>
      <c r="S177" s="1352"/>
      <c r="BB177" t="s">
        <v>2213</v>
      </c>
      <c r="BN177" s="23" t="s">
        <v>219</v>
      </c>
      <c r="BS177">
        <v>2</v>
      </c>
      <c r="BT177" t="s">
        <v>495</v>
      </c>
      <c r="CB177" s="350" t="s">
        <v>492</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2.95" customHeight="1">
      <c r="C178" s="24"/>
      <c r="D178" s="3" t="s">
        <v>1202</v>
      </c>
      <c r="AA178" t="s">
        <v>2079</v>
      </c>
      <c r="AE178" s="27" t="s">
        <v>304</v>
      </c>
      <c r="AF178" s="1562"/>
      <c r="AG178" s="1562"/>
      <c r="AH178" s="1" t="s">
        <v>305</v>
      </c>
      <c r="AI178" s="1455"/>
      <c r="AJ178" s="1455"/>
      <c r="AK178" s="1455"/>
      <c r="BB178" t="s">
        <v>2214</v>
      </c>
      <c r="BN178" s="23" t="s">
        <v>220</v>
      </c>
      <c r="BS178">
        <v>7</v>
      </c>
      <c r="BT178" t="s">
        <v>53</v>
      </c>
      <c r="CB178" s="350" t="s">
        <v>493</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5" customHeight="1">
      <c r="C179" s="24"/>
      <c r="BN179" s="23" t="s">
        <v>221</v>
      </c>
      <c r="BS179">
        <v>7</v>
      </c>
      <c r="BT179" t="s">
        <v>54</v>
      </c>
      <c r="CB179" s="350" t="s">
        <v>494</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2.95" customHeight="1">
      <c r="C180" s="24"/>
      <c r="D180" t="s">
        <v>2080</v>
      </c>
      <c r="X180" s="1352"/>
      <c r="Y180" s="1352"/>
      <c r="BN180" s="23" t="s">
        <v>223</v>
      </c>
      <c r="BS180">
        <v>5</v>
      </c>
      <c r="BT180" t="s">
        <v>55</v>
      </c>
      <c r="CB180" s="350" t="s">
        <v>495</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2.95" customHeight="1">
      <c r="C181" s="8"/>
      <c r="E181" s="4" t="s">
        <v>975</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2.95"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2.95"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2.95" customHeight="1">
      <c r="C184" s="21"/>
      <c r="D184" t="s">
        <v>577</v>
      </c>
      <c r="I184" s="1475" t="str">
        <f>H18</f>
        <v xml:space="preserve">Bella Village Apartments </v>
      </c>
      <c r="J184" s="1475"/>
      <c r="K184" s="1475"/>
      <c r="L184" s="1475"/>
      <c r="M184" s="1475"/>
      <c r="N184" s="1475"/>
      <c r="O184" s="1475"/>
      <c r="P184" s="1475"/>
      <c r="Q184" s="1475"/>
      <c r="R184" s="1475"/>
      <c r="S184" s="1475"/>
      <c r="T184" s="1475"/>
      <c r="U184" s="1475"/>
      <c r="V184" s="1475"/>
      <c r="W184" s="1475"/>
      <c r="X184" s="1475"/>
      <c r="Y184" s="1475"/>
      <c r="Z184" s="1475"/>
      <c r="AA184" s="1475"/>
      <c r="AB184" s="1475"/>
      <c r="AC184" s="1475"/>
      <c r="AD184" s="1475"/>
      <c r="AE184" s="1475"/>
      <c r="BC184" t="s">
        <v>586</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2.95" customHeight="1">
      <c r="C185" s="21"/>
      <c r="D185" t="s">
        <v>578</v>
      </c>
      <c r="I185" s="1333" t="s">
        <v>2709</v>
      </c>
      <c r="J185" s="1333"/>
      <c r="K185" s="1333"/>
      <c r="L185" s="1333"/>
      <c r="M185" s="1333"/>
      <c r="N185" s="1333"/>
      <c r="O185" s="1333"/>
      <c r="P185" s="1333"/>
      <c r="Q185" s="1333"/>
      <c r="R185" s="1333"/>
      <c r="S185" s="1333"/>
      <c r="T185" s="1333"/>
      <c r="U185" s="1333"/>
      <c r="V185" s="1333"/>
      <c r="W185" s="1333"/>
      <c r="X185" s="1333"/>
      <c r="Y185" s="1333"/>
      <c r="Z185" s="1333"/>
      <c r="AA185" s="1333"/>
      <c r="AB185" s="1333"/>
      <c r="AC185" s="1333"/>
      <c r="AD185" s="1333"/>
      <c r="AE185" s="1333"/>
      <c r="BC185" t="s">
        <v>587</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2.9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2.95" customHeight="1">
      <c r="C187" s="21"/>
      <c r="E187" s="1522"/>
      <c r="F187" s="1522"/>
      <c r="G187" s="1522"/>
      <c r="H187" s="1522"/>
      <c r="I187" s="1522"/>
      <c r="J187" s="1522"/>
      <c r="K187" s="1522"/>
      <c r="L187" s="1522"/>
      <c r="M187" s="1522"/>
      <c r="N187" s="1522"/>
      <c r="O187" s="1522"/>
      <c r="P187" s="1522"/>
      <c r="Q187" s="1522"/>
      <c r="R187" s="1522"/>
      <c r="S187" s="1522"/>
      <c r="T187" s="1522"/>
      <c r="U187" s="1522"/>
      <c r="V187" s="1522"/>
      <c r="W187" s="1522"/>
      <c r="X187" s="1522"/>
      <c r="Y187" s="1522"/>
      <c r="Z187" s="1522"/>
      <c r="AA187" s="1522"/>
      <c r="AB187" s="1522"/>
      <c r="AC187" s="1522"/>
      <c r="AD187" s="1522"/>
      <c r="AE187" s="1522"/>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2.95" customHeight="1">
      <c r="C188" s="21"/>
      <c r="E188" s="1523"/>
      <c r="F188" s="1523"/>
      <c r="G188" s="1523"/>
      <c r="H188" s="1523"/>
      <c r="I188" s="1523"/>
      <c r="J188" s="1523"/>
      <c r="K188" s="1523"/>
      <c r="L188" s="1523"/>
      <c r="M188" s="1523"/>
      <c r="N188" s="1523"/>
      <c r="O188" s="1523"/>
      <c r="P188" s="1523"/>
      <c r="Q188" s="1523"/>
      <c r="R188" s="1523"/>
      <c r="S188" s="1523"/>
      <c r="T188" s="1523"/>
      <c r="U188" s="1523"/>
      <c r="V188" s="1523"/>
      <c r="W188" s="1523"/>
      <c r="X188" s="1523"/>
      <c r="Y188" s="1523"/>
      <c r="Z188" s="1523"/>
      <c r="AA188" s="1523"/>
      <c r="AB188" s="1523"/>
      <c r="AC188" s="1523"/>
      <c r="AD188" s="1523"/>
      <c r="AE188" s="1523"/>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2.95" customHeight="1">
      <c r="C189" s="21"/>
      <c r="D189" t="s">
        <v>579</v>
      </c>
      <c r="I189" s="1516" t="s">
        <v>2614</v>
      </c>
      <c r="J189" s="1344"/>
      <c r="K189" s="1344"/>
      <c r="L189" s="1344"/>
      <c r="M189" s="1344"/>
      <c r="N189" s="1344"/>
      <c r="O189" s="1344"/>
      <c r="P189" s="1344"/>
      <c r="Q189" t="s">
        <v>581</v>
      </c>
      <c r="T189" s="1344" t="s">
        <v>481</v>
      </c>
      <c r="U189" s="1344"/>
      <c r="V189" s="1344"/>
      <c r="W189" s="1344"/>
      <c r="X189" s="1344"/>
      <c r="Y189" s="1344"/>
      <c r="Z189" s="1344"/>
      <c r="AA189" s="1344"/>
      <c r="AB189" s="1344"/>
      <c r="AC189" s="1344"/>
      <c r="AD189" s="1344"/>
      <c r="AE189" s="1344"/>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2.95" customHeight="1">
      <c r="C190" s="21"/>
      <c r="D190" t="s">
        <v>582</v>
      </c>
      <c r="I190" s="1333">
        <v>94583</v>
      </c>
      <c r="J190" s="1333"/>
      <c r="K190" s="1333"/>
      <c r="L190" s="1333"/>
      <c r="M190" s="1333"/>
      <c r="N190" s="1333"/>
      <c r="O190" t="s">
        <v>584</v>
      </c>
      <c r="T190" s="1553">
        <v>3452.05</v>
      </c>
      <c r="U190" s="1553"/>
      <c r="V190" s="1553"/>
      <c r="W190" s="1553"/>
      <c r="X190" s="1553"/>
      <c r="Y190" s="1553"/>
      <c r="Z190" s="1553"/>
      <c r="AA190" s="1553"/>
      <c r="AB190" s="1553"/>
      <c r="AC190" s="1553"/>
      <c r="AD190" s="1553"/>
      <c r="AE190" s="1553"/>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2.95" customHeight="1">
      <c r="C191" s="21"/>
      <c r="D191" t="s">
        <v>461</v>
      </c>
      <c r="N191" s="1522" t="s">
        <v>2615</v>
      </c>
      <c r="O191" s="1522"/>
      <c r="P191" s="1522"/>
      <c r="Q191" s="1522"/>
      <c r="R191" s="1522"/>
      <c r="S191" s="1522"/>
      <c r="T191" s="1522"/>
      <c r="U191" s="1522"/>
      <c r="V191" s="1522"/>
      <c r="W191" s="1522"/>
      <c r="X191" s="1522"/>
      <c r="Y191" s="1522"/>
      <c r="Z191" s="1522"/>
      <c r="AA191" s="1522"/>
      <c r="AB191" s="1522"/>
      <c r="AC191" s="1522"/>
      <c r="AD191" s="1522"/>
      <c r="AE191" s="1522"/>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2.95" customHeight="1">
      <c r="C192" s="21"/>
      <c r="M192" s="40"/>
      <c r="N192" s="1523"/>
      <c r="O192" s="1523"/>
      <c r="P192" s="1523"/>
      <c r="Q192" s="1523"/>
      <c r="R192" s="1523"/>
      <c r="S192" s="1523"/>
      <c r="T192" s="1523"/>
      <c r="U192" s="1523"/>
      <c r="V192" s="1523"/>
      <c r="W192" s="1523"/>
      <c r="X192" s="1523"/>
      <c r="Y192" s="1523"/>
      <c r="Z192" s="1523"/>
      <c r="AA192" s="1523"/>
      <c r="AB192" s="1523"/>
      <c r="AC192" s="1523"/>
      <c r="AD192" s="1523"/>
      <c r="AE192" s="1523"/>
      <c r="BC192" t="s">
        <v>1042</v>
      </c>
      <c r="BH192" s="3" t="s">
        <v>1364</v>
      </c>
      <c r="BN192" s="23" t="s">
        <v>688</v>
      </c>
      <c r="BS192">
        <v>5</v>
      </c>
      <c r="BT192" t="s">
        <v>727</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2.95" customHeight="1">
      <c r="C193" s="21"/>
      <c r="D193" t="s">
        <v>2081</v>
      </c>
      <c r="M193" s="40"/>
      <c r="N193" s="894"/>
      <c r="O193" s="894"/>
      <c r="P193" s="894"/>
      <c r="Q193" s="894"/>
      <c r="R193" s="894"/>
      <c r="S193" s="894"/>
      <c r="T193" s="1557" t="s">
        <v>1969</v>
      </c>
      <c r="U193" s="1557"/>
      <c r="V193" s="1557"/>
      <c r="W193" s="1557"/>
      <c r="X193" s="1557"/>
      <c r="Y193" s="1557"/>
      <c r="Z193" s="1557"/>
      <c r="AA193" s="1557"/>
      <c r="AB193" s="1557"/>
      <c r="AC193" s="1557"/>
      <c r="AD193" s="1557"/>
      <c r="AE193" s="1557"/>
      <c r="AF193" s="1557"/>
      <c r="AG193" s="1557"/>
      <c r="AH193" s="1557"/>
      <c r="AI193" s="1557"/>
      <c r="BC193" t="s">
        <v>1041</v>
      </c>
      <c r="BH193" s="3" t="s">
        <v>1629</v>
      </c>
      <c r="BN193" s="23" t="s">
        <v>689</v>
      </c>
      <c r="BS193">
        <v>4</v>
      </c>
      <c r="BT193" t="s">
        <v>728</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634</v>
      </c>
      <c r="CS193" s="321">
        <v>331890</v>
      </c>
      <c r="CT193" s="321">
        <v>382666</v>
      </c>
      <c r="CU193" s="321">
        <v>461600</v>
      </c>
      <c r="CV193" s="321">
        <v>590848</v>
      </c>
      <c r="CW193" s="321">
        <v>658242</v>
      </c>
      <c r="CX193" s="14"/>
      <c r="CY193" s="23" t="s">
        <v>634</v>
      </c>
      <c r="CZ193" s="321">
        <v>331890</v>
      </c>
      <c r="DA193" s="321">
        <v>382666</v>
      </c>
      <c r="DB193" s="321">
        <v>461600</v>
      </c>
      <c r="DC193" s="321">
        <v>590848</v>
      </c>
      <c r="DD193" s="321">
        <v>658242</v>
      </c>
    </row>
    <row r="194" spans="1:108" ht="12.95" customHeight="1">
      <c r="C194" s="21"/>
      <c r="D194" s="3" t="s">
        <v>2215</v>
      </c>
      <c r="M194" s="40"/>
      <c r="N194" s="894"/>
      <c r="O194" s="894"/>
      <c r="P194" s="894"/>
      <c r="Q194" s="894"/>
      <c r="R194" s="894"/>
      <c r="S194" s="894"/>
      <c r="AH194" s="1352" t="s">
        <v>668</v>
      </c>
      <c r="AI194" s="1352"/>
      <c r="BC194" t="s">
        <v>1364</v>
      </c>
      <c r="BN194" s="23" t="s">
        <v>690</v>
      </c>
      <c r="BS194">
        <v>2</v>
      </c>
      <c r="BT194" t="s">
        <v>729</v>
      </c>
      <c r="CB194" s="350" t="s">
        <v>726</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687</v>
      </c>
      <c r="CS194" s="323">
        <v>352022</v>
      </c>
      <c r="CT194" s="323">
        <v>405878</v>
      </c>
      <c r="CU194" s="323">
        <v>489600</v>
      </c>
      <c r="CV194" s="323">
        <v>626688</v>
      </c>
      <c r="CW194" s="323">
        <v>698170</v>
      </c>
      <c r="CX194" s="14"/>
      <c r="CY194" s="23" t="s">
        <v>687</v>
      </c>
      <c r="CZ194" s="323">
        <v>352022</v>
      </c>
      <c r="DA194" s="323">
        <v>405878</v>
      </c>
      <c r="DB194" s="323">
        <v>489600</v>
      </c>
      <c r="DC194" s="323">
        <v>626688</v>
      </c>
      <c r="DD194" s="323">
        <v>698170</v>
      </c>
    </row>
    <row r="195" spans="1:108" ht="12.95" customHeight="1">
      <c r="C195" s="21"/>
      <c r="D195" t="s">
        <v>330</v>
      </c>
      <c r="T195" s="1352" t="s">
        <v>544</v>
      </c>
      <c r="U195" s="1352"/>
      <c r="W195" t="s">
        <v>683</v>
      </c>
      <c r="AH195" s="1352">
        <v>10</v>
      </c>
      <c r="AI195" s="1352"/>
      <c r="BC195" t="s">
        <v>1856</v>
      </c>
      <c r="BN195" s="23" t="s">
        <v>241</v>
      </c>
      <c r="BS195">
        <v>6</v>
      </c>
      <c r="BT195" t="s">
        <v>730</v>
      </c>
      <c r="CB195" s="350" t="s">
        <v>727</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688</v>
      </c>
      <c r="CS195" s="321">
        <v>324988</v>
      </c>
      <c r="CT195" s="321">
        <v>374708</v>
      </c>
      <c r="CU195" s="321">
        <v>452000</v>
      </c>
      <c r="CV195" s="321">
        <v>578560</v>
      </c>
      <c r="CW195" s="321">
        <v>644552</v>
      </c>
      <c r="CX195" s="14"/>
      <c r="CY195" s="23" t="s">
        <v>688</v>
      </c>
      <c r="CZ195" s="321">
        <v>324988</v>
      </c>
      <c r="DA195" s="321">
        <v>374708</v>
      </c>
      <c r="DB195" s="321">
        <v>452000</v>
      </c>
      <c r="DC195" s="321">
        <v>578560</v>
      </c>
      <c r="DD195" s="321">
        <v>644552</v>
      </c>
    </row>
    <row r="196" spans="1:108" ht="12.95" customHeight="1">
      <c r="C196" s="21"/>
      <c r="D196" t="s">
        <v>385</v>
      </c>
      <c r="T196" s="1438" t="s">
        <v>668</v>
      </c>
      <c r="U196" s="1438"/>
      <c r="W196" t="s">
        <v>684</v>
      </c>
      <c r="AH196" s="1352">
        <v>16</v>
      </c>
      <c r="AI196" s="1352"/>
      <c r="BN196" s="23" t="s">
        <v>242</v>
      </c>
      <c r="BS196">
        <v>4</v>
      </c>
      <c r="BT196" t="s">
        <v>69</v>
      </c>
      <c r="CB196" s="350" t="s">
        <v>728</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689</v>
      </c>
      <c r="CS196" s="323">
        <v>353173</v>
      </c>
      <c r="CT196" s="323">
        <v>407205</v>
      </c>
      <c r="CU196" s="323">
        <v>491200</v>
      </c>
      <c r="CV196" s="323">
        <v>628736</v>
      </c>
      <c r="CW196" s="323">
        <v>700451</v>
      </c>
      <c r="CX196" s="14"/>
      <c r="CY196" s="23" t="s">
        <v>689</v>
      </c>
      <c r="CZ196" s="323">
        <v>353173</v>
      </c>
      <c r="DA196" s="323">
        <v>407205</v>
      </c>
      <c r="DB196" s="323">
        <v>491200</v>
      </c>
      <c r="DC196" s="323">
        <v>628736</v>
      </c>
      <c r="DD196" s="323">
        <v>700451</v>
      </c>
    </row>
    <row r="197" spans="1:108" ht="12.95" customHeight="1">
      <c r="C197" s="21"/>
      <c r="D197" s="3" t="s">
        <v>168</v>
      </c>
      <c r="T197" s="1438" t="s">
        <v>668</v>
      </c>
      <c r="U197" s="1438"/>
      <c r="W197" t="s">
        <v>685</v>
      </c>
      <c r="AH197" s="1352">
        <v>9</v>
      </c>
      <c r="AI197" s="1352"/>
      <c r="BC197" t="s">
        <v>306</v>
      </c>
      <c r="BN197" s="23" t="s">
        <v>243</v>
      </c>
      <c r="BS197">
        <v>2</v>
      </c>
      <c r="BT197" t="s">
        <v>70</v>
      </c>
      <c r="CB197" s="350" t="s">
        <v>729</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690</v>
      </c>
      <c r="CS197" s="321">
        <v>689665</v>
      </c>
      <c r="CT197" s="321">
        <v>795177</v>
      </c>
      <c r="CU197" s="321">
        <v>959200</v>
      </c>
      <c r="CV197" s="321">
        <v>1227776</v>
      </c>
      <c r="CW197" s="321">
        <v>1367819</v>
      </c>
      <c r="CX197" s="14"/>
      <c r="CY197" s="23" t="s">
        <v>690</v>
      </c>
      <c r="CZ197" s="321">
        <v>689665</v>
      </c>
      <c r="DA197" s="321">
        <v>795177</v>
      </c>
      <c r="DB197" s="321">
        <v>959200</v>
      </c>
      <c r="DC197" s="321">
        <v>1227776</v>
      </c>
      <c r="DD197" s="321">
        <v>1367819</v>
      </c>
    </row>
    <row r="198" spans="1:108" s="14" customFormat="1" ht="12.95" customHeight="1">
      <c r="A198"/>
      <c r="B198"/>
      <c r="C198" s="21"/>
      <c r="D198" s="3" t="s">
        <v>1652</v>
      </c>
      <c r="E198"/>
      <c r="F198"/>
      <c r="G198"/>
      <c r="H198"/>
      <c r="I198"/>
      <c r="J198"/>
      <c r="K198"/>
      <c r="L198"/>
      <c r="M198"/>
      <c r="N198"/>
      <c r="O198"/>
      <c r="P198"/>
      <c r="Q198"/>
      <c r="R198"/>
      <c r="S198"/>
      <c r="T198" s="1438" t="s">
        <v>668</v>
      </c>
      <c r="U198" s="1438"/>
      <c r="V198"/>
      <c r="X198" s="1532" t="s">
        <v>2513</v>
      </c>
      <c r="Y198" s="1532"/>
      <c r="Z198" s="1532"/>
      <c r="AA198" s="1532"/>
      <c r="AB198" s="1532"/>
      <c r="AC198" s="1532"/>
      <c r="AD198" s="1532"/>
      <c r="AE198" s="1532"/>
      <c r="AF198" s="1532"/>
      <c r="AG198" s="1532"/>
      <c r="AH198" s="1532"/>
      <c r="AI198" s="1532"/>
      <c r="AJ198" s="1532"/>
      <c r="AK198" s="1532"/>
      <c r="AL198" s="1532"/>
      <c r="AM198" s="1532"/>
      <c r="AN198" s="1532"/>
      <c r="AO198" s="1532"/>
      <c r="AP198" s="1532"/>
      <c r="AQ198" s="1532"/>
      <c r="AR198" s="1532"/>
      <c r="AS198" s="1532"/>
      <c r="AT198" s="1532"/>
      <c r="AU198"/>
      <c r="AV198"/>
      <c r="AW198"/>
      <c r="AX198"/>
      <c r="AY198"/>
      <c r="AZ198" s="30"/>
      <c r="BA198" s="30"/>
      <c r="BC198" s="14" t="s">
        <v>590</v>
      </c>
      <c r="BD198"/>
      <c r="BN198" s="23" t="s">
        <v>696</v>
      </c>
      <c r="BO198"/>
      <c r="BP198"/>
      <c r="BQ198"/>
      <c r="BR198"/>
      <c r="BS198">
        <v>4</v>
      </c>
      <c r="BT198" t="s">
        <v>190</v>
      </c>
      <c r="BU198"/>
      <c r="BV198" s="31"/>
      <c r="CB198" s="350" t="s">
        <v>730</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2.95" customHeight="1">
      <c r="A199"/>
      <c r="B199"/>
      <c r="C199" s="21"/>
      <c r="D199" s="118" t="s">
        <v>2516</v>
      </c>
      <c r="E199"/>
      <c r="F199"/>
      <c r="G199"/>
      <c r="H199"/>
      <c r="I199"/>
      <c r="J199"/>
      <c r="K199"/>
      <c r="L199"/>
      <c r="M199"/>
      <c r="N199"/>
      <c r="O199"/>
      <c r="P199"/>
      <c r="Q199"/>
      <c r="R199"/>
      <c r="S199"/>
      <c r="T199" s="1352" t="s">
        <v>668</v>
      </c>
      <c r="U199" s="1352"/>
      <c r="V199"/>
      <c r="W199"/>
      <c r="X199" s="1532"/>
      <c r="Y199" s="1532"/>
      <c r="Z199" s="1532"/>
      <c r="AA199" s="1532"/>
      <c r="AB199" s="1532"/>
      <c r="AC199" s="1532"/>
      <c r="AD199" s="1532"/>
      <c r="AE199" s="1532"/>
      <c r="AF199" s="1532"/>
      <c r="AG199" s="1532"/>
      <c r="AH199" s="1532"/>
      <c r="AI199" s="1532"/>
      <c r="AJ199" s="1532"/>
      <c r="AK199" s="1532"/>
      <c r="AL199" s="1532"/>
      <c r="AM199" s="1532"/>
      <c r="AN199" s="1532"/>
      <c r="AO199" s="1532"/>
      <c r="AP199" s="1532"/>
      <c r="AQ199" s="1532"/>
      <c r="AR199" s="1532"/>
      <c r="AS199" s="1532"/>
      <c r="AT199" s="1532"/>
      <c r="AU199"/>
      <c r="AV199"/>
      <c r="AW199"/>
      <c r="AX199"/>
      <c r="AY199"/>
      <c r="AZ199" s="30"/>
      <c r="BA199" s="30"/>
      <c r="BC199" t="s">
        <v>874</v>
      </c>
      <c r="BD199"/>
      <c r="BN199" s="23" t="s">
        <v>697</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2.95" customHeight="1">
      <c r="A200"/>
      <c r="B200"/>
      <c r="C200" s="21"/>
      <c r="D200" s="14" t="s">
        <v>2514</v>
      </c>
      <c r="T200" s="1352" t="s">
        <v>668</v>
      </c>
      <c r="U200" s="1352"/>
      <c r="V200"/>
      <c r="W200"/>
      <c r="X200"/>
      <c r="Y200"/>
      <c r="AA200"/>
      <c r="AB200" s="1250"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5" customHeight="1">
      <c r="A201"/>
      <c r="B201"/>
      <c r="C201" s="21"/>
      <c r="E201" s="3" t="s">
        <v>2515</v>
      </c>
      <c r="V201"/>
      <c r="X201"/>
      <c r="Y201"/>
      <c r="Z201"/>
      <c r="AB201" s="1250"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696</v>
      </c>
      <c r="CS201" s="321">
        <v>404366</v>
      </c>
      <c r="CT201" s="321">
        <v>466230</v>
      </c>
      <c r="CU201" s="321">
        <v>562400</v>
      </c>
      <c r="CV201" s="321">
        <v>719872</v>
      </c>
      <c r="CW201" s="321">
        <v>801982</v>
      </c>
      <c r="CY201" s="23" t="s">
        <v>696</v>
      </c>
      <c r="CZ201" s="321">
        <v>404366</v>
      </c>
      <c r="DA201" s="321">
        <v>466230</v>
      </c>
      <c r="DB201" s="321">
        <v>562400</v>
      </c>
      <c r="DC201" s="321">
        <v>719872</v>
      </c>
      <c r="DD201" s="321">
        <v>801982</v>
      </c>
    </row>
    <row r="202" spans="1:108" ht="12.95" customHeight="1">
      <c r="C202" s="21"/>
      <c r="AE202" s="8"/>
      <c r="BC202" t="s">
        <v>610</v>
      </c>
      <c r="BD202" s="436"/>
      <c r="BN202" s="23" t="s">
        <v>700</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2.95" customHeight="1">
      <c r="A203" s="2" t="s">
        <v>585</v>
      </c>
      <c r="C203" s="2" t="s">
        <v>136</v>
      </c>
      <c r="BC203" t="s">
        <v>1061</v>
      </c>
      <c r="BN203" s="23" t="s">
        <v>701</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698</v>
      </c>
      <c r="CS203" s="321">
        <v>404366</v>
      </c>
      <c r="CT203" s="321">
        <v>466230</v>
      </c>
      <c r="CU203" s="321">
        <v>562400</v>
      </c>
      <c r="CV203" s="321">
        <v>719872</v>
      </c>
      <c r="CW203" s="321">
        <v>801982</v>
      </c>
      <c r="CX203" s="14"/>
      <c r="CY203" s="23" t="s">
        <v>698</v>
      </c>
      <c r="CZ203" s="321">
        <v>404366</v>
      </c>
      <c r="DA203" s="321">
        <v>466230</v>
      </c>
      <c r="DB203" s="321">
        <v>562400</v>
      </c>
      <c r="DC203" s="321">
        <v>719872</v>
      </c>
      <c r="DD203" s="321">
        <v>801982</v>
      </c>
    </row>
    <row r="204" spans="1:108" ht="12.95" customHeight="1">
      <c r="D204" s="1475" t="s">
        <v>384</v>
      </c>
      <c r="E204" s="1475"/>
      <c r="F204" s="1475"/>
      <c r="G204" s="1475"/>
      <c r="H204" s="1475"/>
      <c r="I204" s="1475"/>
      <c r="J204" s="1475"/>
      <c r="K204" s="1475"/>
      <c r="L204" s="1475"/>
      <c r="M204" s="1475"/>
      <c r="P204" s="1548">
        <f>M26</f>
        <v>3070246</v>
      </c>
      <c r="Q204" s="1549"/>
      <c r="R204" s="1549"/>
      <c r="S204" s="1549"/>
      <c r="T204" s="1549"/>
      <c r="U204" s="1549"/>
      <c r="BC204" t="s">
        <v>1062</v>
      </c>
      <c r="BN204" s="23" t="s">
        <v>702</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699</v>
      </c>
      <c r="CS204" s="323">
        <v>319236</v>
      </c>
      <c r="CT204" s="323">
        <v>368076</v>
      </c>
      <c r="CU204" s="323">
        <v>444000</v>
      </c>
      <c r="CV204" s="323">
        <v>568320</v>
      </c>
      <c r="CW204" s="323">
        <v>633144</v>
      </c>
      <c r="CX204" s="14"/>
      <c r="CY204" s="23" t="s">
        <v>699</v>
      </c>
      <c r="CZ204" s="323">
        <v>319236</v>
      </c>
      <c r="DA204" s="323">
        <v>368076</v>
      </c>
      <c r="DB204" s="323">
        <v>444000</v>
      </c>
      <c r="DC204" s="323">
        <v>568320</v>
      </c>
      <c r="DD204" s="323">
        <v>633144</v>
      </c>
    </row>
    <row r="205" spans="1:108" ht="12.95" customHeight="1">
      <c r="C205" s="21"/>
      <c r="D205" s="1534" t="s">
        <v>1247</v>
      </c>
      <c r="E205" s="1475"/>
      <c r="F205" s="1475"/>
      <c r="G205" s="1475"/>
      <c r="H205" s="1475"/>
      <c r="I205" s="1475"/>
      <c r="J205" s="1475"/>
      <c r="K205" s="1475"/>
      <c r="L205" s="1475"/>
      <c r="M205" s="1475"/>
      <c r="P205" s="1549">
        <f>M27</f>
        <v>13350001</v>
      </c>
      <c r="Q205" s="1549"/>
      <c r="R205" s="1549"/>
      <c r="S205" s="1549"/>
      <c r="T205" s="1549"/>
      <c r="U205" s="1549"/>
      <c r="V205" s="28"/>
      <c r="W205" s="3" t="s">
        <v>1720</v>
      </c>
      <c r="Z205" s="1530" t="s">
        <v>2219</v>
      </c>
      <c r="AA205" s="1530"/>
      <c r="AB205" s="1530"/>
      <c r="AC205" s="1530"/>
      <c r="AD205" s="1530"/>
      <c r="AE205" s="1530"/>
      <c r="AF205" s="1530"/>
      <c r="AG205" s="1530"/>
      <c r="AH205" s="1530"/>
      <c r="AI205" s="1530"/>
      <c r="AJ205" s="1530"/>
      <c r="AK205" s="1530"/>
      <c r="AL205" s="1530"/>
      <c r="AM205" s="1530"/>
      <c r="AN205" s="1530"/>
      <c r="AP205" s="1423"/>
      <c r="AQ205" s="1423"/>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700</v>
      </c>
      <c r="CS205" s="321">
        <v>352022</v>
      </c>
      <c r="CT205" s="321">
        <v>405878</v>
      </c>
      <c r="CU205" s="321">
        <v>489600</v>
      </c>
      <c r="CV205" s="321">
        <v>626688</v>
      </c>
      <c r="CW205" s="321">
        <v>698170</v>
      </c>
      <c r="CX205" s="14"/>
      <c r="CY205" s="23" t="s">
        <v>700</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1025</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701</v>
      </c>
      <c r="CS206" s="323">
        <v>352022</v>
      </c>
      <c r="CT206" s="323">
        <v>405878</v>
      </c>
      <c r="CU206" s="323">
        <v>489600</v>
      </c>
      <c r="CV206" s="323">
        <v>626688</v>
      </c>
      <c r="CW206" s="323">
        <v>698170</v>
      </c>
      <c r="CX206" s="14"/>
      <c r="CY206" s="23" t="s">
        <v>701</v>
      </c>
      <c r="CZ206" s="323">
        <v>352022</v>
      </c>
      <c r="DA206" s="323">
        <v>405878</v>
      </c>
      <c r="DB206" s="323">
        <v>489600</v>
      </c>
      <c r="DC206" s="323">
        <v>626688</v>
      </c>
      <c r="DD206" s="323">
        <v>698170</v>
      </c>
    </row>
    <row r="207" spans="1:108" ht="12.95" customHeight="1">
      <c r="A207" s="2" t="s">
        <v>588</v>
      </c>
      <c r="C207" s="2" t="s">
        <v>550</v>
      </c>
      <c r="BC207" s="437" t="s">
        <v>1063</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702</v>
      </c>
      <c r="CS207" s="321">
        <v>384234</v>
      </c>
      <c r="CT207" s="321">
        <v>443018</v>
      </c>
      <c r="CU207" s="321">
        <v>534400</v>
      </c>
      <c r="CV207" s="321">
        <v>684032</v>
      </c>
      <c r="CW207" s="321">
        <v>762054</v>
      </c>
      <c r="CX207" s="14"/>
      <c r="CY207" s="23" t="s">
        <v>702</v>
      </c>
      <c r="CZ207" s="321">
        <v>384234</v>
      </c>
      <c r="DA207" s="321">
        <v>443018</v>
      </c>
      <c r="DB207" s="321">
        <v>534400</v>
      </c>
      <c r="DC207" s="321">
        <v>684032</v>
      </c>
      <c r="DD207" s="321">
        <v>762054</v>
      </c>
    </row>
    <row r="208" spans="1:108" ht="12.95" customHeight="1">
      <c r="C208" s="21"/>
      <c r="D208" s="1519" t="s">
        <v>2616</v>
      </c>
      <c r="E208" s="1519"/>
      <c r="F208" s="1519"/>
      <c r="G208" s="1519"/>
      <c r="H208" s="1519"/>
      <c r="I208" s="1519"/>
      <c r="J208" s="1519"/>
      <c r="K208" s="1519"/>
      <c r="L208" s="1519"/>
      <c r="M208" s="1519"/>
      <c r="BC208" s="3" t="s">
        <v>2206</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1064</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589</v>
      </c>
      <c r="C210" s="2" t="s">
        <v>387</v>
      </c>
      <c r="BC210" t="s">
        <v>658</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519" t="s">
        <v>1040</v>
      </c>
      <c r="E211" s="1519"/>
      <c r="F211" s="1519"/>
      <c r="G211" s="1519"/>
      <c r="H211" s="1519"/>
      <c r="I211" s="1519"/>
      <c r="J211" s="1519"/>
      <c r="K211" s="1519"/>
      <c r="L211" s="1519"/>
      <c r="M211" s="1519"/>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2230</v>
      </c>
      <c r="Q212" s="1352"/>
      <c r="R212" s="1352"/>
      <c r="T212" s="1560">
        <f>IFERROR(Q212/AG440,0)</f>
        <v>0</v>
      </c>
      <c r="U212" s="1561"/>
      <c r="BC212" t="s">
        <v>306</v>
      </c>
      <c r="BI212" t="s">
        <v>1183</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2473</v>
      </c>
      <c r="BC213" t="s">
        <v>525</v>
      </c>
      <c r="BI213" s="3" t="s">
        <v>2227</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543" t="s">
        <v>590</v>
      </c>
      <c r="E214" s="1543"/>
      <c r="F214" s="1543"/>
      <c r="G214" s="1543"/>
      <c r="H214" s="1543"/>
      <c r="I214" s="1543"/>
      <c r="J214" s="1543"/>
      <c r="K214" s="1543"/>
      <c r="L214" s="1543"/>
      <c r="M214" s="1543"/>
      <c r="N214" s="1543"/>
      <c r="O214" s="1543"/>
      <c r="P214" s="1543"/>
      <c r="Q214" s="1543"/>
      <c r="R214" s="1543"/>
      <c r="S214" s="1543"/>
      <c r="T214" s="1543"/>
      <c r="U214" s="1543"/>
      <c r="V214" s="1543"/>
      <c r="W214" s="1543"/>
      <c r="X214" s="1543"/>
      <c r="Y214" s="1543"/>
      <c r="Z214" s="1543"/>
      <c r="AU214" s="21"/>
      <c r="AV214" s="21"/>
      <c r="AW214" s="21"/>
      <c r="AX214" s="21"/>
      <c r="AY214" s="21"/>
      <c r="BC214" t="s">
        <v>529</v>
      </c>
      <c r="BI214" s="3" t="s">
        <v>2220</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1653</v>
      </c>
      <c r="Z215" s="40"/>
      <c r="AB215" s="1513"/>
      <c r="AC215" s="1513"/>
      <c r="AD215" s="1513"/>
      <c r="AE215" s="1513"/>
      <c r="AF215" s="1513"/>
      <c r="AG215" s="1513"/>
      <c r="AH215" s="1513"/>
      <c r="AI215" s="1513"/>
      <c r="AJ215" s="1513"/>
      <c r="AK215" s="1513"/>
      <c r="AL215" s="1513"/>
      <c r="AM215" s="21"/>
      <c r="AN215" s="21"/>
      <c r="AO215" s="21"/>
      <c r="AP215" s="21"/>
      <c r="AQ215" s="21"/>
      <c r="AR215" s="21"/>
      <c r="AS215" s="21"/>
      <c r="AT215" s="21"/>
      <c r="AU215" s="21"/>
      <c r="AV215" s="21"/>
      <c r="AW215" s="21"/>
      <c r="AX215" s="21"/>
      <c r="AY215" s="21"/>
      <c r="BC215" t="s">
        <v>526</v>
      </c>
      <c r="BI215" s="3" t="s">
        <v>2221</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1651</v>
      </c>
      <c r="Z216" s="40"/>
      <c r="AB216" s="1513"/>
      <c r="AC216" s="1513"/>
      <c r="AD216" s="1513"/>
      <c r="AE216" s="1513"/>
      <c r="AF216" s="1513"/>
      <c r="AG216" s="1513"/>
      <c r="AH216" s="1513"/>
      <c r="AI216" s="1513"/>
      <c r="AJ216" s="1513"/>
      <c r="AK216" s="1513"/>
      <c r="AL216" s="1513"/>
      <c r="AM216" s="21"/>
      <c r="AN216" s="21"/>
      <c r="AO216" s="21"/>
      <c r="AP216" s="21"/>
      <c r="AQ216" s="21"/>
      <c r="AR216" s="21"/>
      <c r="AS216" s="21"/>
      <c r="AT216" s="21"/>
      <c r="AU216" s="21"/>
      <c r="AV216" s="21"/>
      <c r="AW216" s="21"/>
      <c r="AX216" s="21"/>
      <c r="AY216" s="21"/>
      <c r="BC216" t="s">
        <v>565</v>
      </c>
      <c r="BI216" t="s">
        <v>2219</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2223</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2.95" customHeight="1">
      <c r="A218" s="2" t="s">
        <v>591</v>
      </c>
      <c r="C218" s="2" t="s">
        <v>2233</v>
      </c>
      <c r="D218" s="28"/>
      <c r="AC218" s="2" t="s">
        <v>2462</v>
      </c>
      <c r="BC218" t="s">
        <v>528</v>
      </c>
    </row>
    <row r="219" spans="1:108" ht="12.95" customHeight="1">
      <c r="A219" s="2"/>
      <c r="C219" s="2"/>
      <c r="D219" s="3" t="s">
        <v>2463</v>
      </c>
      <c r="AZ219" s="3"/>
      <c r="BA219" s="3"/>
      <c r="BC219" t="s">
        <v>376</v>
      </c>
    </row>
    <row r="220" spans="1:108" ht="12.95" customHeight="1">
      <c r="A220" s="2"/>
      <c r="C220" s="2"/>
      <c r="D220" s="1519" t="s">
        <v>1062</v>
      </c>
      <c r="E220" s="1519"/>
      <c r="F220" s="1519"/>
      <c r="G220" s="1519"/>
      <c r="H220" s="1519"/>
      <c r="I220" s="1519"/>
      <c r="J220" s="1519"/>
      <c r="K220" s="1519"/>
      <c r="L220" s="1519"/>
      <c r="M220" s="1519"/>
      <c r="N220" s="1519"/>
      <c r="O220" s="1519"/>
      <c r="P220" s="1519"/>
      <c r="Q220" s="1519"/>
      <c r="R220" s="1519"/>
      <c r="S220" s="1519"/>
      <c r="T220" s="1519"/>
      <c r="U220" s="1519"/>
      <c r="V220" s="1519"/>
      <c r="W220" s="1519"/>
      <c r="X220" s="1519"/>
      <c r="Y220" s="1519"/>
      <c r="Z220" s="1519"/>
      <c r="AC220" s="1533" t="s">
        <v>2465</v>
      </c>
      <c r="AD220" s="1533"/>
      <c r="AE220" s="1533"/>
      <c r="AF220" s="1533"/>
      <c r="AG220" s="1533"/>
      <c r="AH220" s="1533"/>
      <c r="AI220" s="1533"/>
      <c r="AJ220" s="1533"/>
      <c r="AK220" s="1533"/>
      <c r="AL220" s="1533"/>
      <c r="AM220" s="1533"/>
      <c r="AN220" s="1533"/>
      <c r="AO220" s="1533"/>
      <c r="AP220" s="1533"/>
      <c r="AQ220" s="1533"/>
      <c r="BA220" s="3"/>
      <c r="BC220" t="s">
        <v>299</v>
      </c>
    </row>
    <row r="221" spans="1:108" ht="12.95" customHeight="1">
      <c r="A221" s="2"/>
      <c r="B221" s="14"/>
      <c r="C221" s="2"/>
      <c r="BA221" s="3"/>
    </row>
    <row r="222" spans="1:108" ht="12.95" customHeight="1">
      <c r="A222" s="1531" t="s">
        <v>539</v>
      </c>
      <c r="B222" s="1531"/>
      <c r="C222" s="1531"/>
      <c r="D222" s="1531"/>
      <c r="E222" s="1531"/>
      <c r="F222" s="1531"/>
      <c r="G222" s="1531"/>
      <c r="H222" s="1531"/>
      <c r="I222" s="1531"/>
      <c r="J222" s="1531"/>
      <c r="K222" s="1531"/>
      <c r="L222" s="1531"/>
      <c r="M222" s="1531"/>
      <c r="N222" s="1531"/>
      <c r="O222" s="1531"/>
      <c r="P222" s="1531"/>
      <c r="Q222" s="1531"/>
      <c r="R222" s="1531"/>
      <c r="S222" s="1531"/>
      <c r="T222" s="1531"/>
      <c r="U222" s="1531"/>
      <c r="V222" s="1531"/>
      <c r="W222" s="1531"/>
      <c r="X222" s="1531"/>
      <c r="Y222" s="1531"/>
      <c r="Z222" s="1531"/>
      <c r="AA222" s="1531"/>
      <c r="AB222" s="1531"/>
      <c r="AC222" s="1531"/>
      <c r="AD222" s="1531"/>
      <c r="AE222" s="1531"/>
      <c r="AF222" s="1531"/>
      <c r="AG222" s="1531"/>
      <c r="AH222" s="1531"/>
      <c r="AI222" s="1531"/>
      <c r="AJ222" s="1531"/>
      <c r="AK222" s="1531"/>
      <c r="AL222" s="1531"/>
      <c r="AM222" s="1531"/>
      <c r="AN222" s="1531"/>
      <c r="AO222" s="1531"/>
      <c r="AP222" s="1531"/>
      <c r="AQ222" s="1531"/>
      <c r="AR222" s="1531"/>
      <c r="AS222" s="1531"/>
      <c r="AT222" s="1531"/>
      <c r="AU222" s="95"/>
      <c r="AV222" s="95"/>
      <c r="AW222" s="95"/>
      <c r="AX222" s="95"/>
      <c r="AY222" s="95"/>
      <c r="AZ222" s="3"/>
      <c r="BA222" s="3"/>
      <c r="BP222" s="34"/>
    </row>
    <row r="223" spans="1:108" ht="12.95" customHeight="1">
      <c r="A223" s="1531"/>
      <c r="B223" s="1531"/>
      <c r="C223" s="1531"/>
      <c r="D223" s="1531"/>
      <c r="E223" s="1531"/>
      <c r="F223" s="1531"/>
      <c r="G223" s="1531"/>
      <c r="H223" s="1531"/>
      <c r="I223" s="1531"/>
      <c r="J223" s="1531"/>
      <c r="K223" s="1531"/>
      <c r="L223" s="1531"/>
      <c r="M223" s="1531"/>
      <c r="N223" s="1531"/>
      <c r="O223" s="1531"/>
      <c r="P223" s="1531"/>
      <c r="Q223" s="1531"/>
      <c r="R223" s="1531"/>
      <c r="S223" s="1531"/>
      <c r="T223" s="1531"/>
      <c r="U223" s="1531"/>
      <c r="V223" s="1531"/>
      <c r="W223" s="1531"/>
      <c r="X223" s="1531"/>
      <c r="Y223" s="1531"/>
      <c r="Z223" s="1531"/>
      <c r="AA223" s="1531"/>
      <c r="AB223" s="1531"/>
      <c r="AC223" s="1531"/>
      <c r="AD223" s="1531"/>
      <c r="AE223" s="1531"/>
      <c r="AF223" s="1531"/>
      <c r="AG223" s="1531"/>
      <c r="AH223" s="1531"/>
      <c r="AI223" s="1531"/>
      <c r="AJ223" s="1531"/>
      <c r="AK223" s="1531"/>
      <c r="AL223" s="1531"/>
      <c r="AM223" s="1531"/>
      <c r="AN223" s="1531"/>
      <c r="AO223" s="1531"/>
      <c r="AP223" s="1531"/>
      <c r="AQ223" s="1531"/>
      <c r="AR223" s="1531"/>
      <c r="AS223" s="1531"/>
      <c r="AT223" s="1531"/>
      <c r="BA223" s="3"/>
      <c r="BB223" s="3"/>
      <c r="BQ223" s="34"/>
    </row>
    <row r="224" spans="1:108" ht="12.95" customHeight="1">
      <c r="AZ224" s="4"/>
      <c r="BA224" s="3"/>
      <c r="BB224" s="3"/>
      <c r="BQ224" s="34"/>
    </row>
    <row r="225" spans="1:59" ht="12.95" customHeight="1">
      <c r="A225" s="2" t="s">
        <v>318</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2" t="s">
        <v>590</v>
      </c>
      <c r="AJ226" s="1352"/>
      <c r="AL226" s="3"/>
      <c r="AM226" s="3"/>
      <c r="AN226" s="3"/>
      <c r="AO226" s="3"/>
      <c r="AP226" s="3"/>
      <c r="AQ226" s="3"/>
      <c r="AR226" s="3"/>
      <c r="AS226" s="3"/>
      <c r="AT226" s="3"/>
      <c r="AU226" s="3"/>
      <c r="AV226" s="3"/>
      <c r="AW226" s="3"/>
      <c r="AX226" s="3"/>
      <c r="AY226" s="3"/>
      <c r="AZ226" s="4"/>
      <c r="BB226" s="204" t="s">
        <v>537</v>
      </c>
      <c r="BG226" s="241">
        <f>IF(AND(AND($M$249="for profit",$M$257="for profit",$M$265="nonprofit")),2,0)</f>
        <v>0</v>
      </c>
    </row>
    <row r="227" spans="1:59" ht="12.95" customHeight="1">
      <c r="B227" s="4"/>
      <c r="D227" s="4" t="s">
        <v>553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2" t="s">
        <v>544</v>
      </c>
      <c r="AJ227" s="1352"/>
      <c r="AL227" s="3"/>
      <c r="AM227" s="3"/>
      <c r="AN227" s="3"/>
      <c r="AO227" s="3"/>
      <c r="AP227" s="3"/>
      <c r="AQ227" s="3"/>
      <c r="AR227" s="3"/>
      <c r="AS227" s="3"/>
      <c r="AT227" s="3"/>
      <c r="AU227" s="3"/>
      <c r="AV227" s="3"/>
      <c r="AW227" s="3"/>
      <c r="AX227" s="3"/>
      <c r="AY227" s="3"/>
      <c r="BA227" s="3"/>
      <c r="BB227" s="204" t="s">
        <v>537</v>
      </c>
      <c r="BG227" s="241">
        <f>IF(AND(AND($M$249="for profit",$M$257="nonprofit",$M$265="for profit")),2,0)</f>
        <v>0</v>
      </c>
    </row>
    <row r="228" spans="1:5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2" t="s">
        <v>544</v>
      </c>
      <c r="AJ228" s="1352"/>
      <c r="AL228" s="3"/>
      <c r="AM228" s="3"/>
      <c r="AN228" s="3"/>
      <c r="AO228" s="3"/>
      <c r="AP228" s="3"/>
      <c r="AQ228" s="3"/>
      <c r="AR228" s="3"/>
      <c r="AS228" s="3"/>
      <c r="AT228" s="3"/>
      <c r="AU228" s="3"/>
      <c r="AV228" s="3"/>
      <c r="AW228" s="3"/>
      <c r="AX228" s="3"/>
      <c r="AY228" s="3"/>
      <c r="AZ228" s="4"/>
      <c r="BA228" s="3"/>
      <c r="BB228" s="204" t="s">
        <v>537</v>
      </c>
      <c r="BG228" s="241">
        <f>IF(AND(AND($M$249="nonprofit",$M$257="for profit",$M$265="for profit")),2,0)</f>
        <v>0</v>
      </c>
    </row>
    <row r="229" spans="1:59" ht="12.95"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52" t="s">
        <v>590</v>
      </c>
      <c r="AJ229" s="1352"/>
      <c r="AL229" s="3"/>
      <c r="AM229" s="3"/>
      <c r="AN229" s="3"/>
      <c r="AO229" s="3"/>
      <c r="AP229" s="3"/>
      <c r="AQ229" s="3"/>
      <c r="AR229" s="3"/>
      <c r="AS229" s="3"/>
      <c r="AT229" s="3"/>
      <c r="AU229" s="3"/>
      <c r="AV229" s="3"/>
      <c r="AW229" s="3"/>
      <c r="AX229" s="3"/>
      <c r="AY229" s="3"/>
      <c r="BA229" s="3"/>
      <c r="BB229" s="204" t="s">
        <v>537</v>
      </c>
      <c r="BG229" s="241">
        <f>IF(AND(AND($M$249="for profit",$M$257="nonprofit",$M$265="(select one)")),2,0)</f>
        <v>2</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537</v>
      </c>
      <c r="BG230" s="240">
        <f>IF(AND(AND($M$249="nonprofit",$M$257="for profit",$M$265="(select one)")),2,0)</f>
        <v>0</v>
      </c>
    </row>
    <row r="231" spans="1:59" ht="12.95" customHeight="1">
      <c r="A231" s="2" t="s">
        <v>575</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469</v>
      </c>
      <c r="E232" s="4"/>
      <c r="F232" s="4"/>
      <c r="G232" s="4"/>
      <c r="H232" s="4"/>
      <c r="I232" s="4"/>
      <c r="J232" s="4"/>
      <c r="K232" s="4"/>
      <c r="M232" s="1554" t="str">
        <f>H16</f>
        <v xml:space="preserve">LIHTC Advisors, LLC </v>
      </c>
      <c r="N232" s="1554"/>
      <c r="O232" s="1554"/>
      <c r="P232" s="1554"/>
      <c r="Q232" s="1554"/>
      <c r="R232" s="1554"/>
      <c r="S232" s="1554"/>
      <c r="T232" s="1554"/>
      <c r="U232" s="1554"/>
      <c r="V232" s="1554"/>
      <c r="W232" s="1554"/>
      <c r="X232" s="1554"/>
      <c r="Y232" s="1554"/>
      <c r="Z232" s="1554"/>
      <c r="AA232" s="1554"/>
      <c r="AB232" s="1554"/>
      <c r="AC232" s="1554"/>
      <c r="AD232" s="1554"/>
      <c r="AE232" s="1554"/>
      <c r="AF232" s="1554"/>
      <c r="AG232" s="1554"/>
      <c r="AH232" s="1554"/>
      <c r="AI232" s="1554"/>
      <c r="AJ232" s="1554"/>
      <c r="AK232" s="1554"/>
      <c r="AZ232" s="4"/>
      <c r="BA232" s="3"/>
      <c r="BB232" s="205" t="s">
        <v>537</v>
      </c>
      <c r="BG232" s="241">
        <f>IF(AND(AND($M$249="nonprofit",$M$257="nonprofit",$M$265="for profit")),2,0)</f>
        <v>0</v>
      </c>
    </row>
    <row r="233" spans="1:59" ht="12.95" customHeight="1">
      <c r="D233" s="4" t="s">
        <v>85</v>
      </c>
      <c r="E233" s="4"/>
      <c r="F233" s="4"/>
      <c r="G233" s="4"/>
      <c r="H233" s="4"/>
      <c r="I233" s="4"/>
      <c r="J233" s="4"/>
      <c r="K233" s="4"/>
      <c r="M233" s="1516" t="s">
        <v>2656</v>
      </c>
      <c r="N233" s="1519"/>
      <c r="O233" s="1519"/>
      <c r="P233" s="1519"/>
      <c r="Q233" s="1519"/>
      <c r="R233" s="1519"/>
      <c r="S233" s="1519"/>
      <c r="T233" s="1519"/>
      <c r="U233" s="1519"/>
      <c r="V233" s="1519"/>
      <c r="W233" s="1519"/>
      <c r="X233" s="1519"/>
      <c r="Y233" s="1519"/>
      <c r="Z233" s="1519"/>
      <c r="AA233" s="1519"/>
      <c r="AB233" s="1519"/>
      <c r="AC233" s="1519"/>
      <c r="AD233" s="1519"/>
      <c r="AE233" s="1519"/>
      <c r="BB233" s="205" t="s">
        <v>537</v>
      </c>
      <c r="BG233" s="241">
        <f>IF(AND(AND($M$249="nonprofit",$M$257="for profit",$M$265="nonprofit")),2,0)</f>
        <v>0</v>
      </c>
    </row>
    <row r="234" spans="1:59" ht="12.95" customHeight="1">
      <c r="D234" s="4" t="s">
        <v>579</v>
      </c>
      <c r="E234" s="4"/>
      <c r="M234" s="1516" t="s">
        <v>2660</v>
      </c>
      <c r="N234" s="1519"/>
      <c r="O234" s="1519"/>
      <c r="P234" s="1519"/>
      <c r="Q234" s="1519"/>
      <c r="R234" s="1519"/>
      <c r="S234" s="1519"/>
      <c r="T234" s="1519"/>
      <c r="V234" s="33" t="s">
        <v>86</v>
      </c>
      <c r="W234" s="1529" t="s">
        <v>2661</v>
      </c>
      <c r="X234" s="1448"/>
      <c r="Y234" s="4" t="s">
        <v>582</v>
      </c>
      <c r="AC234" s="1519">
        <v>83646</v>
      </c>
      <c r="AD234" s="1519"/>
      <c r="AE234" s="1519"/>
      <c r="AU234" s="4"/>
      <c r="AV234" s="4"/>
      <c r="AW234" s="4"/>
      <c r="AX234" s="4"/>
      <c r="AY234" s="4"/>
      <c r="AZ234" s="4"/>
      <c r="BB234" s="205" t="s">
        <v>537</v>
      </c>
      <c r="BG234" s="240">
        <f>IF(AND(AND($M$249="for profit",$M$257="nonprofit",$M$265="nonprofit")),2,0)</f>
        <v>0</v>
      </c>
    </row>
    <row r="235" spans="1:59" ht="12.95" customHeight="1">
      <c r="D235" s="4" t="s">
        <v>87</v>
      </c>
      <c r="E235" s="4"/>
      <c r="F235" s="4"/>
      <c r="G235" s="4"/>
      <c r="H235" s="4"/>
      <c r="I235" s="4"/>
      <c r="J235" s="4"/>
      <c r="K235" s="19"/>
      <c r="M235" s="1516" t="s">
        <v>2659</v>
      </c>
      <c r="N235" s="1519"/>
      <c r="O235" s="1519"/>
      <c r="P235" s="1519"/>
      <c r="Q235" s="1519"/>
      <c r="R235" s="1519"/>
      <c r="S235" s="1519"/>
      <c r="T235" s="1519"/>
      <c r="U235" s="1519"/>
      <c r="V235" s="1519"/>
      <c r="W235" s="1519"/>
      <c r="X235" s="1519"/>
      <c r="Y235" s="1519"/>
      <c r="Z235" s="1519"/>
      <c r="AA235" s="1519"/>
      <c r="AB235" s="1519"/>
      <c r="AC235" s="1519"/>
      <c r="AD235" s="1519"/>
      <c r="AE235" s="1519"/>
      <c r="AI235" s="4"/>
      <c r="AJ235" s="4"/>
      <c r="AK235" s="4"/>
      <c r="AL235" s="4"/>
      <c r="AM235" s="4"/>
      <c r="AN235" s="4"/>
      <c r="AO235" s="4"/>
      <c r="AP235" s="4"/>
      <c r="AQ235" s="4"/>
      <c r="AR235" s="4"/>
      <c r="AS235" s="4"/>
      <c r="AT235" s="4"/>
      <c r="BB235" s="205"/>
      <c r="BG235" s="204"/>
    </row>
    <row r="236" spans="1:59" ht="12.95" customHeight="1">
      <c r="D236" s="4" t="s">
        <v>88</v>
      </c>
      <c r="E236" s="4"/>
      <c r="F236" s="4"/>
      <c r="M236" s="1544" t="s">
        <v>2681</v>
      </c>
      <c r="N236" s="1479"/>
      <c r="O236" s="1479"/>
      <c r="P236" s="1479"/>
      <c r="Q236" s="1479"/>
      <c r="R236" s="1479"/>
      <c r="S236" s="4" t="s">
        <v>205</v>
      </c>
      <c r="T236" s="4"/>
      <c r="U236" s="1448"/>
      <c r="V236" s="1448"/>
      <c r="W236" s="1448"/>
      <c r="X236" s="4" t="s">
        <v>89</v>
      </c>
      <c r="Z236" s="1479"/>
      <c r="AA236" s="1479"/>
      <c r="AB236" s="1479"/>
      <c r="AC236" s="1479"/>
      <c r="AD236" s="1479"/>
      <c r="AE236" s="1479"/>
      <c r="AU236" s="4"/>
      <c r="AV236" s="4"/>
      <c r="AW236" s="4"/>
      <c r="AX236" s="4"/>
      <c r="AY236" s="4"/>
      <c r="AZ236" s="4"/>
      <c r="BB236" s="204" t="s">
        <v>536</v>
      </c>
      <c r="BG236" s="241">
        <f>IF(AND(AND($M$249="nonprofit",$M$257="nonprofit",$M$265="(select one)")),1,0)</f>
        <v>0</v>
      </c>
    </row>
    <row r="237" spans="1:59" ht="12.95" customHeight="1">
      <c r="D237" s="4" t="s">
        <v>90</v>
      </c>
      <c r="E237" s="4"/>
      <c r="F237" s="4"/>
      <c r="M237" s="1536" t="s">
        <v>2662</v>
      </c>
      <c r="N237" s="1536"/>
      <c r="O237" s="1536"/>
      <c r="P237" s="1536"/>
      <c r="Q237" s="1536"/>
      <c r="R237" s="1536"/>
      <c r="S237" s="1536"/>
      <c r="T237" s="1536"/>
      <c r="U237" s="1536"/>
      <c r="V237" s="1536"/>
      <c r="W237" s="1536"/>
      <c r="X237" s="1536"/>
      <c r="Y237" s="1536"/>
      <c r="Z237" s="1536"/>
      <c r="AA237" s="1536"/>
      <c r="AB237" s="1536"/>
      <c r="AC237" s="1536"/>
      <c r="AD237" s="1536"/>
      <c r="AE237" s="1536"/>
      <c r="AF237" s="4"/>
      <c r="AG237" s="4"/>
      <c r="AH237" s="4"/>
      <c r="AI237" s="4"/>
      <c r="AJ237" s="4"/>
      <c r="AK237" s="4"/>
      <c r="AL237" s="4"/>
      <c r="AM237" s="4"/>
      <c r="AN237" s="4"/>
      <c r="AO237" s="4"/>
      <c r="AP237" s="4"/>
      <c r="AQ237" s="4"/>
      <c r="AR237" s="4"/>
      <c r="AS237" s="4"/>
      <c r="AT237" s="4"/>
      <c r="AU237" s="3"/>
      <c r="AV237" s="3"/>
      <c r="AW237" s="3"/>
      <c r="AX237" s="3"/>
      <c r="AY237" s="3"/>
      <c r="BB237" s="204" t="s">
        <v>536</v>
      </c>
      <c r="BG237" s="241">
        <f>IF(AND(AND($M$249="nonprofit",$M$257="nonprofit",$M$265="nonprofit")),1,0)</f>
        <v>0</v>
      </c>
    </row>
    <row r="238" spans="1:59" ht="12.95" customHeight="1">
      <c r="A238" s="2" t="s">
        <v>585</v>
      </c>
      <c r="C238" s="2" t="s">
        <v>524</v>
      </c>
      <c r="M238" s="1333" t="s">
        <v>299</v>
      </c>
      <c r="N238" s="1333"/>
      <c r="O238" s="1333"/>
      <c r="P238" s="1333"/>
      <c r="Q238" s="1333"/>
      <c r="R238" s="1333"/>
      <c r="S238" s="1333"/>
      <c r="T238" s="1333"/>
      <c r="U238" s="204" t="s">
        <v>905</v>
      </c>
      <c r="V238" s="204"/>
      <c r="W238" s="204"/>
      <c r="X238" s="204"/>
      <c r="Y238" s="204"/>
      <c r="Z238" s="204"/>
      <c r="AA238" s="1558"/>
      <c r="AB238" s="1558"/>
      <c r="AC238" s="1558"/>
      <c r="AD238" s="1558"/>
      <c r="AE238" s="1558"/>
      <c r="AF238" s="1558"/>
      <c r="AG238" s="1558"/>
      <c r="AH238" s="1558"/>
      <c r="AI238" s="1558"/>
      <c r="AJ238" s="1558"/>
      <c r="AK238" s="1558"/>
      <c r="AL238" s="3"/>
      <c r="AM238" s="3"/>
      <c r="AN238" s="3"/>
      <c r="AO238" s="3"/>
      <c r="AP238" s="3"/>
      <c r="AQ238" s="3"/>
      <c r="AR238" s="3"/>
      <c r="AS238" s="3"/>
      <c r="AT238" s="3"/>
      <c r="AU238" s="3"/>
      <c r="AV238" s="3"/>
      <c r="AW238" s="3"/>
      <c r="AX238" s="3"/>
      <c r="AY238" s="3"/>
      <c r="BB238" s="204" t="s">
        <v>536</v>
      </c>
      <c r="BG238" s="241">
        <f>IF(AND(AND($M$249="nonprofit",$M$257="(select one)",$M$265="(select one)")),1,0)</f>
        <v>0</v>
      </c>
    </row>
    <row r="239" spans="1:59" ht="12.95" customHeight="1">
      <c r="D239" t="s">
        <v>530</v>
      </c>
      <c r="M239" s="1344" t="s">
        <v>2671</v>
      </c>
      <c r="N239" s="1344"/>
      <c r="O239" s="1344"/>
      <c r="P239" s="1344"/>
      <c r="Q239" s="1344"/>
      <c r="R239" s="1344"/>
      <c r="S239" s="1344"/>
      <c r="T239" s="1344"/>
      <c r="U239" s="1344"/>
      <c r="V239" s="1344"/>
      <c r="W239" s="1344"/>
      <c r="X239" s="1344"/>
      <c r="Y239" s="1344"/>
      <c r="Z239" s="1344"/>
      <c r="AA239" s="1344"/>
      <c r="AB239" s="1344"/>
      <c r="AC239" s="1344"/>
      <c r="AD239" s="1344"/>
      <c r="AE239" s="1344"/>
      <c r="AF239" s="4"/>
      <c r="AG239" s="4"/>
      <c r="AH239" s="4"/>
      <c r="AI239" s="4"/>
      <c r="AJ239" s="4"/>
      <c r="AK239" s="3"/>
      <c r="AL239" s="3"/>
      <c r="AM239" s="3"/>
      <c r="AN239" s="3"/>
      <c r="AO239" s="3"/>
      <c r="AP239" s="3"/>
      <c r="AQ239" s="3"/>
      <c r="AR239" s="3"/>
      <c r="AS239" s="3"/>
      <c r="AT239" s="3"/>
      <c r="BB239" s="204" t="s">
        <v>876</v>
      </c>
      <c r="BG239" s="241">
        <f>IF(AND(AND($M$249="for profit",$M$257="for profit",$M$265="(select one)")),3,0)</f>
        <v>0</v>
      </c>
    </row>
    <row r="240" spans="1:59" ht="12.95" customHeight="1">
      <c r="D240" s="4"/>
      <c r="BB240" s="204" t="s">
        <v>876</v>
      </c>
      <c r="BG240" s="241">
        <f>IF(AND(AND($M$249="for profit",$M$257="for profit",$M$265="for profit")),3,0)</f>
        <v>0</v>
      </c>
    </row>
    <row r="241" spans="1:67" ht="12.95" customHeight="1">
      <c r="A241" s="2" t="s">
        <v>588</v>
      </c>
      <c r="C241" s="2" t="s">
        <v>1182</v>
      </c>
      <c r="D241" s="4"/>
      <c r="L241" s="8"/>
      <c r="M241" s="8"/>
      <c r="N241" s="8"/>
      <c r="AU241" s="3"/>
      <c r="AV241" s="3"/>
      <c r="AW241" s="3"/>
      <c r="AX241" s="3"/>
      <c r="AY241" s="3"/>
      <c r="BB241" s="204" t="s">
        <v>876</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472</v>
      </c>
      <c r="D243" s="4" t="s">
        <v>531</v>
      </c>
      <c r="E243" s="4"/>
      <c r="F243" s="4"/>
      <c r="G243" s="4"/>
      <c r="H243" s="4"/>
      <c r="I243" s="4"/>
      <c r="J243" s="4"/>
      <c r="K243" s="4"/>
      <c r="L243" s="4"/>
      <c r="M243" s="1564" t="s">
        <v>2636</v>
      </c>
      <c r="N243" s="1538"/>
      <c r="O243" s="1538"/>
      <c r="P243" s="1538"/>
      <c r="Q243" s="1538"/>
      <c r="R243" s="1538"/>
      <c r="S243" s="1538"/>
      <c r="T243" s="1538"/>
      <c r="U243" s="1538"/>
      <c r="V243" s="1538"/>
      <c r="W243" s="1538"/>
      <c r="X243" s="1538"/>
      <c r="Y243" s="1538"/>
      <c r="Z243" s="1538"/>
      <c r="AA243" s="1538"/>
      <c r="AB243" s="1538"/>
      <c r="AC243" s="1538"/>
      <c r="AD243" s="1538"/>
      <c r="AE243" s="1538"/>
      <c r="AF243" s="1538" t="s">
        <v>2635</v>
      </c>
      <c r="AG243" s="1538"/>
      <c r="AH243" s="1538"/>
      <c r="AI243" s="1538"/>
      <c r="AJ243" s="1538"/>
      <c r="AK243" s="1538"/>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516" t="s">
        <v>2656</v>
      </c>
      <c r="N244" s="1519"/>
      <c r="O244" s="1519"/>
      <c r="P244" s="1519"/>
      <c r="Q244" s="1519"/>
      <c r="R244" s="1519"/>
      <c r="S244" s="1519"/>
      <c r="T244" s="1519"/>
      <c r="U244" s="1519"/>
      <c r="V244" s="1519"/>
      <c r="W244" s="1519"/>
      <c r="X244" s="1519"/>
      <c r="Y244" s="1519"/>
      <c r="Z244" s="1519"/>
      <c r="AA244" s="1519"/>
      <c r="AB244" s="1519"/>
      <c r="AC244" s="1519"/>
      <c r="AD244" s="1519"/>
      <c r="AE244" s="1519"/>
      <c r="AF244" s="3" t="s">
        <v>1178</v>
      </c>
      <c r="AL244" s="4"/>
      <c r="AM244" s="4"/>
      <c r="AN244" s="4"/>
      <c r="AO244" s="4"/>
      <c r="AP244" s="4"/>
      <c r="AQ244" s="4"/>
      <c r="AR244" s="4"/>
      <c r="AS244" s="4"/>
      <c r="AT244" s="4"/>
      <c r="BB244" t="s">
        <v>306</v>
      </c>
      <c r="BG244">
        <v>1</v>
      </c>
      <c r="BH244" t="s">
        <v>533</v>
      </c>
    </row>
    <row r="245" spans="1:67" ht="12.95" customHeight="1">
      <c r="A245" s="19"/>
      <c r="B245" s="4"/>
      <c r="C245" s="4"/>
      <c r="D245" s="4" t="s">
        <v>579</v>
      </c>
      <c r="E245" s="4"/>
      <c r="M245" s="1516" t="s">
        <v>2657</v>
      </c>
      <c r="N245" s="1519"/>
      <c r="O245" s="1519"/>
      <c r="P245" s="1519"/>
      <c r="Q245" s="1519"/>
      <c r="R245" s="1519"/>
      <c r="S245" s="1519"/>
      <c r="T245" s="1519"/>
      <c r="V245" s="33" t="s">
        <v>86</v>
      </c>
      <c r="W245" s="1529" t="s">
        <v>2658</v>
      </c>
      <c r="X245" s="1448"/>
      <c r="Y245" s="4" t="s">
        <v>582</v>
      </c>
      <c r="AC245" s="1519">
        <v>83646</v>
      </c>
      <c r="AD245" s="1519"/>
      <c r="AE245" s="1519"/>
      <c r="AF245" s="3" t="s">
        <v>1179</v>
      </c>
      <c r="AU245" s="4"/>
      <c r="AV245" s="4"/>
      <c r="AW245" s="4"/>
      <c r="AX245" s="4"/>
      <c r="AY245" s="4"/>
      <c r="BB245" s="4" t="s">
        <v>279</v>
      </c>
      <c r="BG245">
        <v>2</v>
      </c>
      <c r="BH245" t="s">
        <v>565</v>
      </c>
      <c r="BO245" s="239" t="str">
        <f>VLOOKUP(BG243,BG244:BH247,2,FALSE)</f>
        <v>Joint Venture</v>
      </c>
    </row>
    <row r="246" spans="1:67" ht="12.95" customHeight="1">
      <c r="A246" s="19"/>
      <c r="B246" s="4"/>
      <c r="C246" s="4"/>
      <c r="D246" s="4" t="s">
        <v>87</v>
      </c>
      <c r="E246" s="4"/>
      <c r="F246" s="4"/>
      <c r="G246" s="4"/>
      <c r="H246" s="4"/>
      <c r="I246" s="4"/>
      <c r="J246" s="4"/>
      <c r="K246" s="4"/>
      <c r="L246" s="19"/>
      <c r="M246" s="1516" t="s">
        <v>2659</v>
      </c>
      <c r="N246" s="1519"/>
      <c r="O246" s="1519"/>
      <c r="P246" s="1519"/>
      <c r="Q246" s="1519"/>
      <c r="R246" s="1519"/>
      <c r="S246" s="1519"/>
      <c r="T246" s="1519"/>
      <c r="U246" s="1519"/>
      <c r="V246" s="1519"/>
      <c r="W246" s="1519"/>
      <c r="X246" s="1519"/>
      <c r="Y246" s="1519"/>
      <c r="Z246" s="1519"/>
      <c r="AA246" s="1519"/>
      <c r="AB246" s="1519"/>
      <c r="AC246" s="1519"/>
      <c r="AD246" s="1519"/>
      <c r="AE246" s="1519"/>
      <c r="AH246" s="1535">
        <v>8.9999999999999993E-3</v>
      </c>
      <c r="AI246" s="1535"/>
      <c r="AJ246" s="1535"/>
      <c r="AK246" s="1535"/>
      <c r="AL246" s="4"/>
      <c r="AM246" s="4"/>
      <c r="AN246" s="4"/>
      <c r="AO246" s="4"/>
      <c r="AP246" s="4"/>
      <c r="AQ246" s="4"/>
      <c r="AR246" s="4"/>
      <c r="AS246" s="4"/>
      <c r="AT246" s="4"/>
      <c r="BB246" s="4" t="s">
        <v>172</v>
      </c>
      <c r="BG246">
        <v>3</v>
      </c>
      <c r="BH246" t="s">
        <v>535</v>
      </c>
      <c r="BN246" s="34"/>
    </row>
    <row r="247" spans="1:67" ht="12.95" customHeight="1">
      <c r="A247" s="19"/>
      <c r="B247" s="4"/>
      <c r="C247" s="4"/>
      <c r="D247" s="4" t="s">
        <v>88</v>
      </c>
      <c r="E247" s="4"/>
      <c r="F247" s="4"/>
      <c r="M247" s="1544" t="s">
        <v>2681</v>
      </c>
      <c r="N247" s="1479"/>
      <c r="O247" s="1479"/>
      <c r="P247" s="1479"/>
      <c r="Q247" s="1479"/>
      <c r="R247" s="1479"/>
      <c r="S247" s="4" t="s">
        <v>205</v>
      </c>
      <c r="T247" s="4"/>
      <c r="U247" s="1448"/>
      <c r="V247" s="1448"/>
      <c r="W247" s="1448"/>
      <c r="X247" s="4" t="s">
        <v>89</v>
      </c>
      <c r="Z247" s="1479"/>
      <c r="AA247" s="1479"/>
      <c r="AB247" s="1479"/>
      <c r="AC247" s="1479"/>
      <c r="AD247" s="1479"/>
      <c r="AE247" s="1479"/>
      <c r="AU247" s="4"/>
      <c r="AV247" s="4"/>
      <c r="AW247" s="4"/>
      <c r="AX247" s="4"/>
      <c r="AY247" s="4"/>
      <c r="BG247">
        <v>0</v>
      </c>
      <c r="BH247" s="3" t="str">
        <f>""</f>
        <v/>
      </c>
      <c r="BN247" s="34"/>
    </row>
    <row r="248" spans="1:67" ht="12.95" customHeight="1">
      <c r="A248" s="19"/>
      <c r="B248" s="4"/>
      <c r="C248" s="4"/>
      <c r="D248" s="4" t="s">
        <v>90</v>
      </c>
      <c r="E248" s="4"/>
      <c r="F248" s="4"/>
      <c r="M248" s="1536" t="s">
        <v>2662</v>
      </c>
      <c r="N248" s="1536"/>
      <c r="O248" s="1536"/>
      <c r="P248" s="1536"/>
      <c r="Q248" s="1536"/>
      <c r="R248" s="1536"/>
      <c r="S248" s="1536"/>
      <c r="T248" s="1536"/>
      <c r="U248" s="1536"/>
      <c r="V248" s="1536"/>
      <c r="W248" s="1536"/>
      <c r="X248" s="1536"/>
      <c r="Y248" s="1536"/>
      <c r="Z248" s="1536"/>
      <c r="AA248" s="1536"/>
      <c r="AB248" s="1536"/>
      <c r="AC248" s="1536"/>
      <c r="AD248" s="1536"/>
      <c r="AE248" s="1536"/>
      <c r="AG248" s="4"/>
      <c r="AH248" s="4"/>
      <c r="AI248" s="4"/>
      <c r="AJ248" s="4"/>
      <c r="AK248" s="4"/>
      <c r="AL248" s="4"/>
      <c r="AM248" s="4"/>
      <c r="AN248" s="4"/>
      <c r="AO248" s="4"/>
      <c r="AP248" s="4"/>
      <c r="AQ248" s="4"/>
      <c r="AR248" s="4"/>
      <c r="AS248" s="4"/>
      <c r="AT248" s="4"/>
      <c r="BN248" s="34"/>
    </row>
    <row r="249" spans="1:67" ht="12.95" customHeight="1">
      <c r="A249" s="13"/>
      <c r="B249" s="4"/>
      <c r="C249" s="56"/>
      <c r="D249" s="4" t="s">
        <v>534</v>
      </c>
      <c r="E249" s="4"/>
      <c r="F249" s="4"/>
      <c r="G249" s="4"/>
      <c r="H249" s="4"/>
      <c r="I249" s="4"/>
      <c r="J249" s="4"/>
      <c r="K249" s="4"/>
      <c r="L249" s="4"/>
      <c r="M249" s="1333" t="s">
        <v>535</v>
      </c>
      <c r="N249" s="1333"/>
      <c r="O249" s="1333"/>
      <c r="P249" s="1333"/>
      <c r="Q249" s="1333"/>
      <c r="R249" s="1333"/>
      <c r="S249" s="1333"/>
      <c r="T249" s="1333"/>
      <c r="U249" s="204" t="s">
        <v>905</v>
      </c>
      <c r="V249" s="204"/>
      <c r="W249" s="204"/>
      <c r="X249" s="204"/>
      <c r="Y249" s="204"/>
      <c r="Z249" s="204"/>
      <c r="AA249" s="1558"/>
      <c r="AB249" s="1558"/>
      <c r="AC249" s="1558"/>
      <c r="AD249" s="1558"/>
      <c r="AE249" s="1558"/>
      <c r="AF249" s="1558"/>
      <c r="AG249" s="1558"/>
      <c r="AH249" s="1558"/>
      <c r="AI249" s="1558"/>
      <c r="AJ249" s="1558"/>
      <c r="AK249" s="1558"/>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954</v>
      </c>
      <c r="E251" s="4"/>
      <c r="F251" s="4"/>
      <c r="G251" s="4"/>
      <c r="H251" s="4"/>
      <c r="I251" s="4"/>
      <c r="J251" s="4"/>
      <c r="K251" s="4"/>
      <c r="L251" s="4"/>
      <c r="M251" s="1564" t="s">
        <v>2637</v>
      </c>
      <c r="N251" s="1538"/>
      <c r="O251" s="1538"/>
      <c r="P251" s="1538"/>
      <c r="Q251" s="1538"/>
      <c r="R251" s="1538"/>
      <c r="S251" s="1538"/>
      <c r="T251" s="1538"/>
      <c r="U251" s="1538"/>
      <c r="V251" s="1538"/>
      <c r="W251" s="1538"/>
      <c r="X251" s="1538"/>
      <c r="Y251" s="1538"/>
      <c r="Z251" s="1538"/>
      <c r="AA251" s="1538"/>
      <c r="AB251" s="1538"/>
      <c r="AC251" s="1538"/>
      <c r="AD251" s="1538"/>
      <c r="AE251" s="1538"/>
      <c r="AF251" s="1538" t="s">
        <v>2638</v>
      </c>
      <c r="AG251" s="1538"/>
      <c r="AH251" s="1538"/>
      <c r="AI251" s="1538"/>
      <c r="AJ251" s="1538"/>
      <c r="AK251" s="1538"/>
      <c r="AU251" s="4"/>
      <c r="AV251" s="4"/>
      <c r="AW251" s="4"/>
      <c r="AX251" s="4"/>
      <c r="AY251" s="4"/>
      <c r="BN251" s="34"/>
    </row>
    <row r="252" spans="1:67" ht="12.95" customHeight="1">
      <c r="A252" s="19"/>
      <c r="B252" s="4"/>
      <c r="C252" s="4"/>
      <c r="D252" s="4" t="s">
        <v>85</v>
      </c>
      <c r="E252" s="4"/>
      <c r="F252" s="4"/>
      <c r="G252" s="4"/>
      <c r="H252" s="4"/>
      <c r="I252" s="4"/>
      <c r="J252" s="4"/>
      <c r="K252" s="4"/>
      <c r="L252" s="4"/>
      <c r="M252" s="1516" t="s">
        <v>2639</v>
      </c>
      <c r="N252" s="1519"/>
      <c r="O252" s="1519"/>
      <c r="P252" s="1519"/>
      <c r="Q252" s="1519"/>
      <c r="R252" s="1519"/>
      <c r="S252" s="1519"/>
      <c r="T252" s="1519"/>
      <c r="U252" s="1519"/>
      <c r="V252" s="1519"/>
      <c r="W252" s="1519"/>
      <c r="X252" s="1519"/>
      <c r="Y252" s="1519"/>
      <c r="Z252" s="1519"/>
      <c r="AA252" s="1519"/>
      <c r="AB252" s="1519"/>
      <c r="AC252" s="1519"/>
      <c r="AD252" s="1519"/>
      <c r="AE252" s="1519"/>
      <c r="AF252" s="3" t="s">
        <v>1178</v>
      </c>
      <c r="AL252" s="4"/>
      <c r="AM252" s="4"/>
      <c r="AN252" s="4"/>
      <c r="AO252" s="4"/>
      <c r="AP252" s="4"/>
      <c r="AQ252" s="4"/>
      <c r="AR252" s="4"/>
      <c r="AS252" s="4"/>
      <c r="AT252" s="4"/>
      <c r="BN252" s="34"/>
    </row>
    <row r="253" spans="1:67" ht="12.95" customHeight="1">
      <c r="A253" s="19"/>
      <c r="B253" s="4"/>
      <c r="C253" s="4"/>
      <c r="D253" s="4" t="s">
        <v>579</v>
      </c>
      <c r="E253" s="4"/>
      <c r="M253" s="1516" t="s">
        <v>55</v>
      </c>
      <c r="N253" s="1519"/>
      <c r="O253" s="1519"/>
      <c r="P253" s="1519"/>
      <c r="Q253" s="1519"/>
      <c r="R253" s="1519"/>
      <c r="S253" s="1519"/>
      <c r="T253" s="1519"/>
      <c r="V253" s="33" t="s">
        <v>86</v>
      </c>
      <c r="W253" s="1529" t="s">
        <v>2619</v>
      </c>
      <c r="X253" s="1448"/>
      <c r="Y253" s="4" t="s">
        <v>582</v>
      </c>
      <c r="AC253" s="1519">
        <v>95348</v>
      </c>
      <c r="AD253" s="1519"/>
      <c r="AE253" s="1519"/>
      <c r="AF253" s="3" t="s">
        <v>1179</v>
      </c>
      <c r="AU253" s="4"/>
      <c r="AV253" s="4"/>
      <c r="AW253" s="4"/>
      <c r="AX253" s="4"/>
      <c r="AY253" s="4"/>
      <c r="BN253" s="34"/>
    </row>
    <row r="254" spans="1:67" ht="12.95" customHeight="1">
      <c r="A254" s="19"/>
      <c r="B254" s="4"/>
      <c r="C254" s="4"/>
      <c r="D254" s="4" t="s">
        <v>87</v>
      </c>
      <c r="E254" s="4"/>
      <c r="F254" s="4"/>
      <c r="G254" s="4"/>
      <c r="H254" s="4"/>
      <c r="I254" s="4"/>
      <c r="J254" s="4"/>
      <c r="K254" s="4"/>
      <c r="L254" s="19"/>
      <c r="M254" s="1516" t="s">
        <v>2640</v>
      </c>
      <c r="N254" s="1519"/>
      <c r="O254" s="1519"/>
      <c r="P254" s="1519"/>
      <c r="Q254" s="1519"/>
      <c r="R254" s="1519"/>
      <c r="S254" s="1519"/>
      <c r="T254" s="1519"/>
      <c r="U254" s="1519"/>
      <c r="V254" s="1519"/>
      <c r="W254" s="1519"/>
      <c r="X254" s="1519"/>
      <c r="Y254" s="1519"/>
      <c r="Z254" s="1519"/>
      <c r="AA254" s="1519"/>
      <c r="AB254" s="1519"/>
      <c r="AC254" s="1519"/>
      <c r="AD254" s="1519"/>
      <c r="AE254" s="1519"/>
      <c r="AH254" s="1535">
        <v>1E-3</v>
      </c>
      <c r="AI254" s="1535"/>
      <c r="AJ254" s="1535"/>
      <c r="AK254" s="1535"/>
      <c r="AL254" s="4"/>
      <c r="AM254" s="4"/>
      <c r="AN254" s="4"/>
      <c r="AO254" s="4"/>
      <c r="AP254" s="4"/>
      <c r="AQ254" s="4"/>
      <c r="AR254" s="4"/>
      <c r="AS254" s="4"/>
      <c r="AT254" s="4"/>
    </row>
    <row r="255" spans="1:67" ht="12.95" customHeight="1">
      <c r="A255" s="19"/>
      <c r="B255" s="4"/>
      <c r="C255" s="4"/>
      <c r="D255" s="4" t="s">
        <v>88</v>
      </c>
      <c r="E255" s="4"/>
      <c r="F255" s="4"/>
      <c r="M255" s="1544" t="s">
        <v>2641</v>
      </c>
      <c r="N255" s="1479"/>
      <c r="O255" s="1479"/>
      <c r="P255" s="1479"/>
      <c r="Q255" s="1479"/>
      <c r="R255" s="1479"/>
      <c r="S255" s="4" t="s">
        <v>205</v>
      </c>
      <c r="T255" s="4"/>
      <c r="U255" s="1448"/>
      <c r="V255" s="1448"/>
      <c r="W255" s="1448"/>
      <c r="X255" s="4" t="s">
        <v>89</v>
      </c>
      <c r="Z255" s="1479"/>
      <c r="AA255" s="1479"/>
      <c r="AB255" s="1479"/>
      <c r="AC255" s="1479"/>
      <c r="AD255" s="1479"/>
      <c r="AE255" s="1479"/>
      <c r="AU255" s="4"/>
      <c r="AV255" s="4"/>
      <c r="AW255" s="4"/>
      <c r="AX255" s="4"/>
      <c r="AY255" s="4"/>
      <c r="BN255" s="34"/>
    </row>
    <row r="256" spans="1:67" ht="12.95" customHeight="1">
      <c r="A256" s="19"/>
      <c r="B256" s="4"/>
      <c r="C256" s="4"/>
      <c r="D256" s="4" t="s">
        <v>90</v>
      </c>
      <c r="E256" s="4"/>
      <c r="F256" s="4"/>
      <c r="M256" s="1536" t="s">
        <v>2642</v>
      </c>
      <c r="N256" s="1536"/>
      <c r="O256" s="1536"/>
      <c r="P256" s="1536"/>
      <c r="Q256" s="1536"/>
      <c r="R256" s="1536"/>
      <c r="S256" s="1536"/>
      <c r="T256" s="1536"/>
      <c r="U256" s="1536"/>
      <c r="V256" s="1536"/>
      <c r="W256" s="1536"/>
      <c r="X256" s="1536"/>
      <c r="Y256" s="1536"/>
      <c r="Z256" s="1536"/>
      <c r="AA256" s="1536"/>
      <c r="AB256" s="1536"/>
      <c r="AC256" s="1536"/>
      <c r="AD256" s="1536"/>
      <c r="AE256" s="1536"/>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534</v>
      </c>
      <c r="E257" s="4"/>
      <c r="F257" s="4"/>
      <c r="G257" s="4"/>
      <c r="H257" s="4"/>
      <c r="I257" s="4"/>
      <c r="J257" s="4"/>
      <c r="K257" s="4"/>
      <c r="L257" s="4"/>
      <c r="M257" s="1333" t="s">
        <v>533</v>
      </c>
      <c r="N257" s="1333"/>
      <c r="O257" s="1333"/>
      <c r="P257" s="1333"/>
      <c r="Q257" s="1333"/>
      <c r="R257" s="1333"/>
      <c r="S257" s="1333"/>
      <c r="T257" s="1333"/>
      <c r="U257" s="204" t="s">
        <v>905</v>
      </c>
      <c r="V257" s="204"/>
      <c r="W257" s="204"/>
      <c r="X257" s="204"/>
      <c r="Y257" s="204"/>
      <c r="Z257" s="204"/>
      <c r="AA257" s="1558"/>
      <c r="AB257" s="1558"/>
      <c r="AC257" s="1558"/>
      <c r="AD257" s="1558"/>
      <c r="AE257" s="1558"/>
      <c r="AF257" s="1558"/>
      <c r="AG257" s="1558"/>
      <c r="AH257" s="1558"/>
      <c r="AI257" s="1558"/>
      <c r="AJ257" s="1558"/>
      <c r="AK257" s="1558"/>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875</v>
      </c>
      <c r="D259" s="4" t="s">
        <v>531</v>
      </c>
      <c r="E259" s="4"/>
      <c r="F259" s="4"/>
      <c r="G259" s="4"/>
      <c r="H259" s="4"/>
      <c r="I259" s="4"/>
      <c r="J259" s="4"/>
      <c r="K259" s="4"/>
      <c r="L259" s="4"/>
      <c r="M259" s="1538"/>
      <c r="N259" s="1538"/>
      <c r="O259" s="1538"/>
      <c r="P259" s="1538"/>
      <c r="Q259" s="1538"/>
      <c r="R259" s="1538"/>
      <c r="S259" s="1538"/>
      <c r="T259" s="1538"/>
      <c r="U259" s="1538"/>
      <c r="V259" s="1538"/>
      <c r="W259" s="1538"/>
      <c r="X259" s="1538"/>
      <c r="Y259" s="1538"/>
      <c r="Z259" s="1538"/>
      <c r="AA259" s="1538"/>
      <c r="AB259" s="1538"/>
      <c r="AC259" s="1538"/>
      <c r="AD259" s="1538"/>
      <c r="AE259" s="1538"/>
      <c r="AF259" s="1538" t="s">
        <v>306</v>
      </c>
      <c r="AG259" s="1538"/>
      <c r="AH259" s="1538"/>
      <c r="AI259" s="1538"/>
      <c r="AJ259" s="1538"/>
      <c r="AK259" s="1538"/>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519"/>
      <c r="N260" s="1519"/>
      <c r="O260" s="1519"/>
      <c r="P260" s="1519"/>
      <c r="Q260" s="1519"/>
      <c r="R260" s="1519"/>
      <c r="S260" s="1519"/>
      <c r="T260" s="1519"/>
      <c r="U260" s="1519"/>
      <c r="V260" s="1519"/>
      <c r="W260" s="1519"/>
      <c r="X260" s="1519"/>
      <c r="Y260" s="1519"/>
      <c r="Z260" s="1519"/>
      <c r="AA260" s="1519"/>
      <c r="AB260" s="1519"/>
      <c r="AC260" s="1519"/>
      <c r="AD260" s="1519"/>
      <c r="AE260" s="1519"/>
      <c r="AF260" s="3" t="s">
        <v>1178</v>
      </c>
      <c r="AL260" s="3"/>
      <c r="AM260" s="3"/>
      <c r="AN260" s="3"/>
      <c r="AO260" s="3"/>
      <c r="AP260" s="3"/>
      <c r="AQ260" s="3"/>
      <c r="AR260" s="3"/>
      <c r="AS260" s="3"/>
      <c r="AT260" s="3"/>
      <c r="AU260" s="3"/>
      <c r="AV260" s="3"/>
      <c r="AW260" s="3"/>
      <c r="AX260" s="3"/>
      <c r="AY260" s="3"/>
    </row>
    <row r="261" spans="1:51" ht="12.95" customHeight="1">
      <c r="A261" s="13"/>
      <c r="B261" s="4"/>
      <c r="C261" s="4"/>
      <c r="D261" s="4" t="s">
        <v>579</v>
      </c>
      <c r="E261" s="4"/>
      <c r="M261" s="1519"/>
      <c r="N261" s="1519"/>
      <c r="O261" s="1519"/>
      <c r="P261" s="1519"/>
      <c r="Q261" s="1519"/>
      <c r="R261" s="1519"/>
      <c r="S261" s="1519"/>
      <c r="T261" s="1519"/>
      <c r="V261" s="33" t="s">
        <v>86</v>
      </c>
      <c r="W261" s="1448"/>
      <c r="X261" s="1448"/>
      <c r="Y261" s="4" t="s">
        <v>582</v>
      </c>
      <c r="AC261" s="1519"/>
      <c r="AD261" s="1519"/>
      <c r="AE261" s="1519"/>
      <c r="AF261" s="3" t="s">
        <v>1179</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519"/>
      <c r="N262" s="1519"/>
      <c r="O262" s="1519"/>
      <c r="P262" s="1519"/>
      <c r="Q262" s="1519"/>
      <c r="R262" s="1519"/>
      <c r="S262" s="1519"/>
      <c r="T262" s="1519"/>
      <c r="U262" s="1519"/>
      <c r="V262" s="1519"/>
      <c r="W262" s="1519"/>
      <c r="X262" s="1519"/>
      <c r="Y262" s="1519"/>
      <c r="Z262" s="1519"/>
      <c r="AA262" s="1519"/>
      <c r="AB262" s="1519"/>
      <c r="AC262" s="1519"/>
      <c r="AD262" s="1519"/>
      <c r="AE262" s="1519"/>
      <c r="AH262" s="1535"/>
      <c r="AI262" s="1535"/>
      <c r="AJ262" s="1535"/>
      <c r="AK262" s="1535"/>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79"/>
      <c r="N263" s="1479"/>
      <c r="O263" s="1479"/>
      <c r="P263" s="1479"/>
      <c r="Q263" s="1479"/>
      <c r="R263" s="1479"/>
      <c r="S263" s="4" t="s">
        <v>205</v>
      </c>
      <c r="T263" s="4"/>
      <c r="U263" s="1448"/>
      <c r="V263" s="1448"/>
      <c r="W263" s="1448"/>
      <c r="X263" s="4" t="s">
        <v>89</v>
      </c>
      <c r="Z263" s="1479"/>
      <c r="AA263" s="1479"/>
      <c r="AB263" s="1479"/>
      <c r="AC263" s="1479"/>
      <c r="AD263" s="1479"/>
      <c r="AE263" s="1479"/>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36"/>
      <c r="N264" s="1536"/>
      <c r="O264" s="1536"/>
      <c r="P264" s="1536"/>
      <c r="Q264" s="1536"/>
      <c r="R264" s="1536"/>
      <c r="S264" s="1536"/>
      <c r="T264" s="1536"/>
      <c r="U264" s="1536"/>
      <c r="V264" s="1536"/>
      <c r="W264" s="1536"/>
      <c r="X264" s="1536"/>
      <c r="Y264" s="1536"/>
      <c r="Z264" s="1536"/>
      <c r="AA264" s="1537"/>
      <c r="AB264" s="1537"/>
      <c r="AC264" s="1537"/>
      <c r="AD264" s="1537"/>
      <c r="AE264" s="1537"/>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534</v>
      </c>
      <c r="E265" s="4"/>
      <c r="F265" s="4"/>
      <c r="G265" s="4"/>
      <c r="H265" s="4"/>
      <c r="I265" s="4"/>
      <c r="J265" s="4"/>
      <c r="K265" s="4"/>
      <c r="L265" s="4"/>
      <c r="M265" s="1333" t="s">
        <v>306</v>
      </c>
      <c r="N265" s="1333"/>
      <c r="O265" s="1333"/>
      <c r="P265" s="1333"/>
      <c r="Q265" s="1333"/>
      <c r="R265" s="1333"/>
      <c r="S265" s="1333"/>
      <c r="T265" s="1333"/>
      <c r="U265" s="204" t="s">
        <v>905</v>
      </c>
      <c r="V265" s="204"/>
      <c r="W265" s="204"/>
      <c r="X265" s="204"/>
      <c r="Y265" s="204"/>
      <c r="Z265" s="204"/>
      <c r="AA265" s="1565"/>
      <c r="AB265" s="1565"/>
      <c r="AC265" s="1565"/>
      <c r="AD265" s="1565"/>
      <c r="AE265" s="1565"/>
      <c r="AF265" s="1565"/>
      <c r="AG265" s="1565"/>
      <c r="AH265" s="1565"/>
      <c r="AI265" s="1565"/>
      <c r="AJ265" s="1565"/>
      <c r="AK265" s="1565"/>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589</v>
      </c>
      <c r="B267" s="4"/>
      <c r="C267" s="2" t="s">
        <v>294</v>
      </c>
      <c r="D267" s="4"/>
      <c r="E267" s="4"/>
      <c r="F267" s="4"/>
      <c r="G267" s="4"/>
      <c r="H267" s="4"/>
      <c r="I267" s="4"/>
      <c r="J267" s="4"/>
      <c r="K267" s="4"/>
      <c r="L267" s="4"/>
      <c r="M267" s="35"/>
      <c r="N267" s="35"/>
      <c r="O267" s="35"/>
      <c r="P267" s="35"/>
      <c r="Q267" s="35"/>
      <c r="T267" s="1566" t="str">
        <f>IFERROR(BO245,"")</f>
        <v>Joint Venture</v>
      </c>
      <c r="U267" s="1566"/>
      <c r="V267" s="1566"/>
      <c r="W267" s="1566"/>
      <c r="X267" s="1566"/>
      <c r="Z267" s="307" t="s">
        <v>953</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806</v>
      </c>
      <c r="AF268" s="4"/>
      <c r="AG268" s="4"/>
      <c r="AH268" s="4"/>
      <c r="AI268" s="4"/>
      <c r="AJ268" s="4"/>
      <c r="AL268" s="65"/>
    </row>
    <row r="269" spans="1:51" ht="12.95" customHeight="1">
      <c r="A269" s="2" t="s">
        <v>591</v>
      </c>
      <c r="B269" s="4"/>
      <c r="C269" s="2" t="s">
        <v>171</v>
      </c>
      <c r="D269" s="4"/>
      <c r="E269" s="4"/>
      <c r="F269" s="4"/>
      <c r="G269" s="4"/>
      <c r="H269" s="4"/>
      <c r="I269" s="4"/>
      <c r="J269" s="4"/>
      <c r="K269" s="4"/>
      <c r="L269" s="4"/>
      <c r="M269" s="4"/>
      <c r="N269" s="4"/>
      <c r="O269" s="4"/>
      <c r="P269" s="4"/>
      <c r="Q269" s="4"/>
      <c r="R269" s="4"/>
      <c r="S269" s="4"/>
      <c r="T269" s="4"/>
      <c r="U269" s="4"/>
      <c r="V269" s="4"/>
      <c r="W269" s="4"/>
      <c r="Z269" s="311" t="s">
        <v>952</v>
      </c>
      <c r="AA269" s="48"/>
      <c r="AB269" s="48"/>
      <c r="AC269" s="48"/>
      <c r="AD269" s="48"/>
      <c r="AE269" s="48"/>
      <c r="AF269" s="104"/>
      <c r="AG269" s="104"/>
      <c r="AH269" s="104"/>
      <c r="AI269" s="104"/>
      <c r="AJ269" s="104"/>
      <c r="AK269" s="48"/>
      <c r="AL269" s="49"/>
    </row>
    <row r="270" spans="1:51" ht="12.95" customHeight="1">
      <c r="A270" s="4"/>
      <c r="B270" s="36">
        <v>0</v>
      </c>
      <c r="D270" s="1519" t="s">
        <v>172</v>
      </c>
      <c r="E270" s="1519"/>
      <c r="F270" s="1519"/>
      <c r="G270" s="1519"/>
      <c r="H270" s="1519"/>
      <c r="J270" t="s">
        <v>278</v>
      </c>
      <c r="X270" s="1506">
        <v>45962</v>
      </c>
      <c r="Y270" s="1506"/>
      <c r="Z270" s="1506"/>
      <c r="AA270" s="1506"/>
      <c r="AB270" s="1506"/>
      <c r="AC270" s="1506"/>
      <c r="AU270" s="3"/>
      <c r="AV270" s="3"/>
      <c r="AW270" s="3"/>
      <c r="AX270" s="3"/>
      <c r="AY270" s="3"/>
    </row>
    <row r="271" spans="1:51" ht="12.95"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466</v>
      </c>
      <c r="B273" s="2"/>
      <c r="C273" s="2" t="s">
        <v>621</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295</v>
      </c>
      <c r="E274" s="4"/>
      <c r="F274" s="4"/>
      <c r="G274" s="4"/>
      <c r="H274" s="4"/>
      <c r="I274" s="4"/>
      <c r="J274" s="4"/>
      <c r="K274" s="4"/>
      <c r="L274" s="1564" t="s">
        <v>2617</v>
      </c>
      <c r="M274" s="1538"/>
      <c r="N274" s="1538"/>
      <c r="O274" s="1538"/>
      <c r="P274" s="1538"/>
      <c r="Q274" s="1538"/>
      <c r="R274" s="1538"/>
      <c r="S274" s="1538"/>
      <c r="T274" s="1538"/>
      <c r="U274" s="1538"/>
      <c r="V274" s="1538"/>
      <c r="W274" s="1538"/>
      <c r="X274" s="1538"/>
      <c r="Y274" s="1538"/>
      <c r="Z274" s="1538"/>
      <c r="AA274" s="1538"/>
      <c r="AB274" s="1538"/>
      <c r="AC274" s="1538"/>
      <c r="AD274" s="1538"/>
      <c r="AE274" s="1538"/>
      <c r="AF274" s="1538"/>
      <c r="AG274" s="1538"/>
      <c r="AH274" s="1538"/>
      <c r="AI274" s="1538"/>
      <c r="AJ274" s="1538"/>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516" t="s">
        <v>2618</v>
      </c>
      <c r="M275" s="1519"/>
      <c r="N275" s="1519"/>
      <c r="O275" s="1519"/>
      <c r="P275" s="1519"/>
      <c r="Q275" s="1519"/>
      <c r="R275" s="1519"/>
      <c r="S275" s="1519"/>
      <c r="T275" s="1519"/>
      <c r="U275" s="1519"/>
      <c r="V275" s="1519"/>
      <c r="W275" s="1519"/>
      <c r="X275" s="1519"/>
      <c r="Y275" s="1519"/>
      <c r="Z275" s="1519"/>
      <c r="AA275" s="1519"/>
      <c r="AB275" s="1519"/>
      <c r="AC275" s="1519"/>
      <c r="AD275" s="1519"/>
      <c r="AK275" s="3"/>
      <c r="AL275" s="3"/>
      <c r="AM275" s="3"/>
      <c r="AN275" s="3"/>
      <c r="AO275" s="3"/>
      <c r="AP275" s="3"/>
      <c r="AQ275" s="3"/>
      <c r="AR275" s="3"/>
      <c r="AS275" s="3"/>
      <c r="AT275" s="3"/>
      <c r="AU275" s="3"/>
      <c r="AV275" s="3"/>
      <c r="AW275" s="3"/>
      <c r="AX275" s="3"/>
      <c r="AY275" s="3"/>
    </row>
    <row r="276" spans="1:51" ht="12.95" customHeight="1">
      <c r="D276" s="4" t="s">
        <v>579</v>
      </c>
      <c r="E276" s="4"/>
      <c r="L276" s="1516" t="s">
        <v>68</v>
      </c>
      <c r="M276" s="1519"/>
      <c r="N276" s="1519"/>
      <c r="O276" s="1519"/>
      <c r="P276" s="1519"/>
      <c r="Q276" s="1519"/>
      <c r="R276" s="1519"/>
      <c r="S276" s="1519"/>
      <c r="U276" s="33" t="s">
        <v>86</v>
      </c>
      <c r="V276" s="1529" t="s">
        <v>2619</v>
      </c>
      <c r="W276" s="1448"/>
      <c r="X276" s="4" t="s">
        <v>582</v>
      </c>
      <c r="AB276" s="1519">
        <v>95811</v>
      </c>
      <c r="AC276" s="1519"/>
      <c r="AD276" s="1519"/>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516" t="s">
        <v>2620</v>
      </c>
      <c r="M277" s="1519"/>
      <c r="N277" s="1519"/>
      <c r="O277" s="1519"/>
      <c r="P277" s="1519"/>
      <c r="Q277" s="1519"/>
      <c r="R277" s="1519"/>
      <c r="S277" s="1519"/>
      <c r="T277" s="1519"/>
      <c r="U277" s="1519"/>
      <c r="V277" s="1519"/>
      <c r="W277" s="1519"/>
      <c r="X277" s="1519"/>
      <c r="Y277" s="1519"/>
      <c r="Z277" s="1519"/>
      <c r="AA277" s="1519"/>
      <c r="AB277" s="1519"/>
      <c r="AC277" s="1519"/>
      <c r="AD277" s="1519"/>
      <c r="AI277" s="4"/>
      <c r="AJ277" s="4"/>
      <c r="AK277" s="3"/>
      <c r="AL277" s="3"/>
      <c r="AM277" s="3"/>
      <c r="AN277" s="3"/>
      <c r="AO277" s="3"/>
      <c r="AP277" s="3"/>
      <c r="AQ277" s="3"/>
      <c r="AR277" s="3"/>
      <c r="AS277" s="3"/>
      <c r="AT277" s="3"/>
    </row>
    <row r="278" spans="1:51" ht="12.95" customHeight="1">
      <c r="D278" s="4" t="s">
        <v>88</v>
      </c>
      <c r="E278" s="4"/>
      <c r="F278" s="4"/>
      <c r="L278" s="1544" t="s">
        <v>2621</v>
      </c>
      <c r="M278" s="1479"/>
      <c r="N278" s="1479"/>
      <c r="O278" s="1479"/>
      <c r="P278" s="1479"/>
      <c r="Q278" s="1479"/>
      <c r="R278" s="4" t="s">
        <v>205</v>
      </c>
      <c r="S278" s="4"/>
      <c r="T278" s="1448"/>
      <c r="U278" s="1448"/>
      <c r="V278" s="1448"/>
      <c r="W278" s="4" t="s">
        <v>89</v>
      </c>
      <c r="Y278" s="1479"/>
      <c r="Z278" s="1479"/>
      <c r="AA278" s="1479"/>
      <c r="AB278" s="1479"/>
      <c r="AC278" s="1479"/>
      <c r="AD278" s="1479"/>
    </row>
    <row r="279" spans="1:51" ht="12.95" customHeight="1">
      <c r="D279" s="4" t="s">
        <v>90</v>
      </c>
      <c r="E279" s="4"/>
      <c r="F279" s="4"/>
      <c r="L279" s="1536" t="s">
        <v>2622</v>
      </c>
      <c r="M279" s="1536"/>
      <c r="N279" s="1536"/>
      <c r="O279" s="1536"/>
      <c r="P279" s="1536"/>
      <c r="Q279" s="1536"/>
      <c r="R279" s="1536"/>
      <c r="S279" s="1536"/>
      <c r="T279" s="1536"/>
      <c r="U279" s="1536"/>
      <c r="V279" s="1536"/>
      <c r="W279" s="1536"/>
      <c r="X279" s="1536"/>
      <c r="Y279" s="1536"/>
      <c r="Z279" s="1536"/>
      <c r="AA279" s="1536"/>
      <c r="AB279" s="1536"/>
      <c r="AC279" s="1536"/>
      <c r="AD279" s="1536"/>
      <c r="AF279" s="4"/>
      <c r="AG279" s="4"/>
      <c r="AH279" s="4"/>
      <c r="AI279" s="4"/>
      <c r="AJ279" s="4"/>
      <c r="AU279" s="3"/>
      <c r="AV279" s="3"/>
      <c r="AW279" s="3"/>
      <c r="AX279" s="3"/>
      <c r="AY279" s="3"/>
    </row>
    <row r="280" spans="1:51" ht="12.95" customHeight="1">
      <c r="D280" s="3" t="s">
        <v>622</v>
      </c>
      <c r="E280" s="3"/>
      <c r="F280" s="3"/>
      <c r="G280" s="3"/>
      <c r="H280" s="3"/>
      <c r="I280" s="3"/>
      <c r="L280" s="1529" t="s">
        <v>2682</v>
      </c>
      <c r="M280" s="1529"/>
      <c r="N280" s="1529"/>
      <c r="O280" s="1529"/>
      <c r="P280" s="1529"/>
      <c r="Q280" s="1529"/>
      <c r="R280" s="1529"/>
      <c r="S280" s="1529"/>
      <c r="T280" s="1529"/>
      <c r="U280" s="1529"/>
      <c r="V280" s="1529"/>
      <c r="W280" s="1529"/>
      <c r="X280" s="1529"/>
      <c r="Y280" s="1529"/>
      <c r="Z280" s="1529"/>
      <c r="AA280" s="1529"/>
      <c r="AB280" s="1529"/>
      <c r="AC280" s="1529"/>
      <c r="AD280" s="1529"/>
      <c r="AK280" s="3"/>
      <c r="AL280" s="3"/>
      <c r="AM280" s="3"/>
      <c r="AN280" s="3"/>
      <c r="AO280" s="3"/>
      <c r="AP280" s="3"/>
      <c r="AQ280" s="3"/>
      <c r="AR280" s="3"/>
      <c r="AS280" s="3"/>
      <c r="AT280" s="3"/>
    </row>
    <row r="281" spans="1:51" ht="12.95" customHeight="1">
      <c r="L281" s="22" t="s">
        <v>623</v>
      </c>
      <c r="AU281" s="95"/>
      <c r="AV281" s="95"/>
      <c r="AW281" s="95"/>
      <c r="AX281" s="95"/>
      <c r="AY281" s="95"/>
    </row>
    <row r="282" spans="1:51" ht="12.95" customHeight="1">
      <c r="A282" s="1531" t="s">
        <v>540</v>
      </c>
      <c r="B282" s="1531"/>
      <c r="C282" s="1531"/>
      <c r="D282" s="1531"/>
      <c r="E282" s="1531"/>
      <c r="F282" s="1531"/>
      <c r="G282" s="1531"/>
      <c r="H282" s="1531"/>
      <c r="I282" s="1531"/>
      <c r="J282" s="1531"/>
      <c r="K282" s="1531"/>
      <c r="L282" s="1531"/>
      <c r="M282" s="1531"/>
      <c r="N282" s="1531"/>
      <c r="O282" s="1531"/>
      <c r="P282" s="1531"/>
      <c r="Q282" s="1531"/>
      <c r="R282" s="1531"/>
      <c r="S282" s="1531"/>
      <c r="T282" s="1531"/>
      <c r="U282" s="1531"/>
      <c r="V282" s="1531"/>
      <c r="W282" s="1531"/>
      <c r="X282" s="1531"/>
      <c r="Y282" s="1531"/>
      <c r="Z282" s="1531"/>
      <c r="AA282" s="1531"/>
      <c r="AB282" s="1531"/>
      <c r="AC282" s="1531"/>
      <c r="AD282" s="1531"/>
      <c r="AE282" s="1531"/>
      <c r="AF282" s="1531"/>
      <c r="AG282" s="1531"/>
      <c r="AH282" s="1531"/>
      <c r="AI282" s="1531"/>
      <c r="AJ282" s="1531"/>
      <c r="AK282" s="1531"/>
      <c r="AL282" s="1531"/>
      <c r="AM282" s="1531"/>
      <c r="AN282" s="1531"/>
      <c r="AO282" s="1531"/>
      <c r="AP282" s="1531"/>
      <c r="AQ282" s="1531"/>
      <c r="AR282" s="1531"/>
      <c r="AS282" s="1531"/>
      <c r="AT282" s="1531"/>
      <c r="AU282" s="95"/>
      <c r="AV282" s="95"/>
      <c r="AW282" s="95"/>
      <c r="AX282" s="95"/>
      <c r="AY282" s="95"/>
    </row>
    <row r="283" spans="1:51" ht="12.95" customHeight="1">
      <c r="A283" s="1531"/>
      <c r="B283" s="1531"/>
      <c r="C283" s="1531"/>
      <c r="D283" s="1531"/>
      <c r="E283" s="1531"/>
      <c r="F283" s="1531"/>
      <c r="G283" s="1531"/>
      <c r="H283" s="1531"/>
      <c r="I283" s="1531"/>
      <c r="J283" s="1531"/>
      <c r="K283" s="1531"/>
      <c r="L283" s="1531"/>
      <c r="M283" s="1531"/>
      <c r="N283" s="1531"/>
      <c r="O283" s="1531"/>
      <c r="P283" s="1531"/>
      <c r="Q283" s="1531"/>
      <c r="R283" s="1531"/>
      <c r="S283" s="1531"/>
      <c r="T283" s="1531"/>
      <c r="U283" s="1531"/>
      <c r="V283" s="1531"/>
      <c r="W283" s="1531"/>
      <c r="X283" s="1531"/>
      <c r="Y283" s="1531"/>
      <c r="Z283" s="1531"/>
      <c r="AA283" s="1531"/>
      <c r="AB283" s="1531"/>
      <c r="AC283" s="1531"/>
      <c r="AD283" s="1531"/>
      <c r="AE283" s="1531"/>
      <c r="AF283" s="1531"/>
      <c r="AG283" s="1531"/>
      <c r="AH283" s="1531"/>
      <c r="AI283" s="1531"/>
      <c r="AJ283" s="1531"/>
      <c r="AK283" s="1531"/>
      <c r="AL283" s="1531"/>
      <c r="AM283" s="1531"/>
      <c r="AN283" s="1531"/>
      <c r="AO283" s="1531"/>
      <c r="AP283" s="1531"/>
      <c r="AQ283" s="1531"/>
      <c r="AR283" s="1531"/>
      <c r="AS283" s="1531"/>
      <c r="AT283" s="1531"/>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318</v>
      </c>
      <c r="C285" s="2" t="s">
        <v>624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625</v>
      </c>
      <c r="C287" s="3"/>
      <c r="D287" s="3"/>
      <c r="E287" s="3"/>
      <c r="F287" s="3"/>
      <c r="H287" s="1344" t="s">
        <v>2636</v>
      </c>
      <c r="I287" s="1344"/>
      <c r="J287" s="1344"/>
      <c r="K287" s="1344"/>
      <c r="L287" s="1344"/>
      <c r="M287" s="1344"/>
      <c r="N287" s="1344"/>
      <c r="O287" s="1344"/>
      <c r="P287" s="1344"/>
      <c r="Q287" s="1344"/>
      <c r="R287" s="1344"/>
      <c r="T287" s="3" t="s">
        <v>566</v>
      </c>
      <c r="V287" s="3"/>
      <c r="W287" s="3"/>
      <c r="X287" s="3"/>
      <c r="Y287" s="3"/>
      <c r="AA287" s="1344" t="s">
        <v>2710</v>
      </c>
      <c r="AB287" s="1344"/>
      <c r="AC287" s="1344"/>
      <c r="AD287" s="1344"/>
      <c r="AE287" s="1344"/>
      <c r="AF287" s="1344"/>
      <c r="AG287" s="1344"/>
      <c r="AH287" s="1344"/>
      <c r="AI287" s="1344"/>
      <c r="AJ287" s="1344"/>
      <c r="AK287" s="1344"/>
    </row>
    <row r="288" spans="1:51" ht="12.95" customHeight="1">
      <c r="B288" s="3" t="s">
        <v>470</v>
      </c>
      <c r="C288" s="3"/>
      <c r="D288" s="3"/>
      <c r="E288" s="3"/>
      <c r="F288" s="3"/>
      <c r="H288" s="1333" t="s">
        <v>2664</v>
      </c>
      <c r="I288" s="1333"/>
      <c r="J288" s="1333"/>
      <c r="K288" s="1333"/>
      <c r="L288" s="1333"/>
      <c r="M288" s="1333"/>
      <c r="N288" s="1333"/>
      <c r="O288" s="1333"/>
      <c r="P288" s="1333"/>
      <c r="Q288" s="1333"/>
      <c r="R288" s="1333"/>
      <c r="T288" s="3" t="s">
        <v>470</v>
      </c>
      <c r="V288" s="3"/>
      <c r="W288" s="3"/>
      <c r="X288" s="3"/>
      <c r="Y288" s="3"/>
      <c r="AA288" s="1333" t="s">
        <v>2651</v>
      </c>
      <c r="AB288" s="1333"/>
      <c r="AC288" s="1333"/>
      <c r="AD288" s="1333"/>
      <c r="AE288" s="1333"/>
      <c r="AF288" s="1333"/>
      <c r="AG288" s="1333"/>
      <c r="AH288" s="1333"/>
      <c r="AI288" s="1333"/>
      <c r="AJ288" s="1333"/>
      <c r="AK288" s="1333"/>
    </row>
    <row r="289" spans="2:37" ht="12.95" customHeight="1">
      <c r="B289" s="3" t="s">
        <v>471</v>
      </c>
      <c r="C289" s="3"/>
      <c r="D289" s="3"/>
      <c r="E289" s="3"/>
      <c r="F289" s="3"/>
      <c r="H289" s="1333" t="s">
        <v>2665</v>
      </c>
      <c r="I289" s="1333"/>
      <c r="J289" s="1333"/>
      <c r="K289" s="1333"/>
      <c r="L289" s="1333"/>
      <c r="M289" s="1333"/>
      <c r="N289" s="1333"/>
      <c r="O289" s="1333"/>
      <c r="P289" s="1333"/>
      <c r="Q289" s="1333"/>
      <c r="R289" s="1333"/>
      <c r="T289" s="3" t="s">
        <v>75</v>
      </c>
      <c r="V289" s="3"/>
      <c r="W289" s="3"/>
      <c r="X289" s="3"/>
      <c r="Y289" s="3"/>
      <c r="AA289" s="1333" t="s">
        <v>2652</v>
      </c>
      <c r="AB289" s="1333"/>
      <c r="AC289" s="1333"/>
      <c r="AD289" s="1333"/>
      <c r="AE289" s="1333"/>
      <c r="AF289" s="1333"/>
      <c r="AG289" s="1333"/>
      <c r="AH289" s="1333"/>
      <c r="AI289" s="1333"/>
      <c r="AJ289" s="1333"/>
      <c r="AK289" s="1333"/>
    </row>
    <row r="290" spans="2:37" ht="12.95" customHeight="1">
      <c r="B290" s="3" t="s">
        <v>87</v>
      </c>
      <c r="C290" s="3"/>
      <c r="D290" s="3"/>
      <c r="E290" s="3"/>
      <c r="F290" s="3"/>
      <c r="H290" s="1333" t="s">
        <v>2663</v>
      </c>
      <c r="I290" s="1333"/>
      <c r="J290" s="1333"/>
      <c r="K290" s="1333"/>
      <c r="L290" s="1333"/>
      <c r="M290" s="1333"/>
      <c r="N290" s="1333"/>
      <c r="O290" s="1333"/>
      <c r="P290" s="1333"/>
      <c r="Q290" s="1333"/>
      <c r="R290" s="1333"/>
      <c r="T290" s="3" t="s">
        <v>87</v>
      </c>
      <c r="V290" s="3"/>
      <c r="W290" s="3"/>
      <c r="X290" s="3"/>
      <c r="Y290" s="3"/>
      <c r="AA290" s="1333" t="s">
        <v>2653</v>
      </c>
      <c r="AB290" s="1333"/>
      <c r="AC290" s="1333"/>
      <c r="AD290" s="1333"/>
      <c r="AE290" s="1333"/>
      <c r="AF290" s="1333"/>
      <c r="AG290" s="1333"/>
      <c r="AH290" s="1333"/>
      <c r="AI290" s="1333"/>
      <c r="AJ290" s="1333"/>
      <c r="AK290" s="1333"/>
    </row>
    <row r="291" spans="2:37" ht="12.95" customHeight="1">
      <c r="B291" s="3" t="s">
        <v>88</v>
      </c>
      <c r="C291" s="3"/>
      <c r="D291" s="3"/>
      <c r="E291" s="3"/>
      <c r="F291" s="3"/>
      <c r="G291" s="3"/>
      <c r="H291" s="1539" t="s">
        <v>2681</v>
      </c>
      <c r="I291" s="1540"/>
      <c r="J291" s="1540"/>
      <c r="K291" s="1540"/>
      <c r="L291" s="1540"/>
      <c r="M291" s="1540"/>
      <c r="N291" s="4" t="s">
        <v>205</v>
      </c>
      <c r="O291" s="4"/>
      <c r="P291" s="1519"/>
      <c r="Q291" s="1519"/>
      <c r="R291" s="1519"/>
      <c r="S291" s="3"/>
      <c r="T291" s="3" t="s">
        <v>88</v>
      </c>
      <c r="V291" s="3"/>
      <c r="W291" s="3"/>
      <c r="X291" s="3"/>
      <c r="Y291" s="3"/>
      <c r="AA291" s="1539" t="s">
        <v>2654</v>
      </c>
      <c r="AB291" s="1540"/>
      <c r="AC291" s="1540"/>
      <c r="AD291" s="1540"/>
      <c r="AE291" s="1540"/>
      <c r="AF291" s="1540"/>
      <c r="AG291" s="4" t="s">
        <v>205</v>
      </c>
      <c r="AH291" s="4"/>
      <c r="AI291" s="1519"/>
      <c r="AJ291" s="1519"/>
      <c r="AK291" s="1519"/>
    </row>
    <row r="292" spans="2:37" ht="12.95" customHeight="1">
      <c r="B292" s="3" t="s">
        <v>89</v>
      </c>
      <c r="C292" s="3"/>
      <c r="D292" s="3"/>
      <c r="E292" s="3"/>
      <c r="F292" s="3"/>
      <c r="G292" s="3"/>
      <c r="H292" s="1479"/>
      <c r="I292" s="1479"/>
      <c r="J292" s="1479"/>
      <c r="K292" s="1479"/>
      <c r="L292" s="1479"/>
      <c r="M292" s="1479"/>
      <c r="N292" s="4"/>
      <c r="O292" s="4"/>
      <c r="P292" s="35"/>
      <c r="Q292" s="35"/>
      <c r="R292" s="35"/>
      <c r="S292" s="3"/>
      <c r="T292" s="3" t="s">
        <v>89</v>
      </c>
      <c r="V292" s="3"/>
      <c r="W292" s="3"/>
      <c r="X292" s="3"/>
      <c r="Y292" s="3"/>
      <c r="AA292" s="1479"/>
      <c r="AB292" s="1479"/>
      <c r="AC292" s="1479"/>
      <c r="AD292" s="1479"/>
      <c r="AE292" s="1479"/>
      <c r="AF292" s="1479"/>
      <c r="AG292" s="4"/>
      <c r="AH292" s="4"/>
      <c r="AI292" s="35"/>
      <c r="AJ292" s="35"/>
      <c r="AK292" s="35"/>
    </row>
    <row r="293" spans="2:37" ht="12.95" customHeight="1">
      <c r="B293" s="3" t="s">
        <v>76</v>
      </c>
      <c r="C293" s="3"/>
      <c r="D293" s="3"/>
      <c r="E293" s="3"/>
      <c r="F293" s="3"/>
      <c r="G293" s="3"/>
      <c r="H293" s="1333" t="s">
        <v>2662</v>
      </c>
      <c r="I293" s="1333"/>
      <c r="J293" s="1333"/>
      <c r="K293" s="1333"/>
      <c r="L293" s="1333"/>
      <c r="M293" s="1333"/>
      <c r="N293" s="1344"/>
      <c r="O293" s="1344"/>
      <c r="P293" s="1344"/>
      <c r="Q293" s="1344"/>
      <c r="R293" s="1344"/>
      <c r="S293" s="3"/>
      <c r="T293" s="3" t="s">
        <v>76</v>
      </c>
      <c r="V293" s="3"/>
      <c r="W293" s="3"/>
      <c r="X293" s="3"/>
      <c r="Y293" s="3"/>
      <c r="AA293" s="1333" t="s">
        <v>2655</v>
      </c>
      <c r="AB293" s="1333"/>
      <c r="AC293" s="1333"/>
      <c r="AD293" s="1333"/>
      <c r="AE293" s="1333"/>
      <c r="AF293" s="1333"/>
      <c r="AG293" s="1344"/>
      <c r="AH293" s="1344"/>
      <c r="AI293" s="1344"/>
      <c r="AJ293" s="1344"/>
      <c r="AK293" s="1344"/>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322</v>
      </c>
      <c r="C295" s="3"/>
      <c r="D295" s="3"/>
      <c r="E295" s="3"/>
      <c r="F295" s="3"/>
      <c r="H295" s="1344" t="s">
        <v>2617</v>
      </c>
      <c r="I295" s="1344"/>
      <c r="J295" s="1344"/>
      <c r="K295" s="1344"/>
      <c r="L295" s="1344"/>
      <c r="M295" s="1344"/>
      <c r="N295" s="1344"/>
      <c r="O295" s="1344"/>
      <c r="P295" s="1344"/>
      <c r="Q295" s="1344"/>
      <c r="R295" s="1344"/>
      <c r="T295" s="3" t="s">
        <v>363</v>
      </c>
      <c r="V295" s="3"/>
      <c r="W295" s="3"/>
      <c r="X295" s="3"/>
      <c r="Y295" s="3"/>
      <c r="AA295" s="1344" t="s">
        <v>2708</v>
      </c>
      <c r="AB295" s="1344"/>
      <c r="AC295" s="1344"/>
      <c r="AD295" s="1344"/>
      <c r="AE295" s="1344"/>
      <c r="AF295" s="1344"/>
      <c r="AG295" s="1344"/>
      <c r="AH295" s="1344"/>
      <c r="AI295" s="1344"/>
      <c r="AJ295" s="1344"/>
      <c r="AK295" s="1344"/>
    </row>
    <row r="296" spans="2:37" ht="12.95" customHeight="1">
      <c r="B296" s="3" t="s">
        <v>470</v>
      </c>
      <c r="C296" s="3"/>
      <c r="D296" s="3"/>
      <c r="E296" s="3"/>
      <c r="F296" s="3"/>
      <c r="H296" s="1333" t="s">
        <v>2618</v>
      </c>
      <c r="I296" s="1333"/>
      <c r="J296" s="1333"/>
      <c r="K296" s="1333"/>
      <c r="L296" s="1333"/>
      <c r="M296" s="1333"/>
      <c r="N296" s="1333"/>
      <c r="O296" s="1333"/>
      <c r="P296" s="1333"/>
      <c r="Q296" s="1333"/>
      <c r="R296" s="1333"/>
      <c r="T296" s="3" t="s">
        <v>470</v>
      </c>
      <c r="V296" s="3"/>
      <c r="W296" s="3"/>
      <c r="X296" s="3"/>
      <c r="Y296" s="3"/>
      <c r="AA296" s="1333"/>
      <c r="AB296" s="1333"/>
      <c r="AC296" s="1333"/>
      <c r="AD296" s="1333"/>
      <c r="AE296" s="1333"/>
      <c r="AF296" s="1333"/>
      <c r="AG296" s="1333"/>
      <c r="AH296" s="1333"/>
      <c r="AI296" s="1333"/>
      <c r="AJ296" s="1333"/>
      <c r="AK296" s="1333"/>
    </row>
    <row r="297" spans="2:37" ht="12.95" customHeight="1">
      <c r="B297" s="3" t="s">
        <v>471</v>
      </c>
      <c r="C297" s="3"/>
      <c r="D297" s="3"/>
      <c r="E297" s="3"/>
      <c r="F297" s="3"/>
      <c r="H297" s="1333" t="s">
        <v>2643</v>
      </c>
      <c r="I297" s="1333"/>
      <c r="J297" s="1333"/>
      <c r="K297" s="1333"/>
      <c r="L297" s="1333"/>
      <c r="M297" s="1333"/>
      <c r="N297" s="1333"/>
      <c r="O297" s="1333"/>
      <c r="P297" s="1333"/>
      <c r="Q297" s="1333"/>
      <c r="R297" s="1333"/>
      <c r="T297" s="3" t="s">
        <v>75</v>
      </c>
      <c r="V297" s="3"/>
      <c r="W297" s="3"/>
      <c r="X297" s="3"/>
      <c r="Y297" s="3"/>
      <c r="AA297" s="1333"/>
      <c r="AB297" s="1333"/>
      <c r="AC297" s="1333"/>
      <c r="AD297" s="1333"/>
      <c r="AE297" s="1333"/>
      <c r="AF297" s="1333"/>
      <c r="AG297" s="1333"/>
      <c r="AH297" s="1333"/>
      <c r="AI297" s="1333"/>
      <c r="AJ297" s="1333"/>
      <c r="AK297" s="1333"/>
    </row>
    <row r="298" spans="2:37" ht="12.95" customHeight="1">
      <c r="B298" s="3" t="s">
        <v>87</v>
      </c>
      <c r="C298" s="3"/>
      <c r="D298" s="3"/>
      <c r="E298" s="3"/>
      <c r="F298" s="3"/>
      <c r="H298" s="1333" t="s">
        <v>2620</v>
      </c>
      <c r="I298" s="1333"/>
      <c r="J298" s="1333"/>
      <c r="K298" s="1333"/>
      <c r="L298" s="1333"/>
      <c r="M298" s="1333"/>
      <c r="N298" s="1333"/>
      <c r="O298" s="1333"/>
      <c r="P298" s="1333"/>
      <c r="Q298" s="1333"/>
      <c r="R298" s="1333"/>
      <c r="T298" s="3" t="s">
        <v>87</v>
      </c>
      <c r="V298" s="3"/>
      <c r="W298" s="3"/>
      <c r="X298" s="3"/>
      <c r="Y298" s="3"/>
      <c r="AA298" s="1333"/>
      <c r="AB298" s="1333"/>
      <c r="AC298" s="1333"/>
      <c r="AD298" s="1333"/>
      <c r="AE298" s="1333"/>
      <c r="AF298" s="1333"/>
      <c r="AG298" s="1333"/>
      <c r="AH298" s="1333"/>
      <c r="AI298" s="1333"/>
      <c r="AJ298" s="1333"/>
      <c r="AK298" s="1333"/>
    </row>
    <row r="299" spans="2:37" ht="12.95" customHeight="1">
      <c r="B299" s="3" t="s">
        <v>88</v>
      </c>
      <c r="C299" s="3"/>
      <c r="D299" s="3"/>
      <c r="E299" s="3"/>
      <c r="F299" s="3"/>
      <c r="G299" s="3"/>
      <c r="H299" s="1539" t="s">
        <v>2644</v>
      </c>
      <c r="I299" s="1540"/>
      <c r="J299" s="1540"/>
      <c r="K299" s="1540"/>
      <c r="L299" s="1540"/>
      <c r="M299" s="1540"/>
      <c r="N299" s="4" t="s">
        <v>205</v>
      </c>
      <c r="O299" s="4"/>
      <c r="P299" s="1519"/>
      <c r="Q299" s="1519"/>
      <c r="R299" s="1519"/>
      <c r="S299" s="3"/>
      <c r="T299" s="3" t="s">
        <v>88</v>
      </c>
      <c r="V299" s="3"/>
      <c r="W299" s="3"/>
      <c r="X299" s="3"/>
      <c r="Y299" s="3"/>
      <c r="AA299" s="1539"/>
      <c r="AB299" s="1540"/>
      <c r="AC299" s="1540"/>
      <c r="AD299" s="1540"/>
      <c r="AE299" s="1540"/>
      <c r="AF299" s="1540"/>
      <c r="AG299" s="4" t="s">
        <v>205</v>
      </c>
      <c r="AH299" s="4"/>
      <c r="AI299" s="1519"/>
      <c r="AJ299" s="1519"/>
      <c r="AK299" s="1519"/>
    </row>
    <row r="300" spans="2:37" ht="12.95" customHeight="1">
      <c r="B300" s="3" t="s">
        <v>89</v>
      </c>
      <c r="C300" s="3"/>
      <c r="D300" s="3"/>
      <c r="E300" s="3"/>
      <c r="F300" s="3"/>
      <c r="G300" s="3"/>
      <c r="H300" s="1479"/>
      <c r="I300" s="1479"/>
      <c r="J300" s="1479"/>
      <c r="K300" s="1479"/>
      <c r="L300" s="1479"/>
      <c r="M300" s="1479"/>
      <c r="N300" s="4"/>
      <c r="O300" s="4"/>
      <c r="P300" s="35"/>
      <c r="Q300" s="35"/>
      <c r="R300" s="35"/>
      <c r="S300" s="3"/>
      <c r="T300" s="3" t="s">
        <v>89</v>
      </c>
      <c r="V300" s="3"/>
      <c r="W300" s="3"/>
      <c r="X300" s="3"/>
      <c r="Y300" s="3"/>
      <c r="AA300" s="1479"/>
      <c r="AB300" s="1479"/>
      <c r="AC300" s="1479"/>
      <c r="AD300" s="1479"/>
      <c r="AE300" s="1479"/>
      <c r="AF300" s="1479"/>
      <c r="AG300" s="4"/>
      <c r="AH300" s="4"/>
      <c r="AI300" s="35"/>
      <c r="AJ300" s="35"/>
      <c r="AK300" s="35"/>
    </row>
    <row r="301" spans="2:37" ht="12.95" customHeight="1">
      <c r="B301" s="3" t="s">
        <v>76</v>
      </c>
      <c r="C301" s="3"/>
      <c r="D301" s="3"/>
      <c r="E301" s="3"/>
      <c r="F301" s="3"/>
      <c r="G301" s="3"/>
      <c r="H301" s="1333" t="s">
        <v>2622</v>
      </c>
      <c r="I301" s="1333"/>
      <c r="J301" s="1333"/>
      <c r="K301" s="1333"/>
      <c r="L301" s="1333"/>
      <c r="M301" s="1333"/>
      <c r="N301" s="1344"/>
      <c r="O301" s="1344"/>
      <c r="P301" s="1344"/>
      <c r="Q301" s="1344"/>
      <c r="R301" s="1344"/>
      <c r="S301" s="3"/>
      <c r="T301" s="3" t="s">
        <v>76</v>
      </c>
      <c r="V301" s="3"/>
      <c r="W301" s="3"/>
      <c r="X301" s="3"/>
      <c r="Y301" s="3"/>
      <c r="AA301" s="1333"/>
      <c r="AB301" s="1333"/>
      <c r="AC301" s="1333"/>
      <c r="AD301" s="1333"/>
      <c r="AE301" s="1333"/>
      <c r="AF301" s="1333"/>
      <c r="AG301" s="1344"/>
      <c r="AH301" s="1344"/>
      <c r="AI301" s="1344"/>
      <c r="AJ301" s="1344"/>
      <c r="AK301" s="1344"/>
    </row>
    <row r="302" spans="2:37" ht="12.95" customHeight="1"/>
    <row r="303" spans="2:37" ht="12.95" customHeight="1">
      <c r="B303" s="3" t="s">
        <v>77</v>
      </c>
      <c r="C303" s="3"/>
      <c r="D303" s="3"/>
      <c r="E303" s="3"/>
      <c r="F303" s="3"/>
      <c r="H303" s="1344" t="s">
        <v>2617</v>
      </c>
      <c r="I303" s="1344"/>
      <c r="J303" s="1344"/>
      <c r="K303" s="1344"/>
      <c r="L303" s="1344"/>
      <c r="M303" s="1344"/>
      <c r="N303" s="1344"/>
      <c r="O303" s="1344"/>
      <c r="P303" s="1344"/>
      <c r="Q303" s="1344"/>
      <c r="R303" s="1344"/>
      <c r="T303" s="4" t="s">
        <v>877</v>
      </c>
      <c r="V303" s="3"/>
      <c r="W303" s="3"/>
      <c r="X303" s="3"/>
      <c r="Y303" s="3"/>
      <c r="AA303" s="1344" t="s">
        <v>2702</v>
      </c>
      <c r="AB303" s="1344"/>
      <c r="AC303" s="1344"/>
      <c r="AD303" s="1344"/>
      <c r="AE303" s="1344"/>
      <c r="AF303" s="1344"/>
      <c r="AG303" s="1344"/>
      <c r="AH303" s="1344"/>
      <c r="AI303" s="1344"/>
      <c r="AJ303" s="1344"/>
      <c r="AK303" s="1344"/>
    </row>
    <row r="304" spans="2:37" ht="12.95" customHeight="1">
      <c r="B304" s="3" t="s">
        <v>470</v>
      </c>
      <c r="C304" s="3"/>
      <c r="D304" s="3"/>
      <c r="E304" s="3"/>
      <c r="F304" s="3"/>
      <c r="H304" s="1333" t="s">
        <v>2618</v>
      </c>
      <c r="I304" s="1333"/>
      <c r="J304" s="1333"/>
      <c r="K304" s="1333"/>
      <c r="L304" s="1333"/>
      <c r="M304" s="1333"/>
      <c r="N304" s="1333"/>
      <c r="O304" s="1333"/>
      <c r="P304" s="1333"/>
      <c r="Q304" s="1333"/>
      <c r="R304" s="1333"/>
      <c r="T304" s="3" t="s">
        <v>470</v>
      </c>
      <c r="V304" s="3"/>
      <c r="W304" s="3"/>
      <c r="X304" s="3"/>
      <c r="Y304" s="3"/>
      <c r="AA304" s="1333" t="s">
        <v>2706</v>
      </c>
      <c r="AB304" s="1333"/>
      <c r="AC304" s="1333"/>
      <c r="AD304" s="1333"/>
      <c r="AE304" s="1333"/>
      <c r="AF304" s="1333"/>
      <c r="AG304" s="1333"/>
      <c r="AH304" s="1333"/>
      <c r="AI304" s="1333"/>
      <c r="AJ304" s="1333"/>
      <c r="AK304" s="1333"/>
    </row>
    <row r="305" spans="2:37" ht="12.95" customHeight="1">
      <c r="B305" s="3" t="s">
        <v>471</v>
      </c>
      <c r="C305" s="3"/>
      <c r="D305" s="3"/>
      <c r="E305" s="3"/>
      <c r="F305" s="3"/>
      <c r="H305" s="1333" t="s">
        <v>2643</v>
      </c>
      <c r="I305" s="1333"/>
      <c r="J305" s="1333"/>
      <c r="K305" s="1333"/>
      <c r="L305" s="1333"/>
      <c r="M305" s="1333"/>
      <c r="N305" s="1333"/>
      <c r="O305" s="1333"/>
      <c r="P305" s="1333"/>
      <c r="Q305" s="1333"/>
      <c r="R305" s="1333"/>
      <c r="T305" s="3" t="s">
        <v>75</v>
      </c>
      <c r="V305" s="3"/>
      <c r="W305" s="3"/>
      <c r="X305" s="3"/>
      <c r="Y305" s="3"/>
      <c r="AA305" s="1333" t="s">
        <v>2707</v>
      </c>
      <c r="AB305" s="1333"/>
      <c r="AC305" s="1333"/>
      <c r="AD305" s="1333"/>
      <c r="AE305" s="1333"/>
      <c r="AF305" s="1333"/>
      <c r="AG305" s="1333"/>
      <c r="AH305" s="1333"/>
      <c r="AI305" s="1333"/>
      <c r="AJ305" s="1333"/>
      <c r="AK305" s="1333"/>
    </row>
    <row r="306" spans="2:37" ht="12.95" customHeight="1">
      <c r="B306" s="3" t="s">
        <v>87</v>
      </c>
      <c r="C306" s="3"/>
      <c r="D306" s="3"/>
      <c r="E306" s="3"/>
      <c r="F306" s="3"/>
      <c r="H306" s="1333" t="s">
        <v>2620</v>
      </c>
      <c r="I306" s="1333"/>
      <c r="J306" s="1333"/>
      <c r="K306" s="1333"/>
      <c r="L306" s="1333"/>
      <c r="M306" s="1333"/>
      <c r="N306" s="1333"/>
      <c r="O306" s="1333"/>
      <c r="P306" s="1333"/>
      <c r="Q306" s="1333"/>
      <c r="R306" s="1333"/>
      <c r="T306" s="3" t="s">
        <v>87</v>
      </c>
      <c r="V306" s="3"/>
      <c r="W306" s="3"/>
      <c r="X306" s="3"/>
      <c r="Y306" s="3"/>
      <c r="AA306" s="1333" t="s">
        <v>2703</v>
      </c>
      <c r="AB306" s="1333"/>
      <c r="AC306" s="1333"/>
      <c r="AD306" s="1333"/>
      <c r="AE306" s="1333"/>
      <c r="AF306" s="1333"/>
      <c r="AG306" s="1333"/>
      <c r="AH306" s="1333"/>
      <c r="AI306" s="1333"/>
      <c r="AJ306" s="1333"/>
      <c r="AK306" s="1333"/>
    </row>
    <row r="307" spans="2:37" ht="12.95" customHeight="1">
      <c r="B307" s="3" t="s">
        <v>88</v>
      </c>
      <c r="C307" s="3"/>
      <c r="D307" s="3"/>
      <c r="E307" s="3"/>
      <c r="F307" s="3"/>
      <c r="G307" s="3"/>
      <c r="H307" s="1539" t="s">
        <v>2644</v>
      </c>
      <c r="I307" s="1540"/>
      <c r="J307" s="1540"/>
      <c r="K307" s="1540"/>
      <c r="L307" s="1540"/>
      <c r="M307" s="1540"/>
      <c r="N307" s="4" t="s">
        <v>205</v>
      </c>
      <c r="O307" s="4"/>
      <c r="P307" s="1519"/>
      <c r="Q307" s="1519"/>
      <c r="R307" s="1519"/>
      <c r="S307" s="3"/>
      <c r="T307" s="3" t="s">
        <v>88</v>
      </c>
      <c r="V307" s="3"/>
      <c r="W307" s="3"/>
      <c r="X307" s="3"/>
      <c r="Y307" s="3"/>
      <c r="AA307" s="1540" t="s">
        <v>2704</v>
      </c>
      <c r="AB307" s="1540"/>
      <c r="AC307" s="1540"/>
      <c r="AD307" s="1540"/>
      <c r="AE307" s="1540"/>
      <c r="AF307" s="1540"/>
      <c r="AG307" s="4" t="s">
        <v>205</v>
      </c>
      <c r="AH307" s="4"/>
      <c r="AI307" s="1519"/>
      <c r="AJ307" s="1519"/>
      <c r="AK307" s="1519"/>
    </row>
    <row r="308" spans="2:37" ht="12.95" customHeight="1">
      <c r="B308" s="3" t="s">
        <v>89</v>
      </c>
      <c r="C308" s="3"/>
      <c r="D308" s="3"/>
      <c r="E308" s="3"/>
      <c r="F308" s="3"/>
      <c r="G308" s="3"/>
      <c r="H308" s="1479"/>
      <c r="I308" s="1479"/>
      <c r="J308" s="1479"/>
      <c r="K308" s="1479"/>
      <c r="L308" s="1479"/>
      <c r="M308" s="1479"/>
      <c r="N308" s="4"/>
      <c r="O308" s="4"/>
      <c r="P308" s="35"/>
      <c r="Q308" s="35"/>
      <c r="R308" s="35"/>
      <c r="S308" s="3"/>
      <c r="T308" s="3" t="s">
        <v>89</v>
      </c>
      <c r="V308" s="3"/>
      <c r="W308" s="3"/>
      <c r="X308" s="3"/>
      <c r="Y308" s="3"/>
      <c r="AA308" s="1479"/>
      <c r="AB308" s="1479"/>
      <c r="AC308" s="1479"/>
      <c r="AD308" s="1479"/>
      <c r="AE308" s="1479"/>
      <c r="AF308" s="1479"/>
      <c r="AG308" s="4"/>
      <c r="AH308" s="4"/>
      <c r="AI308" s="35"/>
      <c r="AJ308" s="35"/>
      <c r="AK308" s="35"/>
    </row>
    <row r="309" spans="2:37" ht="12.95" customHeight="1">
      <c r="B309" s="3" t="s">
        <v>76</v>
      </c>
      <c r="C309" s="3"/>
      <c r="D309" s="3"/>
      <c r="E309" s="3"/>
      <c r="F309" s="3"/>
      <c r="G309" s="3"/>
      <c r="H309" s="1333" t="s">
        <v>2622</v>
      </c>
      <c r="I309" s="1333"/>
      <c r="J309" s="1333"/>
      <c r="K309" s="1333"/>
      <c r="L309" s="1333"/>
      <c r="M309" s="1333"/>
      <c r="N309" s="1344"/>
      <c r="O309" s="1344"/>
      <c r="P309" s="1344"/>
      <c r="Q309" s="1344"/>
      <c r="R309" s="1344"/>
      <c r="S309" s="3"/>
      <c r="T309" s="3" t="s">
        <v>76</v>
      </c>
      <c r="V309" s="3"/>
      <c r="W309" s="3"/>
      <c r="X309" s="3"/>
      <c r="Y309" s="3"/>
      <c r="AA309" s="1333" t="s">
        <v>2705</v>
      </c>
      <c r="AB309" s="1333"/>
      <c r="AC309" s="1333"/>
      <c r="AD309" s="1333"/>
      <c r="AE309" s="1333"/>
      <c r="AF309" s="1333"/>
      <c r="AG309" s="1344"/>
      <c r="AH309" s="1344"/>
      <c r="AI309" s="1344"/>
      <c r="AJ309" s="1344"/>
      <c r="AK309" s="1344"/>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906</v>
      </c>
      <c r="C311" s="3"/>
      <c r="D311" s="3"/>
      <c r="E311" s="3"/>
      <c r="F311" s="3"/>
      <c r="H311" s="1344" t="s">
        <v>2645</v>
      </c>
      <c r="I311" s="1344"/>
      <c r="J311" s="1344"/>
      <c r="K311" s="1344"/>
      <c r="L311" s="1344"/>
      <c r="M311" s="1344"/>
      <c r="N311" s="1344"/>
      <c r="O311" s="1344"/>
      <c r="P311" s="1344"/>
      <c r="Q311" s="1344"/>
      <c r="R311" s="1344"/>
      <c r="S311" s="3"/>
      <c r="T311" s="3" t="s">
        <v>364</v>
      </c>
      <c r="V311" s="3"/>
      <c r="W311" s="3"/>
      <c r="X311" s="3"/>
      <c r="Y311" s="3"/>
      <c r="AA311" s="1344" t="s">
        <v>2683</v>
      </c>
      <c r="AB311" s="1344"/>
      <c r="AC311" s="1344"/>
      <c r="AD311" s="1344"/>
      <c r="AE311" s="1344"/>
      <c r="AF311" s="1344"/>
      <c r="AG311" s="1344"/>
      <c r="AH311" s="1344"/>
      <c r="AI311" s="1344"/>
      <c r="AJ311" s="1344"/>
      <c r="AK311" s="1344"/>
    </row>
    <row r="312" spans="2:37" ht="12.95" customHeight="1">
      <c r="B312" s="3" t="s">
        <v>470</v>
      </c>
      <c r="C312" s="3"/>
      <c r="D312" s="3"/>
      <c r="E312" s="3"/>
      <c r="F312" s="3"/>
      <c r="H312" s="1333" t="s">
        <v>2646</v>
      </c>
      <c r="I312" s="1333"/>
      <c r="J312" s="1333"/>
      <c r="K312" s="1333"/>
      <c r="L312" s="1333"/>
      <c r="M312" s="1333"/>
      <c r="N312" s="1333"/>
      <c r="O312" s="1333"/>
      <c r="P312" s="1333"/>
      <c r="Q312" s="1333"/>
      <c r="R312" s="1333"/>
      <c r="S312" s="3"/>
      <c r="T312" s="3" t="s">
        <v>470</v>
      </c>
      <c r="V312" s="3"/>
      <c r="W312" s="3"/>
      <c r="X312" s="3"/>
      <c r="Y312" s="3"/>
      <c r="AA312" s="1333" t="s">
        <v>2684</v>
      </c>
      <c r="AB312" s="1333"/>
      <c r="AC312" s="1333"/>
      <c r="AD312" s="1333"/>
      <c r="AE312" s="1333"/>
      <c r="AF312" s="1333"/>
      <c r="AG312" s="1333"/>
      <c r="AH312" s="1333"/>
      <c r="AI312" s="1333"/>
      <c r="AJ312" s="1333"/>
      <c r="AK312" s="1333"/>
    </row>
    <row r="313" spans="2:37" ht="12.95" customHeight="1">
      <c r="B313" s="3" t="s">
        <v>471</v>
      </c>
      <c r="C313" s="3"/>
      <c r="D313" s="3"/>
      <c r="E313" s="3"/>
      <c r="F313" s="3"/>
      <c r="H313" s="1333" t="s">
        <v>2647</v>
      </c>
      <c r="I313" s="1333"/>
      <c r="J313" s="1333"/>
      <c r="K313" s="1333"/>
      <c r="L313" s="1333"/>
      <c r="M313" s="1333"/>
      <c r="N313" s="1333"/>
      <c r="O313" s="1333"/>
      <c r="P313" s="1333"/>
      <c r="Q313" s="1333"/>
      <c r="R313" s="1333"/>
      <c r="S313" s="3"/>
      <c r="T313" s="3" t="s">
        <v>75</v>
      </c>
      <c r="V313" s="3"/>
      <c r="W313" s="3"/>
      <c r="X313" s="3"/>
      <c r="Y313" s="3"/>
      <c r="AA313" s="1333" t="s">
        <v>2685</v>
      </c>
      <c r="AB313" s="1333"/>
      <c r="AC313" s="1333"/>
      <c r="AD313" s="1333"/>
      <c r="AE313" s="1333"/>
      <c r="AF313" s="1333"/>
      <c r="AG313" s="1333"/>
      <c r="AH313" s="1333"/>
      <c r="AI313" s="1333"/>
      <c r="AJ313" s="1333"/>
      <c r="AK313" s="1333"/>
    </row>
    <row r="314" spans="2:37" ht="12.95" customHeight="1">
      <c r="B314" s="3" t="s">
        <v>87</v>
      </c>
      <c r="C314" s="3"/>
      <c r="D314" s="3"/>
      <c r="E314" s="3"/>
      <c r="F314" s="3"/>
      <c r="H314" s="1333" t="s">
        <v>2648</v>
      </c>
      <c r="I314" s="1333"/>
      <c r="J314" s="1333"/>
      <c r="K314" s="1333"/>
      <c r="L314" s="1333"/>
      <c r="M314" s="1333"/>
      <c r="N314" s="1333"/>
      <c r="O314" s="1333"/>
      <c r="P314" s="1333"/>
      <c r="Q314" s="1333"/>
      <c r="R314" s="1333"/>
      <c r="S314" s="3"/>
      <c r="T314" s="3" t="s">
        <v>87</v>
      </c>
      <c r="V314" s="3"/>
      <c r="W314" s="3"/>
      <c r="X314" s="3"/>
      <c r="Y314" s="3"/>
      <c r="AA314" s="1333" t="s">
        <v>2686</v>
      </c>
      <c r="AB314" s="1333"/>
      <c r="AC314" s="1333"/>
      <c r="AD314" s="1333"/>
      <c r="AE314" s="1333"/>
      <c r="AF314" s="1333"/>
      <c r="AG314" s="1333"/>
      <c r="AH314" s="1333"/>
      <c r="AI314" s="1333"/>
      <c r="AJ314" s="1333"/>
      <c r="AK314" s="1333"/>
    </row>
    <row r="315" spans="2:37" ht="12.95" customHeight="1">
      <c r="B315" s="3" t="s">
        <v>88</v>
      </c>
      <c r="C315" s="3"/>
      <c r="D315" s="3"/>
      <c r="E315" s="3"/>
      <c r="F315" s="3"/>
      <c r="G315" s="3"/>
      <c r="H315" s="1539" t="s">
        <v>2649</v>
      </c>
      <c r="I315" s="1540"/>
      <c r="J315" s="1540"/>
      <c r="K315" s="1540"/>
      <c r="L315" s="1540"/>
      <c r="M315" s="1540"/>
      <c r="N315" s="4" t="s">
        <v>205</v>
      </c>
      <c r="O315" s="4"/>
      <c r="P315" s="1519"/>
      <c r="Q315" s="1519"/>
      <c r="R315" s="1519"/>
      <c r="S315" s="3"/>
      <c r="T315" s="3" t="s">
        <v>88</v>
      </c>
      <c r="V315" s="3"/>
      <c r="W315" s="3"/>
      <c r="X315" s="3"/>
      <c r="Y315" s="3"/>
      <c r="AA315" s="1539" t="s">
        <v>2687</v>
      </c>
      <c r="AB315" s="1540"/>
      <c r="AC315" s="1540"/>
      <c r="AD315" s="1540"/>
      <c r="AE315" s="1540"/>
      <c r="AF315" s="1540"/>
      <c r="AG315" s="4" t="s">
        <v>205</v>
      </c>
      <c r="AH315" s="4"/>
      <c r="AI315" s="1519"/>
      <c r="AJ315" s="1519"/>
      <c r="AK315" s="1519"/>
    </row>
    <row r="316" spans="2:37" ht="12.95" customHeight="1">
      <c r="B316" s="3" t="s">
        <v>89</v>
      </c>
      <c r="C316" s="3"/>
      <c r="D316" s="3"/>
      <c r="E316" s="3"/>
      <c r="F316" s="3"/>
      <c r="G316" s="3"/>
      <c r="H316" s="1479"/>
      <c r="I316" s="1479"/>
      <c r="J316" s="1479"/>
      <c r="K316" s="1479"/>
      <c r="L316" s="1479"/>
      <c r="M316" s="1479"/>
      <c r="N316" s="4"/>
      <c r="O316" s="4"/>
      <c r="P316" s="35"/>
      <c r="Q316" s="35"/>
      <c r="R316" s="35"/>
      <c r="S316" s="3"/>
      <c r="T316" s="3" t="s">
        <v>89</v>
      </c>
      <c r="V316" s="3"/>
      <c r="W316" s="3"/>
      <c r="X316" s="3"/>
      <c r="Y316" s="3"/>
      <c r="AA316" s="1479"/>
      <c r="AB316" s="1479"/>
      <c r="AC316" s="1479"/>
      <c r="AD316" s="1479"/>
      <c r="AE316" s="1479"/>
      <c r="AF316" s="1479"/>
      <c r="AG316" s="4"/>
      <c r="AH316" s="4"/>
      <c r="AI316" s="35"/>
      <c r="AJ316" s="35"/>
      <c r="AK316" s="35"/>
    </row>
    <row r="317" spans="2:37" ht="12.95" customHeight="1">
      <c r="B317" s="3" t="s">
        <v>76</v>
      </c>
      <c r="C317" s="3"/>
      <c r="D317" s="3"/>
      <c r="E317" s="3"/>
      <c r="F317" s="3"/>
      <c r="G317" s="3"/>
      <c r="H317" s="1333" t="s">
        <v>2650</v>
      </c>
      <c r="I317" s="1333"/>
      <c r="J317" s="1333"/>
      <c r="K317" s="1333"/>
      <c r="L317" s="1333"/>
      <c r="M317" s="1333"/>
      <c r="N317" s="1344"/>
      <c r="O317" s="1344"/>
      <c r="P317" s="1344"/>
      <c r="Q317" s="1344"/>
      <c r="R317" s="1344"/>
      <c r="S317" s="3"/>
      <c r="T317" s="3" t="s">
        <v>76</v>
      </c>
      <c r="V317" s="3"/>
      <c r="W317" s="3"/>
      <c r="X317" s="3"/>
      <c r="Y317" s="3"/>
      <c r="AA317" s="1333" t="s">
        <v>2688</v>
      </c>
      <c r="AB317" s="1333"/>
      <c r="AC317" s="1333"/>
      <c r="AD317" s="1333"/>
      <c r="AE317" s="1333"/>
      <c r="AF317" s="1333"/>
      <c r="AG317" s="1344"/>
      <c r="AH317" s="1344"/>
      <c r="AI317" s="1344"/>
      <c r="AJ317" s="1344"/>
      <c r="AK317" s="1344"/>
    </row>
    <row r="318" spans="2:37" ht="12.95" customHeight="1"/>
    <row r="319" spans="2:37" ht="12.95" customHeight="1">
      <c r="B319" s="4" t="s">
        <v>907</v>
      </c>
      <c r="C319" s="3"/>
      <c r="D319" s="3"/>
      <c r="E319" s="3"/>
      <c r="F319" s="3"/>
      <c r="H319" s="1344" t="s">
        <v>2617</v>
      </c>
      <c r="I319" s="1344"/>
      <c r="J319" s="1344"/>
      <c r="K319" s="1344"/>
      <c r="L319" s="1344"/>
      <c r="M319" s="1344"/>
      <c r="N319" s="1344"/>
      <c r="O319" s="1344"/>
      <c r="P319" s="1344"/>
      <c r="Q319" s="1344"/>
      <c r="R319" s="1344"/>
      <c r="T319" s="3" t="s">
        <v>365</v>
      </c>
      <c r="V319" s="3"/>
      <c r="W319" s="3"/>
      <c r="X319" s="3"/>
      <c r="Y319" s="3"/>
      <c r="AA319" s="1344" t="s">
        <v>2689</v>
      </c>
      <c r="AB319" s="1344"/>
      <c r="AC319" s="1344"/>
      <c r="AD319" s="1344"/>
      <c r="AE319" s="1344"/>
      <c r="AF319" s="1344"/>
      <c r="AG319" s="1344"/>
      <c r="AH319" s="1344"/>
      <c r="AI319" s="1344"/>
      <c r="AJ319" s="1344"/>
      <c r="AK319" s="1344"/>
    </row>
    <row r="320" spans="2:37" ht="12.95" customHeight="1">
      <c r="B320" s="3" t="s">
        <v>470</v>
      </c>
      <c r="C320" s="3"/>
      <c r="D320" s="3"/>
      <c r="E320" s="3"/>
      <c r="F320" s="3"/>
      <c r="H320" s="1333" t="s">
        <v>2618</v>
      </c>
      <c r="I320" s="1333"/>
      <c r="J320" s="1333"/>
      <c r="K320" s="1333"/>
      <c r="L320" s="1333"/>
      <c r="M320" s="1333"/>
      <c r="N320" s="1333"/>
      <c r="O320" s="1333"/>
      <c r="P320" s="1333"/>
      <c r="Q320" s="1333"/>
      <c r="R320" s="1333"/>
      <c r="T320" s="3" t="s">
        <v>470</v>
      </c>
      <c r="V320" s="3"/>
      <c r="W320" s="3"/>
      <c r="X320" s="3"/>
      <c r="Y320" s="3"/>
      <c r="AA320" s="1333" t="s">
        <v>2690</v>
      </c>
      <c r="AB320" s="1333"/>
      <c r="AC320" s="1333"/>
      <c r="AD320" s="1333"/>
      <c r="AE320" s="1333"/>
      <c r="AF320" s="1333"/>
      <c r="AG320" s="1333"/>
      <c r="AH320" s="1333"/>
      <c r="AI320" s="1333"/>
      <c r="AJ320" s="1333"/>
      <c r="AK320" s="1333"/>
    </row>
    <row r="321" spans="2:37" ht="12.95" customHeight="1">
      <c r="B321" s="3" t="s">
        <v>471</v>
      </c>
      <c r="C321" s="3"/>
      <c r="D321" s="3"/>
      <c r="E321" s="3"/>
      <c r="F321" s="3"/>
      <c r="H321" s="1333" t="s">
        <v>2643</v>
      </c>
      <c r="I321" s="1333"/>
      <c r="J321" s="1333"/>
      <c r="K321" s="1333"/>
      <c r="L321" s="1333"/>
      <c r="M321" s="1333"/>
      <c r="N321" s="1333"/>
      <c r="O321" s="1333"/>
      <c r="P321" s="1333"/>
      <c r="Q321" s="1333"/>
      <c r="R321" s="1333"/>
      <c r="T321" s="3" t="s">
        <v>75</v>
      </c>
      <c r="V321" s="3"/>
      <c r="W321" s="3"/>
      <c r="X321" s="3"/>
      <c r="Y321" s="3"/>
      <c r="AA321" s="1333" t="s">
        <v>2691</v>
      </c>
      <c r="AB321" s="1333"/>
      <c r="AC321" s="1333"/>
      <c r="AD321" s="1333"/>
      <c r="AE321" s="1333"/>
      <c r="AF321" s="1333"/>
      <c r="AG321" s="1333"/>
      <c r="AH321" s="1333"/>
      <c r="AI321" s="1333"/>
      <c r="AJ321" s="1333"/>
      <c r="AK321" s="1333"/>
    </row>
    <row r="322" spans="2:37" ht="12.95" customHeight="1">
      <c r="B322" s="3" t="s">
        <v>87</v>
      </c>
      <c r="C322" s="3"/>
      <c r="D322" s="3"/>
      <c r="E322" s="3"/>
      <c r="F322" s="3"/>
      <c r="H322" s="1333" t="s">
        <v>2620</v>
      </c>
      <c r="I322" s="1333"/>
      <c r="J322" s="1333"/>
      <c r="K322" s="1333"/>
      <c r="L322" s="1333"/>
      <c r="M322" s="1333"/>
      <c r="N322" s="1333"/>
      <c r="O322" s="1333"/>
      <c r="P322" s="1333"/>
      <c r="Q322" s="1333"/>
      <c r="R322" s="1333"/>
      <c r="T322" s="3" t="s">
        <v>87</v>
      </c>
      <c r="V322" s="3"/>
      <c r="W322" s="3"/>
      <c r="X322" s="3"/>
      <c r="Y322" s="3"/>
      <c r="AA322" s="1333" t="s">
        <v>2692</v>
      </c>
      <c r="AB322" s="1333"/>
      <c r="AC322" s="1333"/>
      <c r="AD322" s="1333"/>
      <c r="AE322" s="1333"/>
      <c r="AF322" s="1333"/>
      <c r="AG322" s="1333"/>
      <c r="AH322" s="1333"/>
      <c r="AI322" s="1333"/>
      <c r="AJ322" s="1333"/>
      <c r="AK322" s="1333"/>
    </row>
    <row r="323" spans="2:37" ht="12.95" customHeight="1">
      <c r="B323" s="3" t="s">
        <v>88</v>
      </c>
      <c r="C323" s="3"/>
      <c r="D323" s="3"/>
      <c r="E323" s="3"/>
      <c r="F323" s="3"/>
      <c r="G323" s="3"/>
      <c r="H323" s="1539" t="s">
        <v>2644</v>
      </c>
      <c r="I323" s="1540"/>
      <c r="J323" s="1540"/>
      <c r="K323" s="1540"/>
      <c r="L323" s="1540"/>
      <c r="M323" s="1540"/>
      <c r="N323" s="4" t="s">
        <v>205</v>
      </c>
      <c r="O323" s="4"/>
      <c r="P323" s="1519"/>
      <c r="Q323" s="1519"/>
      <c r="R323" s="1519"/>
      <c r="S323" s="3"/>
      <c r="T323" s="3" t="s">
        <v>88</v>
      </c>
      <c r="V323" s="3"/>
      <c r="W323" s="3"/>
      <c r="X323" s="3"/>
      <c r="Y323" s="3"/>
      <c r="AA323" s="1539" t="s">
        <v>2693</v>
      </c>
      <c r="AB323" s="1540"/>
      <c r="AC323" s="1540"/>
      <c r="AD323" s="1540"/>
      <c r="AE323" s="1540"/>
      <c r="AF323" s="1540"/>
      <c r="AG323" s="4" t="s">
        <v>205</v>
      </c>
      <c r="AH323" s="4"/>
      <c r="AI323" s="1519"/>
      <c r="AJ323" s="1519"/>
      <c r="AK323" s="1519"/>
    </row>
    <row r="324" spans="2:37" ht="12.95" customHeight="1">
      <c r="B324" s="3" t="s">
        <v>89</v>
      </c>
      <c r="C324" s="3"/>
      <c r="D324" s="3"/>
      <c r="E324" s="3"/>
      <c r="F324" s="3"/>
      <c r="G324" s="3"/>
      <c r="H324" s="1479"/>
      <c r="I324" s="1479"/>
      <c r="J324" s="1479"/>
      <c r="K324" s="1479"/>
      <c r="L324" s="1479"/>
      <c r="M324" s="1479"/>
      <c r="N324" s="4"/>
      <c r="O324" s="4"/>
      <c r="P324" s="35"/>
      <c r="Q324" s="35"/>
      <c r="R324" s="35"/>
      <c r="S324" s="3"/>
      <c r="T324" s="3" t="s">
        <v>89</v>
      </c>
      <c r="V324" s="3"/>
      <c r="W324" s="3"/>
      <c r="X324" s="3"/>
      <c r="Y324" s="3"/>
      <c r="AA324" s="1479"/>
      <c r="AB324" s="1479"/>
      <c r="AC324" s="1479"/>
      <c r="AD324" s="1479"/>
      <c r="AE324" s="1479"/>
      <c r="AF324" s="1479"/>
      <c r="AG324" s="4"/>
      <c r="AH324" s="4"/>
      <c r="AI324" s="35"/>
      <c r="AJ324" s="35"/>
      <c r="AK324" s="35"/>
    </row>
    <row r="325" spans="2:37" ht="12.95" customHeight="1">
      <c r="B325" s="3" t="s">
        <v>76</v>
      </c>
      <c r="C325" s="3"/>
      <c r="D325" s="3"/>
      <c r="E325" s="3"/>
      <c r="F325" s="3"/>
      <c r="G325" s="3"/>
      <c r="H325" s="1333" t="s">
        <v>2622</v>
      </c>
      <c r="I325" s="1333"/>
      <c r="J325" s="1333"/>
      <c r="K325" s="1333"/>
      <c r="L325" s="1333"/>
      <c r="M325" s="1333"/>
      <c r="N325" s="1344"/>
      <c r="O325" s="1344"/>
      <c r="P325" s="1344"/>
      <c r="Q325" s="1344"/>
      <c r="R325" s="1344"/>
      <c r="S325" s="3"/>
      <c r="T325" s="3" t="s">
        <v>76</v>
      </c>
      <c r="V325" s="3"/>
      <c r="W325" s="3"/>
      <c r="X325" s="3"/>
      <c r="Y325" s="3"/>
      <c r="AA325" s="1333" t="s">
        <v>2694</v>
      </c>
      <c r="AB325" s="1333"/>
      <c r="AC325" s="1333"/>
      <c r="AD325" s="1333"/>
      <c r="AE325" s="1333"/>
      <c r="AF325" s="1333"/>
      <c r="AG325" s="1344"/>
      <c r="AH325" s="1344"/>
      <c r="AI325" s="1344"/>
      <c r="AJ325" s="1344"/>
      <c r="AK325" s="1344"/>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366</v>
      </c>
      <c r="C327" s="3"/>
      <c r="D327" s="3"/>
      <c r="E327" s="3"/>
      <c r="F327" s="3"/>
      <c r="H327" s="1344" t="s">
        <v>590</v>
      </c>
      <c r="I327" s="1344"/>
      <c r="J327" s="1344"/>
      <c r="K327" s="1344"/>
      <c r="L327" s="1344"/>
      <c r="M327" s="1344"/>
      <c r="N327" s="1344"/>
      <c r="O327" s="1344"/>
      <c r="P327" s="1344"/>
      <c r="Q327" s="1344"/>
      <c r="R327" s="1344"/>
      <c r="T327" s="3" t="s">
        <v>367</v>
      </c>
      <c r="V327" s="3"/>
      <c r="W327" s="3"/>
      <c r="X327" s="3"/>
      <c r="Y327" s="3"/>
      <c r="AA327" s="1344" t="s">
        <v>590</v>
      </c>
      <c r="AB327" s="1344"/>
      <c r="AC327" s="1344"/>
      <c r="AD327" s="1344"/>
      <c r="AE327" s="1344"/>
      <c r="AF327" s="1344"/>
      <c r="AG327" s="1344"/>
      <c r="AH327" s="1344"/>
      <c r="AI327" s="1344"/>
      <c r="AJ327" s="1344"/>
      <c r="AK327" s="1344"/>
    </row>
    <row r="328" spans="2:37" ht="12.95" customHeight="1">
      <c r="B328" s="3" t="s">
        <v>470</v>
      </c>
      <c r="C328" s="3"/>
      <c r="D328" s="3"/>
      <c r="E328" s="3"/>
      <c r="F328" s="3"/>
      <c r="H328" s="1333"/>
      <c r="I328" s="1333"/>
      <c r="J328" s="1333"/>
      <c r="K328" s="1333"/>
      <c r="L328" s="1333"/>
      <c r="M328" s="1333"/>
      <c r="N328" s="1333"/>
      <c r="O328" s="1333"/>
      <c r="P328" s="1333"/>
      <c r="Q328" s="1333"/>
      <c r="R328" s="1333"/>
      <c r="T328" s="3" t="s">
        <v>470</v>
      </c>
      <c r="V328" s="3"/>
      <c r="W328" s="3"/>
      <c r="X328" s="3"/>
      <c r="Y328" s="3"/>
      <c r="AA328" s="1333"/>
      <c r="AB328" s="1333"/>
      <c r="AC328" s="1333"/>
      <c r="AD328" s="1333"/>
      <c r="AE328" s="1333"/>
      <c r="AF328" s="1333"/>
      <c r="AG328" s="1333"/>
      <c r="AH328" s="1333"/>
      <c r="AI328" s="1333"/>
      <c r="AJ328" s="1333"/>
      <c r="AK328" s="1333"/>
    </row>
    <row r="329" spans="2:37" ht="12.95" customHeight="1">
      <c r="B329" s="3" t="s">
        <v>471</v>
      </c>
      <c r="C329" s="3"/>
      <c r="D329" s="3"/>
      <c r="E329" s="3"/>
      <c r="F329" s="3"/>
      <c r="H329" s="1333"/>
      <c r="I329" s="1333"/>
      <c r="J329" s="1333"/>
      <c r="K329" s="1333"/>
      <c r="L329" s="1333"/>
      <c r="M329" s="1333"/>
      <c r="N329" s="1333"/>
      <c r="O329" s="1333"/>
      <c r="P329" s="1333"/>
      <c r="Q329" s="1333"/>
      <c r="R329" s="1333"/>
      <c r="T329" s="3" t="s">
        <v>75</v>
      </c>
      <c r="V329" s="3"/>
      <c r="W329" s="3"/>
      <c r="X329" s="3"/>
      <c r="Y329" s="3"/>
      <c r="AA329" s="1333"/>
      <c r="AB329" s="1333"/>
      <c r="AC329" s="1333"/>
      <c r="AD329" s="1333"/>
      <c r="AE329" s="1333"/>
      <c r="AF329" s="1333"/>
      <c r="AG329" s="1333"/>
      <c r="AH329" s="1333"/>
      <c r="AI329" s="1333"/>
      <c r="AJ329" s="1333"/>
      <c r="AK329" s="1333"/>
    </row>
    <row r="330" spans="2:37" ht="12.95" customHeight="1">
      <c r="B330" s="3" t="s">
        <v>87</v>
      </c>
      <c r="C330" s="3"/>
      <c r="D330" s="3"/>
      <c r="E330" s="3"/>
      <c r="F330" s="3"/>
      <c r="H330" s="1333"/>
      <c r="I330" s="1333"/>
      <c r="J330" s="1333"/>
      <c r="K330" s="1333"/>
      <c r="L330" s="1333"/>
      <c r="M330" s="1333"/>
      <c r="N330" s="1333"/>
      <c r="O330" s="1333"/>
      <c r="P330" s="1333"/>
      <c r="Q330" s="1333"/>
      <c r="R330" s="1333"/>
      <c r="T330" s="3" t="s">
        <v>87</v>
      </c>
      <c r="V330" s="3"/>
      <c r="W330" s="3"/>
      <c r="X330" s="3"/>
      <c r="Y330" s="3"/>
      <c r="AA330" s="1333"/>
      <c r="AB330" s="1333"/>
      <c r="AC330" s="1333"/>
      <c r="AD330" s="1333"/>
      <c r="AE330" s="1333"/>
      <c r="AF330" s="1333"/>
      <c r="AG330" s="1333"/>
      <c r="AH330" s="1333"/>
      <c r="AI330" s="1333"/>
      <c r="AJ330" s="1333"/>
      <c r="AK330" s="1333"/>
    </row>
    <row r="331" spans="2:37" ht="12.95" customHeight="1">
      <c r="B331" s="3" t="s">
        <v>88</v>
      </c>
      <c r="C331" s="3"/>
      <c r="D331" s="3"/>
      <c r="E331" s="3"/>
      <c r="F331" s="3"/>
      <c r="G331" s="3"/>
      <c r="H331" s="1540"/>
      <c r="I331" s="1540"/>
      <c r="J331" s="1540"/>
      <c r="K331" s="1540"/>
      <c r="L331" s="1540"/>
      <c r="M331" s="1540"/>
      <c r="N331" s="4" t="s">
        <v>205</v>
      </c>
      <c r="O331" s="4"/>
      <c r="P331" s="1519"/>
      <c r="Q331" s="1519"/>
      <c r="R331" s="1519"/>
      <c r="S331" s="3"/>
      <c r="T331" s="3" t="s">
        <v>88</v>
      </c>
      <c r="V331" s="3"/>
      <c r="W331" s="3"/>
      <c r="X331" s="3"/>
      <c r="Y331" s="3"/>
      <c r="AA331" s="1540"/>
      <c r="AB331" s="1540"/>
      <c r="AC331" s="1540"/>
      <c r="AD331" s="1540"/>
      <c r="AE331" s="1540"/>
      <c r="AF331" s="1540"/>
      <c r="AG331" s="4" t="s">
        <v>205</v>
      </c>
      <c r="AH331" s="4"/>
      <c r="AI331" s="1519"/>
      <c r="AJ331" s="1519"/>
      <c r="AK331" s="1519"/>
    </row>
    <row r="332" spans="2:37" ht="12.95" customHeight="1">
      <c r="B332" s="3" t="s">
        <v>89</v>
      </c>
      <c r="C332" s="3"/>
      <c r="D332" s="3"/>
      <c r="E332" s="3"/>
      <c r="F332" s="3"/>
      <c r="G332" s="3"/>
      <c r="H332" s="1479"/>
      <c r="I332" s="1479"/>
      <c r="J332" s="1479"/>
      <c r="K332" s="1479"/>
      <c r="L332" s="1479"/>
      <c r="M332" s="1479"/>
      <c r="N332" s="4"/>
      <c r="O332" s="4"/>
      <c r="P332" s="35"/>
      <c r="Q332" s="35"/>
      <c r="R332" s="35"/>
      <c r="S332" s="3"/>
      <c r="T332" s="3" t="s">
        <v>89</v>
      </c>
      <c r="V332" s="3"/>
      <c r="W332" s="3"/>
      <c r="X332" s="3"/>
      <c r="Y332" s="3"/>
      <c r="AA332" s="1479"/>
      <c r="AB332" s="1479"/>
      <c r="AC332" s="1479"/>
      <c r="AD332" s="1479"/>
      <c r="AE332" s="1479"/>
      <c r="AF332" s="1479"/>
      <c r="AG332" s="4"/>
      <c r="AH332" s="4"/>
      <c r="AI332" s="35"/>
      <c r="AJ332" s="35"/>
      <c r="AK332" s="35"/>
    </row>
    <row r="333" spans="2:37" ht="12.95" customHeight="1">
      <c r="B333" s="3" t="s">
        <v>76</v>
      </c>
      <c r="C333" s="3"/>
      <c r="D333" s="3"/>
      <c r="E333" s="3"/>
      <c r="F333" s="3"/>
      <c r="G333" s="3"/>
      <c r="H333" s="1333"/>
      <c r="I333" s="1333"/>
      <c r="J333" s="1333"/>
      <c r="K333" s="1333"/>
      <c r="L333" s="1333"/>
      <c r="M333" s="1333"/>
      <c r="N333" s="1344"/>
      <c r="O333" s="1344"/>
      <c r="P333" s="1344"/>
      <c r="Q333" s="1344"/>
      <c r="R333" s="1344"/>
      <c r="S333" s="3"/>
      <c r="T333" s="3" t="s">
        <v>76</v>
      </c>
      <c r="V333" s="3"/>
      <c r="W333" s="3"/>
      <c r="X333" s="3"/>
      <c r="Y333" s="3"/>
      <c r="AA333" s="1333"/>
      <c r="AB333" s="1333"/>
      <c r="AC333" s="1333"/>
      <c r="AD333" s="1333"/>
      <c r="AE333" s="1333"/>
      <c r="AF333" s="1333"/>
      <c r="AG333" s="1344"/>
      <c r="AH333" s="1344"/>
      <c r="AI333" s="1344"/>
      <c r="AJ333" s="1344"/>
      <c r="AK333" s="1344"/>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328</v>
      </c>
      <c r="C335" s="3"/>
      <c r="D335" s="3"/>
      <c r="E335" s="3"/>
      <c r="F335" s="3"/>
      <c r="H335" s="1344" t="s">
        <v>2695</v>
      </c>
      <c r="I335" s="1344"/>
      <c r="J335" s="1344"/>
      <c r="K335" s="1344"/>
      <c r="L335" s="1344"/>
      <c r="M335" s="1344"/>
      <c r="N335" s="1344"/>
      <c r="O335" s="1344"/>
      <c r="P335" s="1344"/>
      <c r="Q335" s="1344"/>
      <c r="R335" s="1344"/>
      <c r="T335" s="204" t="s">
        <v>885</v>
      </c>
      <c r="V335" s="3"/>
      <c r="W335" s="3"/>
      <c r="X335" s="3"/>
      <c r="Y335" s="3"/>
      <c r="AA335" s="1344" t="s">
        <v>2666</v>
      </c>
      <c r="AB335" s="1344"/>
      <c r="AC335" s="1344"/>
      <c r="AD335" s="1344"/>
      <c r="AE335" s="1344"/>
      <c r="AF335" s="1344"/>
      <c r="AG335" s="1344"/>
      <c r="AH335" s="1344"/>
      <c r="AI335" s="1344"/>
      <c r="AJ335" s="1344"/>
      <c r="AK335" s="1344"/>
    </row>
    <row r="336" spans="2:37" ht="12.95" customHeight="1">
      <c r="B336" s="3" t="s">
        <v>470</v>
      </c>
      <c r="C336" s="3"/>
      <c r="D336" s="3"/>
      <c r="E336" s="3"/>
      <c r="F336" s="3"/>
      <c r="H336" s="1333" t="s">
        <v>2696</v>
      </c>
      <c r="I336" s="1333"/>
      <c r="J336" s="1333"/>
      <c r="K336" s="1333"/>
      <c r="L336" s="1333"/>
      <c r="M336" s="1333"/>
      <c r="N336" s="1333"/>
      <c r="O336" s="1333"/>
      <c r="P336" s="1333"/>
      <c r="Q336" s="1333"/>
      <c r="R336" s="1333"/>
      <c r="T336" s="3" t="s">
        <v>470</v>
      </c>
      <c r="V336" s="3"/>
      <c r="W336" s="3"/>
      <c r="X336" s="3"/>
      <c r="Y336" s="3"/>
      <c r="AA336" s="1333" t="s">
        <v>2667</v>
      </c>
      <c r="AB336" s="1333"/>
      <c r="AC336" s="1333"/>
      <c r="AD336" s="1333"/>
      <c r="AE336" s="1333"/>
      <c r="AF336" s="1333"/>
      <c r="AG336" s="1333"/>
      <c r="AH336" s="1333"/>
      <c r="AI336" s="1333"/>
      <c r="AJ336" s="1333"/>
      <c r="AK336" s="1333"/>
    </row>
    <row r="337" spans="1:66" ht="12.95" customHeight="1">
      <c r="B337" s="3" t="s">
        <v>75</v>
      </c>
      <c r="C337" s="3"/>
      <c r="D337" s="3"/>
      <c r="E337" s="3"/>
      <c r="F337" s="3"/>
      <c r="H337" s="1333" t="s">
        <v>2697</v>
      </c>
      <c r="I337" s="1333"/>
      <c r="J337" s="1333"/>
      <c r="K337" s="1333"/>
      <c r="L337" s="1333"/>
      <c r="M337" s="1333"/>
      <c r="N337" s="1333"/>
      <c r="O337" s="1333"/>
      <c r="P337" s="1333"/>
      <c r="Q337" s="1333"/>
      <c r="R337" s="1333"/>
      <c r="T337" s="3" t="s">
        <v>75</v>
      </c>
      <c r="V337" s="3"/>
      <c r="W337" s="3"/>
      <c r="X337" s="3"/>
      <c r="Y337" s="3"/>
      <c r="AA337" s="1333" t="s">
        <v>2668</v>
      </c>
      <c r="AB337" s="1333"/>
      <c r="AC337" s="1333"/>
      <c r="AD337" s="1333"/>
      <c r="AE337" s="1333"/>
      <c r="AF337" s="1333"/>
      <c r="AG337" s="1333"/>
      <c r="AH337" s="1333"/>
      <c r="AI337" s="1333"/>
      <c r="AJ337" s="1333"/>
      <c r="AK337" s="1333"/>
    </row>
    <row r="338" spans="1:66" ht="12.95" customHeight="1">
      <c r="B338" s="3" t="s">
        <v>87</v>
      </c>
      <c r="C338" s="3"/>
      <c r="D338" s="3"/>
      <c r="E338" s="3"/>
      <c r="F338" s="3"/>
      <c r="G338" s="3"/>
      <c r="H338" s="1333" t="s">
        <v>2698</v>
      </c>
      <c r="I338" s="1333"/>
      <c r="J338" s="1333"/>
      <c r="K338" s="1333"/>
      <c r="L338" s="1333"/>
      <c r="M338" s="1333"/>
      <c r="N338" s="1333"/>
      <c r="O338" s="1333"/>
      <c r="P338" s="1333"/>
      <c r="Q338" s="1333"/>
      <c r="R338" s="1333"/>
      <c r="T338" s="3" t="s">
        <v>87</v>
      </c>
      <c r="V338" s="3"/>
      <c r="W338" s="3"/>
      <c r="X338" s="3"/>
      <c r="Y338" s="3"/>
      <c r="AA338" s="1333" t="s">
        <v>2669</v>
      </c>
      <c r="AB338" s="1333"/>
      <c r="AC338" s="1333"/>
      <c r="AD338" s="1333"/>
      <c r="AE338" s="1333"/>
      <c r="AF338" s="1333"/>
      <c r="AG338" s="1333"/>
      <c r="AH338" s="1333"/>
      <c r="AI338" s="1333"/>
      <c r="AJ338" s="1333"/>
      <c r="AK338" s="1333"/>
    </row>
    <row r="339" spans="1:66" ht="12.95" customHeight="1">
      <c r="B339" s="3" t="s">
        <v>88</v>
      </c>
      <c r="C339" s="3"/>
      <c r="D339" s="3"/>
      <c r="E339" s="3"/>
      <c r="F339" s="3"/>
      <c r="G339" s="3"/>
      <c r="H339" s="1539" t="s">
        <v>2699</v>
      </c>
      <c r="I339" s="1540"/>
      <c r="J339" s="1540"/>
      <c r="K339" s="1540"/>
      <c r="L339" s="1540"/>
      <c r="M339" s="1540"/>
      <c r="N339" s="4" t="s">
        <v>205</v>
      </c>
      <c r="O339" s="4"/>
      <c r="P339" s="1519"/>
      <c r="Q339" s="1519"/>
      <c r="R339" s="1519"/>
      <c r="S339" s="3"/>
      <c r="T339" s="3" t="s">
        <v>88</v>
      </c>
      <c r="V339" s="3"/>
      <c r="W339" s="3"/>
      <c r="X339" s="3"/>
      <c r="Y339" s="3"/>
      <c r="AA339" s="1539" t="s">
        <v>2670</v>
      </c>
      <c r="AB339" s="1540"/>
      <c r="AC339" s="1540"/>
      <c r="AD339" s="1540"/>
      <c r="AE339" s="1540"/>
      <c r="AF339" s="1540"/>
      <c r="AG339" s="4" t="s">
        <v>205</v>
      </c>
      <c r="AH339" s="4"/>
      <c r="AI339" s="1519"/>
      <c r="AJ339" s="1519"/>
      <c r="AK339" s="1519"/>
    </row>
    <row r="340" spans="1:66" ht="12.95" customHeight="1">
      <c r="B340" s="3" t="s">
        <v>89</v>
      </c>
      <c r="C340" s="3"/>
      <c r="D340" s="3"/>
      <c r="E340" s="3"/>
      <c r="F340" s="3"/>
      <c r="G340" s="3"/>
      <c r="H340" s="1544" t="s">
        <v>2700</v>
      </c>
      <c r="I340" s="1479"/>
      <c r="J340" s="1479"/>
      <c r="K340" s="1479"/>
      <c r="L340" s="1479"/>
      <c r="M340" s="1479"/>
      <c r="N340" s="4"/>
      <c r="O340" s="4"/>
      <c r="P340" s="35"/>
      <c r="Q340" s="35"/>
      <c r="R340" s="35"/>
      <c r="S340" s="3"/>
      <c r="T340" s="3" t="s">
        <v>89</v>
      </c>
      <c r="V340" s="3"/>
      <c r="W340" s="3"/>
      <c r="X340" s="3"/>
      <c r="Y340" s="3"/>
      <c r="AA340" s="1479"/>
      <c r="AB340" s="1479"/>
      <c r="AC340" s="1479"/>
      <c r="AD340" s="1479"/>
      <c r="AE340" s="1479"/>
      <c r="AF340" s="1479"/>
      <c r="AG340" s="4"/>
      <c r="AH340" s="4"/>
      <c r="AI340" s="35"/>
      <c r="AJ340" s="35"/>
      <c r="AK340" s="35"/>
    </row>
    <row r="341" spans="1:66" ht="12.95" customHeight="1">
      <c r="B341" s="3" t="s">
        <v>76</v>
      </c>
      <c r="C341" s="3"/>
      <c r="D341" s="3"/>
      <c r="E341" s="3"/>
      <c r="F341" s="3"/>
      <c r="G341" s="3"/>
      <c r="H341" s="1333" t="s">
        <v>2701</v>
      </c>
      <c r="I341" s="1333"/>
      <c r="J341" s="1333"/>
      <c r="K341" s="1333"/>
      <c r="L341" s="1333"/>
      <c r="M341" s="1333"/>
      <c r="N341" s="1344"/>
      <c r="O341" s="1344"/>
      <c r="P341" s="1344"/>
      <c r="Q341" s="1344"/>
      <c r="R341" s="1344"/>
      <c r="S341" s="3"/>
      <c r="T341" s="3" t="s">
        <v>76</v>
      </c>
      <c r="V341" s="3"/>
      <c r="W341" s="3"/>
      <c r="X341" s="3"/>
      <c r="Y341" s="3"/>
      <c r="AA341" s="1333"/>
      <c r="AB341" s="1333"/>
      <c r="AC341" s="1333"/>
      <c r="AD341" s="1333"/>
      <c r="AE341" s="1333"/>
      <c r="AF341" s="1333"/>
      <c r="AG341" s="1344"/>
      <c r="AH341" s="1344"/>
      <c r="AI341" s="1344"/>
      <c r="AJ341" s="1344"/>
      <c r="AK341" s="1344"/>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590</v>
      </c>
    </row>
    <row r="343" spans="1:66" ht="12.95" customHeight="1">
      <c r="B343" s="3"/>
      <c r="C343" s="4"/>
      <c r="D343" s="4"/>
      <c r="E343" s="4"/>
      <c r="F343" s="4"/>
      <c r="I343" s="204" t="s">
        <v>886</v>
      </c>
      <c r="P343" s="1344" t="s">
        <v>590</v>
      </c>
      <c r="Q343" s="1344"/>
      <c r="R343" s="1344"/>
      <c r="S343" s="1344"/>
      <c r="T343" s="1344"/>
      <c r="U343" s="1344"/>
      <c r="V343" s="1344"/>
      <c r="W343" s="1344"/>
      <c r="X343" s="1344"/>
      <c r="Y343" s="1344"/>
      <c r="Z343" s="1344"/>
      <c r="AA343" s="1344"/>
      <c r="AB343" s="1344"/>
      <c r="AC343" s="1344"/>
      <c r="AD343" s="1344"/>
      <c r="AE343" s="1344"/>
      <c r="BN343" t="s">
        <v>668</v>
      </c>
    </row>
    <row r="344" spans="1:66" ht="12.95" customHeight="1">
      <c r="B344" s="4"/>
      <c r="C344" s="4"/>
      <c r="D344" s="4"/>
      <c r="E344" s="4"/>
      <c r="F344" s="4"/>
      <c r="I344" s="4" t="s">
        <v>470</v>
      </c>
      <c r="P344" s="1333"/>
      <c r="Q344" s="1333"/>
      <c r="R344" s="1333"/>
      <c r="S344" s="1333"/>
      <c r="T344" s="1333"/>
      <c r="U344" s="1333"/>
      <c r="V344" s="1333"/>
      <c r="W344" s="1333"/>
      <c r="X344" s="1333"/>
      <c r="Y344" s="1333"/>
      <c r="Z344" s="1333"/>
      <c r="AA344" s="1333"/>
      <c r="AB344" s="1333"/>
      <c r="AC344" s="1333"/>
      <c r="AD344" s="1333"/>
      <c r="AE344" s="1333"/>
      <c r="BN344" t="s">
        <v>544</v>
      </c>
    </row>
    <row r="345" spans="1:66" ht="12.95" customHeight="1">
      <c r="B345" s="4"/>
      <c r="C345" s="4"/>
      <c r="D345" s="4"/>
      <c r="E345" s="4"/>
      <c r="F345" s="4"/>
      <c r="I345" s="4" t="s">
        <v>75</v>
      </c>
      <c r="P345" s="1333"/>
      <c r="Q345" s="1333"/>
      <c r="R345" s="1333"/>
      <c r="S345" s="1333"/>
      <c r="T345" s="1333"/>
      <c r="U345" s="1333"/>
      <c r="V345" s="1333"/>
      <c r="W345" s="1333"/>
      <c r="X345" s="1333"/>
      <c r="Y345" s="1333"/>
      <c r="Z345" s="1333"/>
      <c r="AA345" s="1333"/>
      <c r="AB345" s="1333"/>
      <c r="AC345" s="1333"/>
      <c r="AD345" s="1333"/>
      <c r="AE345" s="1333"/>
    </row>
    <row r="346" spans="1:66" ht="12.95" customHeight="1">
      <c r="B346" s="4"/>
      <c r="C346" s="4"/>
      <c r="D346" s="4"/>
      <c r="E346" s="4"/>
      <c r="F346" s="4"/>
      <c r="G346" s="4"/>
      <c r="I346" s="4" t="s">
        <v>87</v>
      </c>
      <c r="P346" s="1333"/>
      <c r="Q346" s="1333"/>
      <c r="R346" s="1333"/>
      <c r="S346" s="1333"/>
      <c r="T346" s="1333"/>
      <c r="U346" s="1333"/>
      <c r="V346" s="1333"/>
      <c r="W346" s="1333"/>
      <c r="X346" s="1333"/>
      <c r="Y346" s="1333"/>
      <c r="Z346" s="1333"/>
      <c r="AA346" s="1333"/>
      <c r="AB346" s="1333"/>
      <c r="AC346" s="1333"/>
      <c r="AD346" s="1333"/>
      <c r="AE346" s="1333"/>
    </row>
    <row r="347" spans="1:66" ht="12.95" customHeight="1">
      <c r="B347" s="4"/>
      <c r="C347" s="4"/>
      <c r="D347" s="4"/>
      <c r="E347" s="4"/>
      <c r="F347" s="4"/>
      <c r="G347" s="4"/>
      <c r="H347" s="302"/>
      <c r="I347" s="4" t="s">
        <v>88</v>
      </c>
      <c r="P347" s="1479"/>
      <c r="Q347" s="1479"/>
      <c r="R347" s="1479"/>
      <c r="S347" s="1479"/>
      <c r="T347" s="1479"/>
      <c r="U347" s="1479"/>
      <c r="V347" s="1479"/>
      <c r="W347" s="1479"/>
      <c r="X347" s="1479"/>
      <c r="Y347" s="1479"/>
      <c r="Z347" s="1479"/>
      <c r="AA347" s="4" t="s">
        <v>205</v>
      </c>
      <c r="AB347" s="4"/>
      <c r="AC347" s="1448"/>
      <c r="AD347" s="1448"/>
      <c r="AE347" s="1448"/>
      <c r="AF347" s="302"/>
      <c r="AG347" s="4"/>
      <c r="AH347" s="4"/>
      <c r="AI347" s="4"/>
      <c r="AJ347" s="4"/>
      <c r="AK347" s="4"/>
    </row>
    <row r="348" spans="1:66" ht="12.95" customHeight="1">
      <c r="B348" s="4"/>
      <c r="C348" s="4"/>
      <c r="D348" s="4"/>
      <c r="E348" s="4"/>
      <c r="F348" s="4"/>
      <c r="G348" s="4"/>
      <c r="H348" s="302"/>
      <c r="I348" s="4" t="s">
        <v>89</v>
      </c>
      <c r="P348" s="1479"/>
      <c r="Q348" s="1479"/>
      <c r="R348" s="1479"/>
      <c r="S348" s="1479"/>
      <c r="T348" s="1479"/>
      <c r="U348" s="1479"/>
      <c r="V348" s="1479"/>
      <c r="W348" s="1479"/>
      <c r="X348" s="1479"/>
      <c r="Y348" s="1479"/>
      <c r="Z348" s="1479"/>
      <c r="AF348" s="302"/>
      <c r="AG348" s="4"/>
      <c r="AH348" s="4"/>
      <c r="AI348" s="35"/>
      <c r="AJ348" s="35"/>
      <c r="AK348" s="35"/>
    </row>
    <row r="349" spans="1:66" ht="12.95" customHeight="1">
      <c r="B349" s="4"/>
      <c r="C349" s="4"/>
      <c r="D349" s="4"/>
      <c r="E349" s="4"/>
      <c r="F349" s="4"/>
      <c r="G349" s="4"/>
      <c r="I349" s="4" t="s">
        <v>76</v>
      </c>
      <c r="P349" s="1344"/>
      <c r="Q349" s="1344"/>
      <c r="R349" s="1344"/>
      <c r="S349" s="1344"/>
      <c r="T349" s="1344"/>
      <c r="U349" s="1344"/>
      <c r="V349" s="1344"/>
      <c r="W349" s="1344"/>
      <c r="X349" s="1344"/>
      <c r="Y349" s="1344"/>
      <c r="Z349" s="1344"/>
      <c r="AA349" s="1344"/>
      <c r="AB349" s="1344"/>
      <c r="AC349" s="1344"/>
      <c r="AD349" s="1344"/>
      <c r="AE349" s="1344"/>
    </row>
    <row r="350" spans="1:66" ht="12.95" customHeight="1">
      <c r="T350" s="8"/>
      <c r="U350" s="8"/>
      <c r="V350" s="8"/>
      <c r="W350" s="8"/>
      <c r="X350" s="8"/>
      <c r="Y350" s="8"/>
      <c r="Z350" s="8"/>
      <c r="AU350" s="95"/>
      <c r="AV350" s="95"/>
      <c r="AW350" s="95"/>
      <c r="AX350" s="95"/>
      <c r="AY350" s="95"/>
    </row>
    <row r="351" spans="1:66" ht="12.95" customHeight="1">
      <c r="A351" s="1531" t="s">
        <v>541</v>
      </c>
      <c r="B351" s="1531"/>
      <c r="C351" s="1531"/>
      <c r="D351" s="1531"/>
      <c r="E351" s="1531"/>
      <c r="F351" s="1531"/>
      <c r="G351" s="1531"/>
      <c r="H351" s="1531"/>
      <c r="I351" s="1531"/>
      <c r="J351" s="1531"/>
      <c r="K351" s="1531"/>
      <c r="L351" s="1531"/>
      <c r="M351" s="1531"/>
      <c r="N351" s="1531"/>
      <c r="O351" s="1531"/>
      <c r="P351" s="1531"/>
      <c r="Q351" s="1531"/>
      <c r="R351" s="1531"/>
      <c r="S351" s="1531"/>
      <c r="T351" s="1531"/>
      <c r="U351" s="1531"/>
      <c r="V351" s="1531"/>
      <c r="W351" s="1531"/>
      <c r="X351" s="1531"/>
      <c r="Y351" s="1531"/>
      <c r="Z351" s="1531"/>
      <c r="AA351" s="1531"/>
      <c r="AB351" s="1531"/>
      <c r="AC351" s="1531"/>
      <c r="AD351" s="1531"/>
      <c r="AE351" s="1531"/>
      <c r="AF351" s="1531"/>
      <c r="AG351" s="1531"/>
      <c r="AH351" s="1531"/>
      <c r="AI351" s="1531"/>
      <c r="AJ351" s="1531"/>
      <c r="AK351" s="1531"/>
      <c r="AL351" s="1531"/>
      <c r="AM351" s="1531"/>
      <c r="AN351" s="1531"/>
      <c r="AO351" s="1531"/>
      <c r="AP351" s="1531"/>
      <c r="AQ351" s="1531"/>
      <c r="AR351" s="1531"/>
      <c r="AS351" s="1531"/>
      <c r="AT351" s="1531"/>
      <c r="AU351" s="95"/>
      <c r="AV351" s="95"/>
      <c r="AW351" s="95"/>
      <c r="AX351" s="95"/>
      <c r="AY351" s="95"/>
    </row>
    <row r="352" spans="1:66" ht="12.95" customHeight="1">
      <c r="A352" s="1531"/>
      <c r="B352" s="1531"/>
      <c r="C352" s="1531"/>
      <c r="D352" s="1531"/>
      <c r="E352" s="1531"/>
      <c r="F352" s="1531"/>
      <c r="G352" s="1531"/>
      <c r="H352" s="1531"/>
      <c r="I352" s="1531"/>
      <c r="J352" s="1531"/>
      <c r="K352" s="1531"/>
      <c r="L352" s="1531"/>
      <c r="M352" s="1531"/>
      <c r="N352" s="1531"/>
      <c r="O352" s="1531"/>
      <c r="P352" s="1531"/>
      <c r="Q352" s="1531"/>
      <c r="R352" s="1531"/>
      <c r="S352" s="1531"/>
      <c r="T352" s="1531"/>
      <c r="U352" s="1531"/>
      <c r="V352" s="1531"/>
      <c r="W352" s="1531"/>
      <c r="X352" s="1531"/>
      <c r="Y352" s="1531"/>
      <c r="Z352" s="1531"/>
      <c r="AA352" s="1531"/>
      <c r="AB352" s="1531"/>
      <c r="AC352" s="1531"/>
      <c r="AD352" s="1531"/>
      <c r="AE352" s="1531"/>
      <c r="AF352" s="1531"/>
      <c r="AG352" s="1531"/>
      <c r="AH352" s="1531"/>
      <c r="AI352" s="1531"/>
      <c r="AJ352" s="1531"/>
      <c r="AK352" s="1531"/>
      <c r="AL352" s="1531"/>
      <c r="AM352" s="1531"/>
      <c r="AN352" s="1531"/>
      <c r="AO352" s="1531"/>
      <c r="AP352" s="1531"/>
      <c r="AQ352" s="1531"/>
      <c r="AR352" s="1531"/>
      <c r="AS352" s="1531"/>
      <c r="AT352" s="1531"/>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318</v>
      </c>
      <c r="B354" s="2"/>
      <c r="C354" s="2" t="s">
        <v>781</v>
      </c>
    </row>
    <row r="355" spans="1:46" ht="12.95" customHeight="1">
      <c r="D355" s="3" t="s">
        <v>2098</v>
      </c>
      <c r="M355" s="1352" t="s">
        <v>544</v>
      </c>
      <c r="N355" s="1352"/>
      <c r="P355" t="s">
        <v>1650</v>
      </c>
      <c r="AJ355" s="1352" t="s">
        <v>544</v>
      </c>
      <c r="AK355" s="1352"/>
    </row>
    <row r="356" spans="1:46" ht="12.95" customHeight="1">
      <c r="D356" s="3" t="s">
        <v>1639</v>
      </c>
      <c r="M356" s="1352" t="s">
        <v>590</v>
      </c>
      <c r="N356" s="1352"/>
      <c r="P356" s="3" t="s">
        <v>1719</v>
      </c>
      <c r="AJ356" s="1409"/>
      <c r="AK356" s="1409"/>
    </row>
    <row r="357" spans="1:46" ht="12.95" customHeight="1">
      <c r="D357" s="3" t="s">
        <v>703</v>
      </c>
      <c r="M357" s="1352" t="s">
        <v>590</v>
      </c>
      <c r="N357" s="1352"/>
      <c r="P357" t="s">
        <v>1649</v>
      </c>
      <c r="AJ357" s="1352" t="s">
        <v>668</v>
      </c>
      <c r="AK357" s="1352"/>
    </row>
    <row r="358" spans="1:46" ht="12.95" customHeight="1">
      <c r="D358" s="3" t="s">
        <v>704</v>
      </c>
      <c r="M358" s="1352" t="s">
        <v>590</v>
      </c>
      <c r="N358" s="1352"/>
      <c r="Q358" s="4"/>
    </row>
    <row r="359" spans="1:46" ht="12.95" customHeight="1">
      <c r="Q359" s="4"/>
    </row>
    <row r="360" spans="1:46" ht="12.95" customHeight="1">
      <c r="Q360" s="4"/>
    </row>
    <row r="361" spans="1:46" ht="12.95" customHeight="1">
      <c r="A361" s="2" t="s">
        <v>575</v>
      </c>
      <c r="B361" s="2"/>
      <c r="C361" s="2" t="s">
        <v>551</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352" t="s">
        <v>590</v>
      </c>
      <c r="O363" s="1352"/>
      <c r="P363" s="40"/>
      <c r="Q363" s="40"/>
      <c r="R363" s="40"/>
      <c r="S363" s="40"/>
      <c r="T363" s="40"/>
      <c r="U363" s="40"/>
      <c r="V363" s="40"/>
      <c r="W363" s="40"/>
      <c r="X363" s="40"/>
      <c r="Y363" s="40"/>
      <c r="Z363" s="40"/>
      <c r="AC363" s="40"/>
      <c r="AD363" s="40"/>
      <c r="AE363" s="40"/>
    </row>
    <row r="364" spans="1:46" ht="12.95" customHeight="1">
      <c r="E364" t="s">
        <v>369</v>
      </c>
      <c r="Y364" s="1352" t="s">
        <v>590</v>
      </c>
      <c r="Z364" s="1352"/>
    </row>
    <row r="365" spans="1:46" ht="12.95" customHeight="1">
      <c r="D365" s="4" t="s">
        <v>977</v>
      </c>
      <c r="Q365" s="1344"/>
      <c r="R365" s="1344"/>
      <c r="S365" s="1344"/>
      <c r="T365" s="1344"/>
      <c r="U365" s="1344"/>
      <c r="V365" s="1344"/>
      <c r="W365" s="1344"/>
      <c r="X365" s="1344"/>
      <c r="Y365" s="1344"/>
      <c r="Z365" s="1344"/>
      <c r="AA365" s="1344"/>
      <c r="AB365" s="1344"/>
      <c r="AC365" s="1344"/>
      <c r="AD365" s="1344"/>
      <c r="AE365" s="1344"/>
      <c r="AF365" s="1344"/>
      <c r="AG365" s="1344"/>
    </row>
    <row r="366" spans="1:46" ht="12.95"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187</v>
      </c>
      <c r="E367" s="40"/>
      <c r="F367" s="40"/>
      <c r="G367" s="40"/>
      <c r="H367" s="40"/>
      <c r="I367" s="40"/>
      <c r="J367" s="1352" t="s">
        <v>668</v>
      </c>
      <c r="K367" s="1352"/>
      <c r="L367" s="40"/>
      <c r="M367" s="40"/>
      <c r="N367" s="40"/>
      <c r="O367" s="40"/>
      <c r="P367" s="40"/>
      <c r="Q367" s="40"/>
      <c r="R367" s="40"/>
      <c r="S367" s="40"/>
      <c r="T367" s="40"/>
      <c r="U367" s="40"/>
      <c r="V367" s="40"/>
      <c r="W367" s="40"/>
      <c r="X367" s="40"/>
      <c r="Y367" s="40"/>
      <c r="Z367" s="40"/>
      <c r="AC367" s="40"/>
      <c r="AD367" s="40"/>
      <c r="AE367" s="40"/>
    </row>
    <row r="368" spans="1:46" ht="12.95" customHeight="1">
      <c r="E368" s="1542" t="s">
        <v>705</v>
      </c>
      <c r="F368" s="1542"/>
      <c r="G368" s="1542"/>
      <c r="H368" s="1542"/>
      <c r="I368" s="1542"/>
      <c r="J368" s="1542"/>
      <c r="K368" s="1542"/>
      <c r="L368" s="1542"/>
      <c r="M368" s="1542"/>
      <c r="N368" s="1542"/>
      <c r="O368" s="1542"/>
      <c r="P368" s="1542"/>
      <c r="Q368" s="1542"/>
      <c r="R368" s="1542"/>
      <c r="S368" s="1542"/>
      <c r="T368" s="1542"/>
      <c r="U368" s="1542"/>
      <c r="V368" s="1542"/>
      <c r="W368" s="1542"/>
      <c r="X368" s="1542"/>
      <c r="Y368" s="1542"/>
      <c r="Z368" s="1542"/>
      <c r="AA368" s="1542"/>
      <c r="AB368" s="1542"/>
      <c r="AC368" s="1542"/>
      <c r="AD368" s="1542"/>
      <c r="AE368" s="1542"/>
      <c r="AF368" s="1542"/>
      <c r="AG368" s="1542"/>
      <c r="AH368" s="1542"/>
    </row>
    <row r="369" spans="1:34" ht="12.95" customHeight="1">
      <c r="E369" s="1542"/>
      <c r="F369" s="1542"/>
      <c r="G369" s="1542"/>
      <c r="H369" s="1542"/>
      <c r="I369" s="1542"/>
      <c r="J369" s="1542"/>
      <c r="K369" s="1542"/>
      <c r="L369" s="1542"/>
      <c r="M369" s="1542"/>
      <c r="N369" s="1542"/>
      <c r="O369" s="1542"/>
      <c r="P369" s="1542"/>
      <c r="Q369" s="1542"/>
      <c r="R369" s="1542"/>
      <c r="S369" s="1542"/>
      <c r="T369" s="1542"/>
      <c r="U369" s="1542"/>
      <c r="V369" s="1542"/>
      <c r="W369" s="1542"/>
      <c r="X369" s="1542"/>
      <c r="Y369" s="1542"/>
      <c r="Z369" s="1542"/>
      <c r="AA369" s="1542"/>
      <c r="AB369" s="1542"/>
      <c r="AC369" s="1542"/>
      <c r="AD369" s="1542"/>
      <c r="AE369" s="1542"/>
      <c r="AF369" s="1542"/>
      <c r="AG369" s="1542"/>
      <c r="AH369" s="1542"/>
    </row>
    <row r="370" spans="1:34" ht="12.95" customHeight="1">
      <c r="E370" s="4" t="s">
        <v>447</v>
      </c>
      <c r="F370" s="4"/>
      <c r="G370" s="4"/>
      <c r="H370" s="4"/>
      <c r="I370" s="4"/>
      <c r="J370" s="4"/>
      <c r="K370" s="4"/>
      <c r="L370" s="4"/>
      <c r="N370" s="1417"/>
      <c r="O370" s="1417"/>
      <c r="P370" s="1417"/>
      <c r="Q370" s="1417"/>
      <c r="R370" s="4"/>
      <c r="U370" s="4" t="s">
        <v>448</v>
      </c>
      <c r="V370" s="4"/>
      <c r="W370" s="4"/>
      <c r="X370" s="4"/>
      <c r="Y370" s="4"/>
      <c r="Z370" s="4"/>
      <c r="AA370" s="4"/>
      <c r="AB370" s="4"/>
      <c r="AC370" s="1417"/>
      <c r="AD370" s="1417"/>
      <c r="AE370" s="1417"/>
      <c r="AF370" s="1417"/>
    </row>
    <row r="371" spans="1:34" ht="12.95" customHeight="1">
      <c r="E371" s="4" t="s">
        <v>449</v>
      </c>
      <c r="F371" s="4"/>
      <c r="G371" s="4"/>
      <c r="H371" s="4"/>
      <c r="I371" s="4"/>
      <c r="J371" s="4"/>
      <c r="K371" s="4"/>
      <c r="L371" s="4"/>
      <c r="N371" s="1417"/>
      <c r="O371" s="1417"/>
      <c r="P371" s="1417"/>
      <c r="Q371" s="1417"/>
      <c r="R371" s="4"/>
      <c r="U371" s="4" t="s">
        <v>0</v>
      </c>
      <c r="V371" s="4"/>
      <c r="W371" s="4"/>
      <c r="X371" s="4"/>
      <c r="Y371" s="4"/>
      <c r="Z371" s="4"/>
      <c r="AA371" s="4"/>
      <c r="AB371" s="4"/>
      <c r="AC371" s="1417"/>
      <c r="AD371" s="1417"/>
      <c r="AE371" s="1417"/>
      <c r="AF371" s="1417"/>
    </row>
    <row r="372" spans="1:34" ht="12.95" customHeight="1">
      <c r="E372" s="4" t="s">
        <v>1</v>
      </c>
      <c r="F372" s="4"/>
      <c r="G372" s="4"/>
      <c r="H372" s="4"/>
      <c r="I372" s="4"/>
      <c r="J372" s="4"/>
      <c r="K372" s="4"/>
      <c r="L372" s="4"/>
      <c r="N372" s="1417"/>
      <c r="O372" s="1417"/>
      <c r="P372" s="1417"/>
      <c r="Q372" s="1417"/>
      <c r="R372" s="4"/>
      <c r="V372" s="4"/>
      <c r="W372" s="4"/>
      <c r="X372" s="4"/>
      <c r="Y372" s="4"/>
      <c r="Z372" s="4"/>
      <c r="AA372" s="4"/>
      <c r="AB372" s="4"/>
    </row>
    <row r="373" spans="1:34" ht="12.95" customHeight="1">
      <c r="E373" s="4" t="s">
        <v>2</v>
      </c>
      <c r="F373" s="4"/>
      <c r="G373" s="4"/>
      <c r="H373" s="4"/>
      <c r="I373" s="4"/>
      <c r="J373" s="4"/>
      <c r="K373" s="4"/>
      <c r="L373" s="4"/>
      <c r="N373" s="1520"/>
      <c r="O373" s="1520"/>
      <c r="P373" s="1520"/>
      <c r="Q373" s="1520"/>
      <c r="R373" s="1520"/>
      <c r="S373" s="1520"/>
      <c r="T373" s="1520"/>
      <c r="U373" s="1520"/>
      <c r="V373" s="1520"/>
      <c r="W373" s="1520"/>
      <c r="X373" s="1520"/>
      <c r="Y373" s="1520"/>
      <c r="Z373" s="1520"/>
      <c r="AA373" s="1520"/>
      <c r="AB373" s="1520"/>
      <c r="AC373" s="1520"/>
      <c r="AD373" s="1520"/>
      <c r="AE373" s="1520"/>
      <c r="AF373" s="1520"/>
    </row>
    <row r="374" spans="1:34" ht="12.95" customHeight="1">
      <c r="E374" s="4"/>
      <c r="F374" s="4"/>
      <c r="G374" s="4"/>
      <c r="H374" s="4"/>
      <c r="I374" s="4"/>
      <c r="J374" s="4"/>
      <c r="K374" s="4"/>
      <c r="L374" s="4"/>
      <c r="N374" s="1521"/>
      <c r="O374" s="1521"/>
      <c r="P374" s="1521"/>
      <c r="Q374" s="1521"/>
      <c r="R374" s="1521"/>
      <c r="S374" s="1521"/>
      <c r="T374" s="1521"/>
      <c r="U374" s="1521"/>
      <c r="V374" s="1521"/>
      <c r="W374" s="1521"/>
      <c r="X374" s="1521"/>
      <c r="Y374" s="1521"/>
      <c r="Z374" s="1521"/>
      <c r="AA374" s="1521"/>
      <c r="AB374" s="1521"/>
      <c r="AC374" s="1521"/>
      <c r="AD374" s="1521"/>
      <c r="AE374" s="1521"/>
      <c r="AF374" s="1521"/>
    </row>
    <row r="375" spans="1:34" ht="12.95" customHeight="1">
      <c r="C375" s="512"/>
      <c r="E375" s="4"/>
      <c r="F375" s="4"/>
      <c r="G375" s="4"/>
      <c r="H375" s="4"/>
      <c r="I375" s="4"/>
      <c r="J375" s="4"/>
      <c r="K375" s="4"/>
      <c r="L375" s="4"/>
    </row>
    <row r="376" spans="1:34" ht="12.95" customHeight="1">
      <c r="D376" s="2" t="s">
        <v>974</v>
      </c>
      <c r="E376" s="2"/>
      <c r="F376" s="4"/>
      <c r="G376" s="4"/>
      <c r="H376" s="4"/>
      <c r="I376" s="4"/>
      <c r="J376" s="4"/>
      <c r="K376" s="4"/>
      <c r="L376" s="4"/>
    </row>
    <row r="377" spans="1:34" ht="12.95" customHeight="1">
      <c r="E377" s="4" t="s">
        <v>2084</v>
      </c>
      <c r="F377" s="4"/>
      <c r="G377" s="4"/>
      <c r="H377" s="4"/>
      <c r="I377" s="4"/>
      <c r="J377" s="4"/>
      <c r="K377" s="4"/>
      <c r="L377" s="4"/>
      <c r="N377" t="s">
        <v>2079</v>
      </c>
      <c r="R377" s="27" t="s">
        <v>304</v>
      </c>
      <c r="S377" s="1452"/>
      <c r="T377" s="1452"/>
      <c r="U377" s="1" t="s">
        <v>305</v>
      </c>
      <c r="V377" s="1452"/>
      <c r="W377" s="1452"/>
      <c r="Y377" t="s">
        <v>2079</v>
      </c>
      <c r="AC377" s="27" t="s">
        <v>304</v>
      </c>
      <c r="AD377" s="1452"/>
      <c r="AE377" s="1452"/>
      <c r="AF377" s="1" t="s">
        <v>305</v>
      </c>
      <c r="AG377" s="1452"/>
      <c r="AH377" s="1452"/>
    </row>
    <row r="378" spans="1:34" ht="12.95" customHeight="1">
      <c r="E378" s="4" t="s">
        <v>986</v>
      </c>
      <c r="F378" s="4"/>
      <c r="G378" s="4"/>
      <c r="H378" s="4"/>
      <c r="I378" s="4"/>
      <c r="J378" s="4"/>
      <c r="K378" s="4"/>
      <c r="L378" s="4"/>
      <c r="N378" s="1452"/>
      <c r="O378" s="1452"/>
      <c r="P378" s="1452"/>
    </row>
    <row r="379" spans="1:34" ht="12.95" customHeight="1">
      <c r="E379" s="204" t="s">
        <v>2085</v>
      </c>
      <c r="F379" s="4"/>
      <c r="G379" s="4"/>
      <c r="H379" s="4"/>
      <c r="I379" s="4"/>
      <c r="J379" s="4"/>
      <c r="K379" s="4"/>
      <c r="L379" s="4"/>
      <c r="AG379" s="1455" t="s">
        <v>590</v>
      </c>
      <c r="AH379" s="1455"/>
    </row>
    <row r="380" spans="1:34" ht="12.95" customHeight="1">
      <c r="E380" s="4"/>
      <c r="F380" s="4"/>
      <c r="G380" s="4" t="s">
        <v>2086</v>
      </c>
      <c r="H380" s="4"/>
      <c r="I380" s="4"/>
      <c r="J380" s="4"/>
      <c r="K380" s="4"/>
      <c r="L380" s="4"/>
      <c r="AG380" s="1455" t="s">
        <v>590</v>
      </c>
      <c r="AH380" s="1455"/>
    </row>
    <row r="381" spans="1:34" ht="12.95" customHeight="1">
      <c r="E381" s="4"/>
      <c r="F381" s="4"/>
      <c r="G381" s="320" t="s">
        <v>987</v>
      </c>
      <c r="H381" s="4"/>
      <c r="I381" s="4"/>
      <c r="J381" s="4"/>
      <c r="K381" s="4"/>
      <c r="L381" s="4"/>
      <c r="V381" s="1352" t="s">
        <v>590</v>
      </c>
      <c r="W381" s="1352"/>
      <c r="Y381" s="22" t="s">
        <v>979</v>
      </c>
    </row>
    <row r="382" spans="1:34" ht="12.95" customHeight="1">
      <c r="E382" s="4" t="s">
        <v>980</v>
      </c>
      <c r="F382" s="4"/>
      <c r="G382" s="4"/>
      <c r="H382" s="4"/>
      <c r="I382" s="4"/>
      <c r="J382" s="4"/>
      <c r="K382" s="4"/>
      <c r="L382" s="4"/>
      <c r="V382" s="1352" t="s">
        <v>590</v>
      </c>
      <c r="W382" s="1352"/>
      <c r="Y382" s="4" t="s">
        <v>981</v>
      </c>
    </row>
    <row r="383" spans="1:34" ht="12.95" customHeight="1"/>
    <row r="384" spans="1:34" ht="12.95" customHeight="1">
      <c r="A384" s="2" t="s">
        <v>78</v>
      </c>
      <c r="B384" s="2"/>
    </row>
    <row r="385" spans="4:36" ht="12.95" customHeight="1">
      <c r="D385" t="s">
        <v>427</v>
      </c>
      <c r="J385" s="1344" t="s">
        <v>2630</v>
      </c>
      <c r="K385" s="1344"/>
      <c r="L385" s="1344"/>
      <c r="M385" s="1344"/>
      <c r="N385" s="1344"/>
      <c r="O385" s="1344"/>
      <c r="P385" s="1344"/>
      <c r="Q385" s="1344"/>
      <c r="R385" s="1344"/>
      <c r="S385" s="1344"/>
      <c r="T385" s="1344"/>
      <c r="U385" s="1344"/>
      <c r="V385" s="8" t="s">
        <v>83</v>
      </c>
      <c r="W385" s="8"/>
      <c r="X385" s="8"/>
      <c r="Y385" s="8"/>
      <c r="Z385" s="8"/>
      <c r="AA385" s="8"/>
      <c r="AB385" s="8"/>
      <c r="AC385" s="1344" t="s">
        <v>2631</v>
      </c>
      <c r="AD385" s="1344"/>
      <c r="AE385" s="1344"/>
      <c r="AF385" s="1344"/>
      <c r="AG385" s="1344"/>
      <c r="AH385" s="1344"/>
      <c r="AI385" s="1344"/>
      <c r="AJ385" s="1344"/>
    </row>
    <row r="386" spans="4:36" ht="12.95" customHeight="1">
      <c r="D386" s="3" t="s">
        <v>1181</v>
      </c>
      <c r="J386" s="1333" t="s">
        <v>2633</v>
      </c>
      <c r="K386" s="1333"/>
      <c r="L386" s="1333"/>
      <c r="M386" s="1333"/>
      <c r="N386" s="1333"/>
      <c r="O386" s="1333"/>
      <c r="P386" s="1333"/>
      <c r="Q386" s="1333"/>
      <c r="R386" s="1333"/>
      <c r="S386" s="1333"/>
      <c r="T386" s="1333"/>
      <c r="U386" s="1333"/>
      <c r="V386" s="3" t="s">
        <v>1181</v>
      </c>
      <c r="W386" s="8"/>
      <c r="X386" s="8"/>
      <c r="Y386" s="8"/>
      <c r="Z386" s="8"/>
      <c r="AA386" s="8"/>
      <c r="AB386" s="8"/>
      <c r="AC386" s="1344" t="s">
        <v>590</v>
      </c>
      <c r="AD386" s="1344"/>
      <c r="AE386" s="1344"/>
      <c r="AF386" s="1344"/>
      <c r="AG386" s="1344"/>
      <c r="AH386" s="1344"/>
      <c r="AI386" s="1344"/>
      <c r="AJ386" s="1344"/>
    </row>
    <row r="387" spans="4:36" ht="12.95" customHeight="1">
      <c r="D387" s="3" t="s">
        <v>440</v>
      </c>
      <c r="J387" s="1333" t="s">
        <v>2634</v>
      </c>
      <c r="K387" s="1333"/>
      <c r="L387" s="1333"/>
      <c r="M387" s="1333"/>
      <c r="N387" s="1333"/>
      <c r="O387" s="1333"/>
      <c r="P387" s="1333"/>
      <c r="Q387" s="1333"/>
      <c r="R387" s="1333"/>
      <c r="S387" s="1333"/>
      <c r="T387" s="1333"/>
      <c r="U387" s="1333"/>
      <c r="V387" s="3" t="s">
        <v>440</v>
      </c>
      <c r="W387" s="8"/>
      <c r="X387" s="8"/>
      <c r="Y387" s="8"/>
      <c r="Z387" s="8"/>
      <c r="AA387" s="8"/>
      <c r="AB387" s="8"/>
      <c r="AC387" s="1344" t="s">
        <v>590</v>
      </c>
      <c r="AD387" s="1344"/>
      <c r="AE387" s="1344"/>
      <c r="AF387" s="1344"/>
      <c r="AG387" s="1344"/>
      <c r="AH387" s="1344"/>
      <c r="AI387" s="1344"/>
      <c r="AJ387" s="1344"/>
    </row>
    <row r="388" spans="4:36" ht="12.95" customHeight="1">
      <c r="D388" t="s">
        <v>1177</v>
      </c>
      <c r="J388" s="1438" t="s">
        <v>2632</v>
      </c>
      <c r="K388" s="1438"/>
      <c r="L388" s="1438"/>
      <c r="M388" s="1438"/>
      <c r="N388" s="1438"/>
      <c r="O388" s="1438"/>
      <c r="P388" s="1438"/>
      <c r="Q388" s="1438"/>
      <c r="R388" s="1438"/>
      <c r="S388" s="1438"/>
      <c r="T388" s="1438"/>
      <c r="U388" s="1438"/>
      <c r="V388" s="1344"/>
      <c r="W388" s="1344"/>
      <c r="X388" s="1344"/>
      <c r="Y388" s="1344"/>
      <c r="Z388" s="1344"/>
      <c r="AA388" s="1344"/>
      <c r="AB388" s="1344"/>
      <c r="AC388" s="1344"/>
      <c r="AD388" s="1344"/>
      <c r="AE388" s="1344"/>
      <c r="AF388" s="1344"/>
      <c r="AG388" s="1344"/>
      <c r="AH388" s="1344"/>
      <c r="AI388" s="1344"/>
      <c r="AJ388" s="1344"/>
    </row>
    <row r="389" spans="4:36" ht="12.95" customHeight="1">
      <c r="D389" t="s">
        <v>4</v>
      </c>
      <c r="Q389" s="1589">
        <v>45896</v>
      </c>
      <c r="R389" s="1589"/>
      <c r="S389" s="1589"/>
      <c r="T389" s="1589"/>
      <c r="U389" s="1589"/>
      <c r="V389" t="s">
        <v>308</v>
      </c>
      <c r="AI389" s="1352" t="s">
        <v>668</v>
      </c>
      <c r="AJ389" s="1352"/>
    </row>
    <row r="390" spans="4:36" ht="12.95" customHeight="1">
      <c r="D390" t="s">
        <v>5</v>
      </c>
      <c r="Q390" s="1514">
        <v>46366</v>
      </c>
      <c r="R390" s="1515"/>
      <c r="S390" s="1515"/>
      <c r="T390" s="1515"/>
      <c r="U390" s="1515"/>
      <c r="W390" s="21" t="s">
        <v>74</v>
      </c>
      <c r="AG390" s="1457"/>
      <c r="AH390" s="1457"/>
      <c r="AI390" s="1457"/>
      <c r="AJ390" s="1457"/>
    </row>
    <row r="391" spans="4:36" ht="12.95" customHeight="1">
      <c r="D391" t="s">
        <v>426</v>
      </c>
      <c r="Q391" s="1458">
        <v>8500000</v>
      </c>
      <c r="R391" s="1458"/>
      <c r="S391" s="1458"/>
      <c r="T391" s="1458"/>
      <c r="U391" s="1458"/>
      <c r="V391" s="3" t="s">
        <v>1180</v>
      </c>
      <c r="AG391" s="1512">
        <v>46143</v>
      </c>
      <c r="AH391" s="1512"/>
      <c r="AI391" s="1512"/>
      <c r="AJ391" s="1512"/>
    </row>
    <row r="392" spans="4:36" ht="12.95" customHeight="1">
      <c r="D392" t="s">
        <v>88</v>
      </c>
      <c r="I392" s="1540"/>
      <c r="J392" s="1540"/>
      <c r="K392" s="1540"/>
      <c r="L392" s="1540"/>
      <c r="M392" s="1540"/>
      <c r="N392" s="1540"/>
      <c r="Q392" s="4" t="s">
        <v>205</v>
      </c>
      <c r="S392" s="1456"/>
      <c r="T392" s="1456"/>
      <c r="U392" s="1456"/>
      <c r="V392" t="s">
        <v>73</v>
      </c>
      <c r="AI392" s="1352" t="s">
        <v>668</v>
      </c>
      <c r="AJ392" s="1352"/>
    </row>
    <row r="393" spans="4:36" ht="12.95" customHeight="1">
      <c r="D393" t="s">
        <v>309</v>
      </c>
      <c r="Q393" s="1518"/>
      <c r="R393" s="1518"/>
      <c r="S393" s="1518"/>
      <c r="T393" s="1518"/>
      <c r="U393" s="1518"/>
      <c r="V393" t="s">
        <v>310</v>
      </c>
      <c r="AG393" s="1457"/>
      <c r="AH393" s="1457"/>
      <c r="AI393" s="1457"/>
      <c r="AJ393" s="1457"/>
    </row>
    <row r="394" spans="4:36" ht="12.95" customHeight="1">
      <c r="D394" t="s">
        <v>311</v>
      </c>
      <c r="Q394" s="1590"/>
      <c r="R394" s="1590"/>
      <c r="S394" s="1590"/>
      <c r="T394" s="1590"/>
      <c r="U394" s="1590"/>
      <c r="V394" t="s">
        <v>1162</v>
      </c>
      <c r="AG394" s="1457"/>
      <c r="AH394" s="1457"/>
      <c r="AI394" s="1457"/>
      <c r="AJ394" s="1457"/>
    </row>
    <row r="395" spans="4:36" ht="12.95" customHeight="1">
      <c r="D395" t="s">
        <v>1161</v>
      </c>
      <c r="AG395" s="1457"/>
      <c r="AH395" s="1457"/>
      <c r="AI395" s="1457"/>
      <c r="AJ395" s="1457"/>
    </row>
    <row r="396" spans="4:36" ht="12.95" customHeight="1">
      <c r="AG396" s="456"/>
      <c r="AH396" s="456"/>
      <c r="AI396" s="456"/>
      <c r="AJ396" s="456"/>
    </row>
    <row r="397" spans="4:36" ht="12.95" customHeight="1">
      <c r="D397" s="3" t="s">
        <v>2142</v>
      </c>
      <c r="AG397" s="456"/>
      <c r="AH397" s="456"/>
      <c r="AI397" s="1352" t="s">
        <v>668</v>
      </c>
      <c r="AJ397" s="1352"/>
    </row>
    <row r="398" spans="4:36" ht="12.95" customHeight="1">
      <c r="D398" s="3" t="s">
        <v>1667</v>
      </c>
      <c r="T398" s="1442"/>
      <c r="U398" s="1442"/>
      <c r="V398" s="1442"/>
      <c r="W398" s="1442"/>
      <c r="X398" s="1442"/>
      <c r="Y398" s="1442"/>
      <c r="Z398" s="1442"/>
      <c r="AA398" s="1442"/>
      <c r="AB398" s="1442"/>
      <c r="AC398" s="1442"/>
      <c r="AD398" s="1442"/>
      <c r="AE398" s="1442"/>
      <c r="AF398" s="1442"/>
      <c r="AG398" s="1442"/>
      <c r="AH398" s="1442"/>
      <c r="AI398" s="1442"/>
      <c r="AJ398" s="1442"/>
    </row>
    <row r="399" spans="4:36" ht="12.95" customHeight="1">
      <c r="D399" s="3" t="s">
        <v>1666</v>
      </c>
      <c r="T399" s="1442"/>
      <c r="U399" s="1442"/>
      <c r="V399" s="1442"/>
      <c r="W399" s="1442"/>
      <c r="X399" s="1442"/>
      <c r="Y399" s="1442"/>
      <c r="Z399" s="1442"/>
      <c r="AA399" s="1442"/>
      <c r="AB399" s="1442"/>
      <c r="AC399" s="1442"/>
      <c r="AD399" s="1442"/>
      <c r="AE399" s="1442"/>
      <c r="AF399" s="1442"/>
      <c r="AG399" s="1442"/>
      <c r="AH399" s="1442"/>
      <c r="AI399" s="1442"/>
      <c r="AJ399" s="1442"/>
    </row>
    <row r="400" spans="4:36" ht="12.95" customHeight="1">
      <c r="AG400" s="456"/>
      <c r="AH400" s="456"/>
      <c r="AI400" s="456"/>
      <c r="AJ400" s="456"/>
    </row>
    <row r="401" spans="1:36" ht="12.95" customHeight="1">
      <c r="D401" s="3" t="s">
        <v>1660</v>
      </c>
      <c r="S401" s="1442" t="s">
        <v>668</v>
      </c>
      <c r="T401" s="1442"/>
      <c r="U401" s="1442"/>
      <c r="V401" t="s">
        <v>1661</v>
      </c>
      <c r="AG401" s="1517"/>
      <c r="AH401" s="1517"/>
      <c r="AI401" s="1517"/>
      <c r="AJ401" s="1517"/>
    </row>
    <row r="402" spans="1:36" ht="12.95" customHeight="1">
      <c r="D402" s="3" t="s">
        <v>1658</v>
      </c>
      <c r="S402" s="1442" t="s">
        <v>590</v>
      </c>
      <c r="T402" s="1442"/>
      <c r="U402" s="1442"/>
      <c r="V402" t="s">
        <v>1663</v>
      </c>
      <c r="AE402" s="1511"/>
      <c r="AF402" s="1511"/>
      <c r="AG402" s="1511"/>
      <c r="AH402" s="1511"/>
      <c r="AI402" s="1511"/>
      <c r="AJ402" s="1511"/>
    </row>
    <row r="403" spans="1:36" ht="12.95" customHeight="1">
      <c r="D403" s="3" t="s">
        <v>1659</v>
      </c>
      <c r="K403" s="1513"/>
      <c r="L403" s="1513"/>
      <c r="M403" s="1513"/>
      <c r="N403" s="1513"/>
      <c r="O403" s="1513"/>
      <c r="P403" s="1513"/>
      <c r="Q403" s="1513"/>
      <c r="R403" s="1513"/>
      <c r="S403" s="1513"/>
      <c r="T403" s="1513"/>
      <c r="U403" s="1513"/>
      <c r="V403" s="1513"/>
      <c r="W403" s="1513"/>
      <c r="X403" s="1513"/>
      <c r="Y403" s="1513"/>
      <c r="Z403" s="1513"/>
      <c r="AA403" s="1513"/>
      <c r="AB403" s="1513"/>
      <c r="AC403" s="1513"/>
      <c r="AD403" s="1513"/>
      <c r="AE403" s="1513"/>
      <c r="AF403" s="1513"/>
      <c r="AG403" s="1513"/>
      <c r="AH403" s="1513"/>
      <c r="AI403" s="1513"/>
      <c r="AJ403" s="1513"/>
    </row>
    <row r="404" spans="1:36" ht="12.95" customHeight="1">
      <c r="D404" s="3" t="s">
        <v>1662</v>
      </c>
      <c r="K404" s="1513"/>
      <c r="L404" s="1513"/>
      <c r="M404" s="1513"/>
      <c r="N404" s="1513"/>
      <c r="O404" s="1513"/>
      <c r="P404" s="1513"/>
      <c r="Q404" s="1513"/>
      <c r="R404" s="1513"/>
      <c r="S404" s="1513"/>
      <c r="T404" s="1513"/>
      <c r="U404" s="1513"/>
      <c r="V404" s="1513"/>
      <c r="W404" s="1513"/>
      <c r="X404" s="1513"/>
      <c r="Y404" s="1513"/>
      <c r="Z404" s="1513"/>
      <c r="AA404" s="1513"/>
      <c r="AB404" s="1513"/>
      <c r="AC404" s="1513"/>
      <c r="AD404" s="1513"/>
      <c r="AE404" s="1513"/>
      <c r="AF404" s="1513"/>
      <c r="AG404" s="1513"/>
      <c r="AH404" s="1513"/>
      <c r="AI404" s="1513"/>
      <c r="AJ404" s="1513"/>
    </row>
    <row r="405" spans="1:36" ht="12.95" customHeight="1">
      <c r="D405" s="3" t="s">
        <v>1665</v>
      </c>
      <c r="E405" s="477"/>
      <c r="F405" s="477"/>
      <c r="G405" s="477"/>
      <c r="H405" s="477"/>
      <c r="I405" s="477"/>
      <c r="J405" s="477"/>
      <c r="K405" s="477"/>
      <c r="L405" s="477"/>
      <c r="M405" s="477"/>
      <c r="N405" s="477"/>
      <c r="O405" s="477"/>
      <c r="P405" s="477"/>
      <c r="Q405" s="477"/>
      <c r="R405" s="477"/>
      <c r="S405" s="1454" t="s">
        <v>1183</v>
      </c>
      <c r="T405" s="1454"/>
      <c r="U405" s="1454"/>
      <c r="V405" s="1454"/>
      <c r="W405" s="1454"/>
      <c r="X405" s="1454"/>
      <c r="Y405" s="1454"/>
      <c r="Z405" s="1454"/>
      <c r="AA405" s="1454"/>
      <c r="AB405" s="1454"/>
      <c r="AC405" s="1454"/>
      <c r="AD405" s="1454"/>
      <c r="AE405" s="1454"/>
      <c r="AF405" s="1454"/>
      <c r="AG405" s="1454"/>
      <c r="AH405" s="1454"/>
      <c r="AI405" s="1454"/>
      <c r="AJ405" s="1454"/>
    </row>
    <row r="406" spans="1:36" ht="12.95" customHeight="1">
      <c r="D406" s="1266" t="s">
        <v>1664</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5" customHeight="1">
      <c r="AG408" s="456"/>
      <c r="AH408" s="456"/>
      <c r="AI408" s="456"/>
      <c r="AJ408" s="456"/>
    </row>
    <row r="409" spans="1:36" ht="12.95" customHeight="1">
      <c r="A409" s="2" t="s">
        <v>588</v>
      </c>
      <c r="B409" s="2"/>
      <c r="C409" s="2" t="s">
        <v>111</v>
      </c>
    </row>
    <row r="410" spans="1:36" ht="12.95" customHeight="1">
      <c r="B410" s="2"/>
      <c r="C410" s="2"/>
      <c r="D410" s="2" t="s">
        <v>1203</v>
      </c>
      <c r="I410" s="1516" t="s">
        <v>1223</v>
      </c>
      <c r="J410" s="1516"/>
      <c r="K410" s="1516"/>
      <c r="L410" s="1516"/>
      <c r="M410" s="1516"/>
      <c r="N410" s="1516"/>
      <c r="O410" s="1516"/>
      <c r="P410" s="1516"/>
      <c r="Q410" s="1516"/>
      <c r="R410" s="1516"/>
      <c r="S410" s="1516"/>
      <c r="T410" s="1516"/>
      <c r="U410" s="1516"/>
      <c r="V410" s="1516"/>
      <c r="W410" s="1516"/>
      <c r="X410" s="1516"/>
      <c r="Y410" s="1516"/>
      <c r="Z410" s="1516"/>
      <c r="AA410" s="1516"/>
      <c r="AB410" s="1516"/>
      <c r="AC410" s="1516"/>
      <c r="AD410" s="1516"/>
      <c r="AE410" s="1516"/>
    </row>
    <row r="411" spans="1:36" ht="12.95" customHeight="1">
      <c r="E411" t="s">
        <v>106</v>
      </c>
      <c r="R411" s="1352" t="s">
        <v>544</v>
      </c>
      <c r="S411" s="1352"/>
      <c r="AC411" s="27" t="s">
        <v>569</v>
      </c>
      <c r="AD411" s="1417">
        <v>5</v>
      </c>
      <c r="AE411" s="1417"/>
    </row>
    <row r="412" spans="1:36" ht="12.95" customHeight="1">
      <c r="E412" t="s">
        <v>107</v>
      </c>
      <c r="R412" s="1352" t="s">
        <v>544</v>
      </c>
      <c r="S412" s="1352"/>
      <c r="AC412" s="27" t="s">
        <v>569</v>
      </c>
      <c r="AD412" s="1417">
        <v>3</v>
      </c>
      <c r="AE412" s="1417"/>
    </row>
    <row r="413" spans="1:36" ht="12.95" customHeight="1">
      <c r="E413" t="s">
        <v>108</v>
      </c>
      <c r="S413" s="1352" t="s">
        <v>590</v>
      </c>
      <c r="T413" s="1352"/>
    </row>
    <row r="414" spans="1:36" ht="12.95" customHeight="1">
      <c r="E414" t="s">
        <v>169</v>
      </c>
      <c r="H414" s="1591" t="s">
        <v>2623</v>
      </c>
      <c r="I414" s="1591"/>
      <c r="J414" s="1591"/>
      <c r="K414" s="1591"/>
      <c r="L414" s="1591"/>
      <c r="M414" s="1591"/>
      <c r="N414" s="1591"/>
      <c r="O414" s="1591"/>
      <c r="P414" s="1591"/>
      <c r="Q414" s="1591"/>
      <c r="R414" s="1591"/>
      <c r="S414" s="1591"/>
      <c r="T414" s="1591"/>
      <c r="U414" s="1591"/>
      <c r="V414" s="1591"/>
      <c r="W414" s="1591"/>
      <c r="X414" s="1591"/>
      <c r="Y414" s="1591"/>
      <c r="Z414" s="1591"/>
      <c r="AA414" s="1591"/>
      <c r="AB414" s="1591"/>
      <c r="AC414" s="1591"/>
      <c r="AD414" s="1591"/>
      <c r="AE414" s="1591"/>
    </row>
    <row r="415" spans="1:36" ht="12.95" customHeight="1">
      <c r="H415" s="1592"/>
      <c r="I415" s="1592"/>
      <c r="J415" s="1592"/>
      <c r="K415" s="1592"/>
      <c r="L415" s="1592"/>
      <c r="M415" s="1592"/>
      <c r="N415" s="1592"/>
      <c r="O415" s="1592"/>
      <c r="P415" s="1592"/>
      <c r="Q415" s="1592"/>
      <c r="R415" s="1592"/>
      <c r="S415" s="1592"/>
      <c r="T415" s="1592"/>
      <c r="U415" s="1592"/>
      <c r="V415" s="1592"/>
      <c r="W415" s="1592"/>
      <c r="X415" s="1592"/>
      <c r="Y415" s="1592"/>
      <c r="Z415" s="1592"/>
      <c r="AA415" s="1592"/>
      <c r="AB415" s="1592"/>
      <c r="AC415" s="1592"/>
      <c r="AD415" s="1592"/>
      <c r="AE415" s="1592"/>
    </row>
    <row r="416" spans="1:36" ht="12.95" customHeight="1"/>
    <row r="417" spans="1:39" ht="12.95" customHeight="1">
      <c r="A417" s="2" t="s">
        <v>589</v>
      </c>
      <c r="B417" s="2"/>
      <c r="C417" s="2"/>
      <c r="D417" s="2" t="s">
        <v>114</v>
      </c>
      <c r="AF417" s="2" t="s">
        <v>956</v>
      </c>
    </row>
    <row r="418" spans="1:39" ht="12.95" customHeight="1">
      <c r="E418" s="1452"/>
      <c r="F418" s="1452"/>
      <c r="G418" s="1452"/>
      <c r="H418" s="13" t="s">
        <v>115</v>
      </c>
      <c r="I418" s="1452"/>
      <c r="J418" s="1452"/>
      <c r="K418" s="1452"/>
      <c r="L418" t="s">
        <v>116</v>
      </c>
      <c r="N418" s="27" t="s">
        <v>574</v>
      </c>
      <c r="P418" s="1594">
        <v>2.99</v>
      </c>
      <c r="Q418" s="1594"/>
      <c r="R418" s="1594"/>
      <c r="S418" t="s">
        <v>117</v>
      </c>
      <c r="W418" s="1453">
        <f>IF(E418&gt;0,(E418*I418),(P418*43560))</f>
        <v>130244.40000000001</v>
      </c>
      <c r="X418" s="1453"/>
      <c r="Y418" s="1453"/>
      <c r="Z418" t="s">
        <v>118</v>
      </c>
      <c r="AF418" s="1575">
        <f>IFERROR(IF(P418&gt;0,(AG437/P418),(AG437/(W418/43560))),0)</f>
        <v>43.812709030100329</v>
      </c>
      <c r="AG418" s="1575"/>
      <c r="AH418" s="1575"/>
      <c r="AM418" s="3"/>
    </row>
    <row r="419" spans="1:39" ht="12.95" customHeight="1">
      <c r="E419" t="s">
        <v>51</v>
      </c>
    </row>
    <row r="420" spans="1:39" ht="12.95" customHeight="1">
      <c r="E420" s="1503"/>
      <c r="F420" s="1503"/>
      <c r="G420" s="1503"/>
      <c r="H420" s="1503"/>
      <c r="I420" s="1503"/>
      <c r="J420" s="1503"/>
      <c r="K420" s="1503"/>
      <c r="L420" s="1503"/>
      <c r="M420" s="1503"/>
      <c r="N420" s="1503"/>
      <c r="O420" s="1503"/>
      <c r="P420" s="1503"/>
      <c r="Q420" s="1503"/>
      <c r="R420" s="1503"/>
      <c r="S420" s="1503"/>
      <c r="T420" s="1503"/>
      <c r="U420" s="1503"/>
      <c r="V420" s="1503"/>
      <c r="W420" s="1503"/>
      <c r="X420" s="1503"/>
      <c r="Y420" s="1503"/>
      <c r="Z420" s="1503"/>
      <c r="AA420" s="1503"/>
      <c r="AB420" s="1503"/>
      <c r="AC420" s="1503"/>
      <c r="AD420" s="1503"/>
      <c r="AE420" s="1503"/>
      <c r="AF420" s="1503"/>
      <c r="AG420" s="1503"/>
      <c r="AH420" s="1503"/>
      <c r="AI420" s="1503"/>
      <c r="AJ420" s="1503"/>
    </row>
    <row r="421" spans="1:39" ht="12.95" customHeight="1">
      <c r="E421" s="118" t="s">
        <v>1736</v>
      </c>
      <c r="F421" s="1013"/>
      <c r="G421" s="1013"/>
      <c r="H421" s="1013"/>
      <c r="I421" s="1593">
        <v>2.99</v>
      </c>
      <c r="J421" s="1593"/>
      <c r="K421" s="1593"/>
      <c r="L421" s="1013"/>
      <c r="M421" s="118"/>
      <c r="N421" s="1013"/>
      <c r="O421" s="1013"/>
      <c r="P421" s="1839">
        <f>(DU755+DU778+DU800)/I421</f>
        <v>86.622073578595305</v>
      </c>
      <c r="Q421" s="1839"/>
      <c r="R421" s="1839"/>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591</v>
      </c>
      <c r="B423" s="2"/>
      <c r="C423" s="2"/>
      <c r="D423" s="2" t="s">
        <v>120</v>
      </c>
    </row>
    <row r="424" spans="1:39" ht="12.95" customHeight="1">
      <c r="E424" t="s">
        <v>121</v>
      </c>
      <c r="P424" s="1352">
        <v>3</v>
      </c>
      <c r="Q424" s="1352"/>
      <c r="S424" t="s">
        <v>188</v>
      </c>
      <c r="AE424" s="1352">
        <v>3</v>
      </c>
      <c r="AF424" s="1352"/>
    </row>
    <row r="425" spans="1:39" ht="12.95" customHeight="1">
      <c r="E425" t="s">
        <v>189</v>
      </c>
      <c r="P425" s="1352"/>
      <c r="Q425" s="1352"/>
      <c r="S425" t="s">
        <v>131</v>
      </c>
      <c r="AE425" s="1352" t="s">
        <v>590</v>
      </c>
      <c r="AF425" s="1352"/>
    </row>
    <row r="426" spans="1:39" ht="12.95" customHeight="1">
      <c r="F426" s="28" t="s">
        <v>132</v>
      </c>
    </row>
    <row r="427" spans="1:39" ht="12.95" customHeight="1">
      <c r="F427" s="1522"/>
      <c r="G427" s="1522"/>
      <c r="H427" s="1522"/>
      <c r="I427" s="1522"/>
      <c r="J427" s="1522"/>
      <c r="K427" s="1522"/>
      <c r="L427" s="1522"/>
      <c r="M427" s="1522"/>
      <c r="N427" s="1522"/>
      <c r="O427" s="1522"/>
      <c r="P427" s="1522"/>
      <c r="Q427" s="1522"/>
      <c r="R427" s="1522"/>
      <c r="S427" s="1522"/>
      <c r="T427" s="1522"/>
      <c r="U427" s="1522"/>
      <c r="V427" s="1522"/>
      <c r="W427" s="1522"/>
      <c r="X427" s="1522"/>
      <c r="Y427" s="1522"/>
      <c r="Z427" s="1522"/>
      <c r="AA427" s="1522"/>
      <c r="AB427" s="1522"/>
      <c r="AC427" s="1522"/>
      <c r="AD427" s="1522"/>
      <c r="AE427" s="1522"/>
      <c r="AF427" s="1522"/>
      <c r="AG427" s="1522"/>
      <c r="AH427" s="1522"/>
    </row>
    <row r="428" spans="1:39" ht="12.95" customHeight="1">
      <c r="F428" s="1523"/>
      <c r="G428" s="1523"/>
      <c r="H428" s="1523"/>
      <c r="I428" s="1523"/>
      <c r="J428" s="1523"/>
      <c r="K428" s="1523"/>
      <c r="L428" s="1523"/>
      <c r="M428" s="1523"/>
      <c r="N428" s="1523"/>
      <c r="O428" s="1523"/>
      <c r="P428" s="1523"/>
      <c r="Q428" s="1523"/>
      <c r="R428" s="1523"/>
      <c r="S428" s="1523"/>
      <c r="T428" s="1523"/>
      <c r="U428" s="1523"/>
      <c r="V428" s="1523"/>
      <c r="W428" s="1523"/>
      <c r="X428" s="1523"/>
      <c r="Y428" s="1523"/>
      <c r="Z428" s="1523"/>
      <c r="AA428" s="1523"/>
      <c r="AB428" s="1523"/>
      <c r="AC428" s="1523"/>
      <c r="AD428" s="1523"/>
      <c r="AE428" s="1523"/>
      <c r="AF428" s="1523"/>
      <c r="AG428" s="1523"/>
      <c r="AH428" s="1523"/>
    </row>
    <row r="429" spans="1:39" ht="12.95" customHeight="1">
      <c r="E429" t="s">
        <v>607</v>
      </c>
      <c r="P429" s="1"/>
      <c r="Q429" s="1352" t="s">
        <v>544</v>
      </c>
      <c r="R429" s="1352"/>
    </row>
    <row r="430" spans="1:39" ht="12.95" customHeight="1">
      <c r="F430" t="s">
        <v>608</v>
      </c>
      <c r="P430" s="1"/>
      <c r="Q430" s="1"/>
      <c r="AF430" s="1352" t="s">
        <v>590</v>
      </c>
      <c r="AG430" s="1505"/>
    </row>
    <row r="431" spans="1:39" ht="12.95" customHeight="1"/>
    <row r="432" spans="1:39" ht="12.95" customHeight="1">
      <c r="A432" s="2"/>
      <c r="B432" s="2"/>
      <c r="C432" s="2"/>
      <c r="E432" s="4" t="s">
        <v>307</v>
      </c>
      <c r="Z432" s="1352" t="s">
        <v>668</v>
      </c>
      <c r="AA432" s="1352"/>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706</v>
      </c>
      <c r="G434" s="40"/>
      <c r="I434" s="40"/>
      <c r="J434" s="40"/>
      <c r="K434" s="40"/>
      <c r="L434" s="40"/>
      <c r="M434" s="40"/>
      <c r="N434" s="40"/>
      <c r="O434" s="28"/>
      <c r="P434" s="40"/>
      <c r="Q434" s="40"/>
      <c r="R434" s="40"/>
      <c r="S434" s="40"/>
      <c r="T434" s="40"/>
      <c r="U434" s="40"/>
      <c r="V434" s="40"/>
      <c r="W434" s="40"/>
      <c r="Z434" s="1352" t="s">
        <v>590</v>
      </c>
      <c r="AA434" s="1352"/>
    </row>
    <row r="435" spans="1:55" ht="12.95" customHeight="1"/>
    <row r="436" spans="1:55" ht="12.95" customHeight="1">
      <c r="A436" s="2" t="s">
        <v>466</v>
      </c>
      <c r="B436" s="2"/>
      <c r="C436" s="2"/>
      <c r="D436" s="2" t="s">
        <v>763</v>
      </c>
      <c r="AF436" s="48"/>
    </row>
    <row r="437" spans="1:55" ht="12.95" customHeight="1">
      <c r="D437" s="1504" t="s">
        <v>43</v>
      </c>
      <c r="E437" s="1450"/>
      <c r="F437" s="1450"/>
      <c r="G437" s="1450"/>
      <c r="H437" s="1450"/>
      <c r="I437" s="1450"/>
      <c r="J437" s="1450"/>
      <c r="K437" s="1450"/>
      <c r="L437" s="1450"/>
      <c r="M437" s="1450"/>
      <c r="N437" s="1450"/>
      <c r="O437" s="1450"/>
      <c r="P437" s="1450"/>
      <c r="Q437" s="1450"/>
      <c r="R437" s="1450"/>
      <c r="S437" s="1450"/>
      <c r="T437" s="1450"/>
      <c r="U437" s="1450"/>
      <c r="V437" s="1450"/>
      <c r="W437" s="1450"/>
      <c r="X437" s="1450"/>
      <c r="Y437" s="1450"/>
      <c r="Z437" s="1450"/>
      <c r="AA437" s="1450"/>
      <c r="AB437" s="1450"/>
      <c r="AC437" s="1450"/>
      <c r="AD437" s="1450"/>
      <c r="AE437" s="1450"/>
      <c r="AF437" s="1451"/>
      <c r="AG437" s="1412">
        <v>131</v>
      </c>
      <c r="AH437" s="1412"/>
      <c r="AI437" s="1412"/>
      <c r="AJ437" s="1412"/>
    </row>
    <row r="438" spans="1:55" ht="12.95" customHeight="1">
      <c r="D438" s="1435" t="s">
        <v>1221</v>
      </c>
      <c r="E438" s="1436"/>
      <c r="F438" s="1436"/>
      <c r="G438" s="1436"/>
      <c r="H438" s="1436"/>
      <c r="I438" s="1436"/>
      <c r="J438" s="1436"/>
      <c r="K438" s="1436"/>
      <c r="L438" s="1436"/>
      <c r="M438" s="1436"/>
      <c r="N438" s="1436"/>
      <c r="O438" s="1436"/>
      <c r="P438" s="1436"/>
      <c r="Q438" s="1436"/>
      <c r="R438" s="1436"/>
      <c r="S438" s="1436"/>
      <c r="T438" s="1436"/>
      <c r="U438" s="1436"/>
      <c r="V438" s="1436"/>
      <c r="W438" s="1436"/>
      <c r="X438" s="1436"/>
      <c r="Y438" s="1436"/>
      <c r="Z438" s="1436"/>
      <c r="AA438" s="1436"/>
      <c r="AB438" s="1436"/>
      <c r="AC438" s="1436"/>
      <c r="AD438" s="1436"/>
      <c r="AE438" s="1436"/>
      <c r="AF438" s="1437"/>
      <c r="AG438" s="1524">
        <v>0</v>
      </c>
      <c r="AH438" s="1525"/>
      <c r="AI438" s="1525"/>
      <c r="AJ438" s="1525"/>
    </row>
    <row r="439" spans="1:55" ht="12.95" customHeight="1">
      <c r="D439" s="1435" t="s">
        <v>1030</v>
      </c>
      <c r="E439" s="1436"/>
      <c r="F439" s="1436"/>
      <c r="G439" s="1436"/>
      <c r="H439" s="1436"/>
      <c r="I439" s="1436"/>
      <c r="J439" s="1436"/>
      <c r="K439" s="1436"/>
      <c r="L439" s="1436"/>
      <c r="M439" s="1436"/>
      <c r="N439" s="1436"/>
      <c r="O439" s="1436"/>
      <c r="P439" s="1436"/>
      <c r="Q439" s="1436"/>
      <c r="R439" s="1436"/>
      <c r="S439" s="1436"/>
      <c r="T439" s="1436"/>
      <c r="U439" s="1436"/>
      <c r="V439" s="1436"/>
      <c r="W439" s="1436"/>
      <c r="X439" s="1436"/>
      <c r="Y439" s="1436"/>
      <c r="Z439" s="1436"/>
      <c r="AA439" s="1436"/>
      <c r="AB439" s="1436"/>
      <c r="AC439" s="1436"/>
      <c r="AD439" s="1436"/>
      <c r="AE439" s="1436"/>
      <c r="AF439" s="1437"/>
      <c r="AG439" s="1412">
        <v>130</v>
      </c>
      <c r="AH439" s="1412"/>
      <c r="AI439" s="1412"/>
      <c r="AJ439" s="1412"/>
    </row>
    <row r="440" spans="1:55" ht="12.95" customHeight="1">
      <c r="D440" s="1435" t="s">
        <v>1031</v>
      </c>
      <c r="E440" s="1436"/>
      <c r="F440" s="1436"/>
      <c r="G440" s="1436"/>
      <c r="H440" s="1436"/>
      <c r="I440" s="1436"/>
      <c r="J440" s="1436"/>
      <c r="K440" s="1436"/>
      <c r="L440" s="1436"/>
      <c r="M440" s="1436"/>
      <c r="N440" s="1436"/>
      <c r="O440" s="1436"/>
      <c r="P440" s="1436"/>
      <c r="Q440" s="1436"/>
      <c r="R440" s="1436"/>
      <c r="S440" s="1436"/>
      <c r="T440" s="1436"/>
      <c r="U440" s="1436"/>
      <c r="V440" s="1436"/>
      <c r="W440" s="1436"/>
      <c r="X440" s="1436"/>
      <c r="Y440" s="1436"/>
      <c r="Z440" s="1436"/>
      <c r="AA440" s="1436"/>
      <c r="AB440" s="1436"/>
      <c r="AC440" s="1436"/>
      <c r="AD440" s="1436"/>
      <c r="AE440" s="1436"/>
      <c r="AF440" s="1437"/>
      <c r="AG440" s="1412">
        <v>130</v>
      </c>
      <c r="AH440" s="1412"/>
      <c r="AI440" s="1412"/>
      <c r="AJ440" s="1412"/>
    </row>
    <row r="441" spans="1:55" ht="12.95" customHeight="1">
      <c r="D441" s="1435" t="s">
        <v>1033</v>
      </c>
      <c r="E441" s="1436"/>
      <c r="F441" s="1436"/>
      <c r="G441" s="1436"/>
      <c r="H441" s="1436"/>
      <c r="I441" s="1436"/>
      <c r="J441" s="1436"/>
      <c r="K441" s="1436"/>
      <c r="L441" s="1436"/>
      <c r="M441" s="1436"/>
      <c r="N441" s="1436"/>
      <c r="O441" s="1436"/>
      <c r="P441" s="1436"/>
      <c r="Q441" s="1436"/>
      <c r="R441" s="1436"/>
      <c r="S441" s="1436"/>
      <c r="T441" s="1436"/>
      <c r="U441" s="1436"/>
      <c r="V441" s="1436"/>
      <c r="W441" s="1436"/>
      <c r="X441" s="1436"/>
      <c r="Y441" s="1436"/>
      <c r="Z441" s="1436"/>
      <c r="AA441" s="1436"/>
      <c r="AB441" s="1436"/>
      <c r="AC441" s="1436"/>
      <c r="AD441" s="1436"/>
      <c r="AE441" s="1436"/>
      <c r="AF441" s="1437"/>
      <c r="AG441" s="1434">
        <f>IF(ISERROR(AG440/AG439),0,AG440/AG439)</f>
        <v>1</v>
      </c>
      <c r="AH441" s="1434"/>
      <c r="AI441" s="1434"/>
      <c r="AJ441" s="1434"/>
    </row>
    <row r="442" spans="1:55" ht="12.95" customHeight="1">
      <c r="D442" s="1435" t="s">
        <v>1032</v>
      </c>
      <c r="E442" s="1436"/>
      <c r="F442" s="1436"/>
      <c r="G442" s="1436"/>
      <c r="H442" s="1436"/>
      <c r="I442" s="1436"/>
      <c r="J442" s="1436"/>
      <c r="K442" s="1436"/>
      <c r="L442" s="1436"/>
      <c r="M442" s="1436"/>
      <c r="N442" s="1436"/>
      <c r="O442" s="1436"/>
      <c r="P442" s="1436"/>
      <c r="Q442" s="1436"/>
      <c r="R442" s="1436"/>
      <c r="S442" s="1436"/>
      <c r="T442" s="1436"/>
      <c r="U442" s="1436"/>
      <c r="V442" s="1436"/>
      <c r="W442" s="1436"/>
      <c r="X442" s="1436"/>
      <c r="Y442" s="1436"/>
      <c r="Z442" s="1436"/>
      <c r="AA442" s="1436"/>
      <c r="AB442" s="1436"/>
      <c r="AC442" s="1436"/>
      <c r="AD442" s="1436"/>
      <c r="AE442" s="1436"/>
      <c r="AF442" s="1437"/>
      <c r="AG442" s="1433">
        <v>128707</v>
      </c>
      <c r="AH442" s="1433"/>
      <c r="AI442" s="1433"/>
      <c r="AJ442" s="1433"/>
    </row>
    <row r="443" spans="1:55" ht="12.95" customHeight="1">
      <c r="D443" s="1435" t="s">
        <v>1034</v>
      </c>
      <c r="E443" s="1436"/>
      <c r="F443" s="1436"/>
      <c r="G443" s="1436"/>
      <c r="H443" s="1436"/>
      <c r="I443" s="1436"/>
      <c r="J443" s="1436"/>
      <c r="K443" s="1436"/>
      <c r="L443" s="1436"/>
      <c r="M443" s="1436"/>
      <c r="N443" s="1436"/>
      <c r="O443" s="1436"/>
      <c r="P443" s="1436"/>
      <c r="Q443" s="1436"/>
      <c r="R443" s="1436"/>
      <c r="S443" s="1436"/>
      <c r="T443" s="1436"/>
      <c r="U443" s="1436"/>
      <c r="V443" s="1436"/>
      <c r="W443" s="1436"/>
      <c r="X443" s="1436"/>
      <c r="Y443" s="1436"/>
      <c r="Z443" s="1436"/>
      <c r="AA443" s="1436"/>
      <c r="AB443" s="1436"/>
      <c r="AC443" s="1436"/>
      <c r="AD443" s="1436"/>
      <c r="AE443" s="1436"/>
      <c r="AF443" s="1437"/>
      <c r="AG443" s="1433">
        <v>128707</v>
      </c>
      <c r="AH443" s="1433"/>
      <c r="AI443" s="1433"/>
      <c r="AJ443" s="1433"/>
    </row>
    <row r="444" spans="1:55" ht="12.95" customHeight="1">
      <c r="D444" s="1435" t="s">
        <v>1035</v>
      </c>
      <c r="E444" s="1436"/>
      <c r="F444" s="1436"/>
      <c r="G444" s="1436"/>
      <c r="H444" s="1436"/>
      <c r="I444" s="1436"/>
      <c r="J444" s="1436"/>
      <c r="K444" s="1436"/>
      <c r="L444" s="1436"/>
      <c r="M444" s="1436"/>
      <c r="N444" s="1436"/>
      <c r="O444" s="1436"/>
      <c r="P444" s="1436"/>
      <c r="Q444" s="1436"/>
      <c r="R444" s="1436"/>
      <c r="S444" s="1436"/>
      <c r="T444" s="1436"/>
      <c r="U444" s="1436"/>
      <c r="V444" s="1436"/>
      <c r="W444" s="1436"/>
      <c r="X444" s="1436"/>
      <c r="Y444" s="1436"/>
      <c r="Z444" s="1436"/>
      <c r="AA444" s="1436"/>
      <c r="AB444" s="1436"/>
      <c r="AC444" s="1436"/>
      <c r="AD444" s="1436"/>
      <c r="AE444" s="1436"/>
      <c r="AF444" s="1437"/>
      <c r="AG444" s="1434">
        <f>IF(ISERROR(AG443/AG442),0,AG443/AG442)</f>
        <v>1</v>
      </c>
      <c r="AH444" s="1434"/>
      <c r="AI444" s="1434"/>
      <c r="AJ444" s="1434"/>
    </row>
    <row r="445" spans="1:55" ht="12.95" customHeight="1">
      <c r="D445" s="1435" t="s">
        <v>1036</v>
      </c>
      <c r="E445" s="1436"/>
      <c r="F445" s="1436"/>
      <c r="G445" s="1436"/>
      <c r="H445" s="1436"/>
      <c r="I445" s="1436"/>
      <c r="J445" s="1436"/>
      <c r="K445" s="1436"/>
      <c r="L445" s="1436"/>
      <c r="M445" s="1436"/>
      <c r="N445" s="1436"/>
      <c r="O445" s="1436"/>
      <c r="P445" s="1436"/>
      <c r="Q445" s="1436"/>
      <c r="R445" s="1436"/>
      <c r="S445" s="1436"/>
      <c r="T445" s="1436"/>
      <c r="U445" s="1436"/>
      <c r="V445" s="1436"/>
      <c r="W445" s="1436"/>
      <c r="X445" s="1436"/>
      <c r="Y445" s="1436"/>
      <c r="Z445" s="1436"/>
      <c r="AA445" s="1436"/>
      <c r="AB445" s="1436"/>
      <c r="AC445" s="1436"/>
      <c r="AD445" s="1436"/>
      <c r="AE445" s="1436"/>
      <c r="AF445" s="1437"/>
      <c r="AG445" s="1434">
        <f>MIN(IF(AG441&gt;AG444,AG444,AG441),1)</f>
        <v>1</v>
      </c>
      <c r="AH445" s="1434"/>
      <c r="AI445" s="1434"/>
      <c r="AJ445" s="1434"/>
    </row>
    <row r="446" spans="1:55" ht="12.95" customHeight="1">
      <c r="D446" s="1435" t="s">
        <v>2087</v>
      </c>
      <c r="E446" s="1450"/>
      <c r="F446" s="1450"/>
      <c r="G446" s="1450"/>
      <c r="H446" s="1450"/>
      <c r="I446" s="1450"/>
      <c r="J446" s="1450"/>
      <c r="K446" s="1450"/>
      <c r="L446" s="1450"/>
      <c r="M446" s="1450"/>
      <c r="N446" s="1450"/>
      <c r="O446" s="1450"/>
      <c r="P446" s="1450"/>
      <c r="Q446" s="1450"/>
      <c r="R446" s="1450"/>
      <c r="S446" s="1450"/>
      <c r="T446" s="1450"/>
      <c r="U446" s="1450"/>
      <c r="V446" s="1450"/>
      <c r="W446" s="1450"/>
      <c r="X446" s="1450"/>
      <c r="Y446" s="1450"/>
      <c r="Z446" s="1450"/>
      <c r="AA446" s="1450"/>
      <c r="AB446" s="1450"/>
      <c r="AC446" s="1450"/>
      <c r="AD446" s="1450"/>
      <c r="AE446" s="1450"/>
      <c r="AF446" s="1451"/>
      <c r="AG446" s="1433">
        <v>4379</v>
      </c>
      <c r="AH446" s="1433"/>
      <c r="AI446" s="1433"/>
      <c r="AJ446" s="1433"/>
      <c r="AZ446" s="34"/>
      <c r="BA446" s="34"/>
      <c r="BB446" s="34"/>
      <c r="BC446" s="34"/>
    </row>
    <row r="447" spans="1:55" ht="12.95" customHeight="1">
      <c r="D447" s="1504" t="s">
        <v>568</v>
      </c>
      <c r="E447" s="1450"/>
      <c r="F447" s="1450"/>
      <c r="G447" s="1450"/>
      <c r="H447" s="1450"/>
      <c r="I447" s="1450"/>
      <c r="J447" s="1450"/>
      <c r="K447" s="1450"/>
      <c r="L447" s="1450"/>
      <c r="M447" s="1450"/>
      <c r="N447" s="1450"/>
      <c r="O447" s="1450"/>
      <c r="P447" s="1450"/>
      <c r="Q447" s="1450"/>
      <c r="R447" s="1450"/>
      <c r="S447" s="1450"/>
      <c r="T447" s="1450"/>
      <c r="U447" s="1450"/>
      <c r="V447" s="1450"/>
      <c r="W447" s="1450"/>
      <c r="X447" s="1450"/>
      <c r="Y447" s="1450"/>
      <c r="Z447" s="1450"/>
      <c r="AA447" s="1450"/>
      <c r="AB447" s="1450"/>
      <c r="AC447" s="1450"/>
      <c r="AD447" s="1450"/>
      <c r="AE447" s="1450"/>
      <c r="AF447" s="1451"/>
      <c r="AG447" s="1433">
        <v>0</v>
      </c>
      <c r="AH447" s="1433"/>
      <c r="AI447" s="1433"/>
      <c r="AJ447" s="1433"/>
      <c r="AZ447" s="3"/>
      <c r="BA447" s="3"/>
      <c r="BB447" s="3"/>
      <c r="BC447" s="3"/>
    </row>
    <row r="448" spans="1:55" ht="12.95" customHeight="1">
      <c r="D448" s="1435" t="s">
        <v>1204</v>
      </c>
      <c r="E448" s="1450"/>
      <c r="F448" s="1450"/>
      <c r="G448" s="1450"/>
      <c r="H448" s="1450"/>
      <c r="I448" s="1450"/>
      <c r="J448" s="1450"/>
      <c r="K448" s="1450"/>
      <c r="L448" s="1450"/>
      <c r="M448" s="1450"/>
      <c r="N448" s="1450"/>
      <c r="O448" s="1450"/>
      <c r="P448" s="1450"/>
      <c r="Q448" s="1450"/>
      <c r="R448" s="1450"/>
      <c r="S448" s="1450"/>
      <c r="T448" s="1450"/>
      <c r="U448" s="1450"/>
      <c r="V448" s="1450"/>
      <c r="W448" s="1450"/>
      <c r="X448" s="1450"/>
      <c r="Y448" s="1450"/>
      <c r="Z448" s="1450"/>
      <c r="AA448" s="1450"/>
      <c r="AB448" s="1450"/>
      <c r="AC448" s="1450"/>
      <c r="AD448" s="1450"/>
      <c r="AE448" s="1450"/>
      <c r="AF448" s="1451"/>
      <c r="AG448" s="1433">
        <v>30950</v>
      </c>
      <c r="AH448" s="1433"/>
      <c r="AI448" s="1433"/>
      <c r="AJ448" s="1433"/>
      <c r="AZ448" s="3"/>
      <c r="BA448" s="3"/>
      <c r="BB448" s="3"/>
      <c r="BC448" s="3"/>
    </row>
    <row r="449" spans="1:55" ht="12.95" customHeight="1">
      <c r="D449" s="1435" t="s">
        <v>1037</v>
      </c>
      <c r="E449" s="1450"/>
      <c r="F449" s="1450"/>
      <c r="G449" s="1450"/>
      <c r="H449" s="1450"/>
      <c r="I449" s="1450"/>
      <c r="J449" s="1450"/>
      <c r="K449" s="1450"/>
      <c r="L449" s="1450"/>
      <c r="M449" s="1450"/>
      <c r="N449" s="1450"/>
      <c r="O449" s="1450"/>
      <c r="P449" s="1450"/>
      <c r="Q449" s="1450"/>
      <c r="R449" s="1450"/>
      <c r="S449" s="1450"/>
      <c r="T449" s="1450"/>
      <c r="U449" s="1450"/>
      <c r="V449" s="1450"/>
      <c r="W449" s="1450"/>
      <c r="X449" s="1450"/>
      <c r="Y449" s="1450"/>
      <c r="Z449" s="1450"/>
      <c r="AA449" s="1450"/>
      <c r="AB449" s="1450"/>
      <c r="AC449" s="1450"/>
      <c r="AD449" s="1450"/>
      <c r="AE449" s="1450"/>
      <c r="AF449" s="1451"/>
      <c r="AG449" s="1433">
        <v>0</v>
      </c>
      <c r="AH449" s="1433"/>
      <c r="AI449" s="1433"/>
      <c r="AJ449" s="1433"/>
      <c r="BB449" s="3"/>
      <c r="BC449" s="3"/>
    </row>
    <row r="450" spans="1:55" ht="12.95" customHeight="1">
      <c r="D450" s="1567" t="s">
        <v>1038</v>
      </c>
      <c r="E450" s="1568"/>
      <c r="F450" s="1568"/>
      <c r="G450" s="1568"/>
      <c r="H450" s="1568"/>
      <c r="I450" s="1568"/>
      <c r="J450" s="1568"/>
      <c r="K450" s="1568"/>
      <c r="L450" s="1568"/>
      <c r="M450" s="1568"/>
      <c r="N450" s="1568"/>
      <c r="O450" s="1568"/>
      <c r="P450" s="1568"/>
      <c r="Q450" s="1568"/>
      <c r="R450" s="1568"/>
      <c r="S450" s="1568"/>
      <c r="T450" s="1568"/>
      <c r="U450" s="1568"/>
      <c r="V450" s="1568"/>
      <c r="W450" s="1568"/>
      <c r="X450" s="1568"/>
      <c r="Y450" s="1568"/>
      <c r="Z450" s="1568"/>
      <c r="AA450" s="1568"/>
      <c r="AB450" s="1568"/>
      <c r="AC450" s="1568"/>
      <c r="AD450" s="1568"/>
      <c r="AE450" s="1568"/>
      <c r="AF450" s="1569"/>
      <c r="AG450" s="1440">
        <f>AG442+AG446+AG448+AG449</f>
        <v>164036</v>
      </c>
      <c r="AH450" s="1440"/>
      <c r="AI450" s="1440"/>
      <c r="AJ450" s="1440"/>
      <c r="AZ450" s="3"/>
      <c r="BA450" s="3"/>
      <c r="BB450" s="3"/>
      <c r="BC450" s="3"/>
    </row>
    <row r="451" spans="1:55" ht="12.95" customHeight="1">
      <c r="D451" s="1595" t="s">
        <v>1205</v>
      </c>
      <c r="E451" s="1595"/>
      <c r="F451" s="1595"/>
      <c r="G451" s="1595"/>
      <c r="H451" s="1595"/>
      <c r="I451" s="1595"/>
      <c r="J451" s="1595"/>
      <c r="K451" s="1595"/>
      <c r="L451" s="1595"/>
      <c r="M451" s="1595"/>
      <c r="N451" s="1595"/>
      <c r="O451" s="1595"/>
      <c r="P451" s="1595"/>
      <c r="Q451" s="1595"/>
      <c r="R451" s="1595"/>
      <c r="S451" s="1595"/>
      <c r="T451" s="1595"/>
      <c r="U451" s="1595"/>
      <c r="V451" s="1595"/>
      <c r="W451" s="1595"/>
      <c r="X451" s="1595"/>
      <c r="Y451" s="1595"/>
      <c r="Z451" s="1595"/>
      <c r="AA451" s="1595"/>
      <c r="AB451" s="1595"/>
      <c r="AC451" s="1595"/>
      <c r="AD451" s="1595"/>
      <c r="AE451" s="1595"/>
      <c r="AF451" s="1595"/>
      <c r="AG451" s="1595"/>
      <c r="AH451" s="1595"/>
      <c r="AI451" s="1595"/>
      <c r="AJ451" s="1595"/>
      <c r="AZ451" s="3"/>
      <c r="BA451" s="3"/>
      <c r="BB451" s="3"/>
      <c r="BC451" s="3"/>
    </row>
    <row r="452" spans="1:55" ht="12.95" customHeight="1">
      <c r="D452" s="1596"/>
      <c r="E452" s="1596"/>
      <c r="F452" s="1596"/>
      <c r="G452" s="1596"/>
      <c r="H452" s="1596"/>
      <c r="I452" s="1596"/>
      <c r="J452" s="1596"/>
      <c r="K452" s="1596"/>
      <c r="L452" s="1596"/>
      <c r="M452" s="1596"/>
      <c r="N452" s="1596"/>
      <c r="O452" s="1596"/>
      <c r="P452" s="1596"/>
      <c r="Q452" s="1596"/>
      <c r="R452" s="1596"/>
      <c r="S452" s="1596"/>
      <c r="T452" s="1596"/>
      <c r="U452" s="1596"/>
      <c r="V452" s="1596"/>
      <c r="W452" s="1596"/>
      <c r="X452" s="1596"/>
      <c r="Y452" s="1596"/>
      <c r="Z452" s="1596"/>
      <c r="AA452" s="1596"/>
      <c r="AB452" s="1596"/>
      <c r="AC452" s="1596"/>
      <c r="AD452" s="1596"/>
      <c r="AE452" s="1596"/>
      <c r="AF452" s="1596"/>
      <c r="AG452" s="1596"/>
      <c r="AH452" s="1596"/>
      <c r="AI452" s="1596"/>
      <c r="AJ452" s="1596"/>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813</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400">
        <f>IF(AG437=0,"",'Sources and Uses Budget'!B105/Application!AG437)</f>
        <v>523750.67938931298</v>
      </c>
      <c r="AD454" s="1400"/>
      <c r="AE454" s="1400"/>
      <c r="AF454" s="1400"/>
      <c r="AG454" s="177"/>
      <c r="AH454" s="177"/>
      <c r="AI454" s="177"/>
      <c r="AJ454" s="183"/>
      <c r="AZ454" s="3"/>
      <c r="BA454" s="3" t="str">
        <f>AG575</f>
        <v>Yes</v>
      </c>
      <c r="BB454" s="3"/>
      <c r="BC454" s="3"/>
    </row>
    <row r="455" spans="1:55" ht="12.95" customHeight="1">
      <c r="D455" s="205" t="s">
        <v>814</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400">
        <f>IF(AG437=0,"",'Sources and Uses Budget'!C105/Application!AG437)</f>
        <v>523750.67938931298</v>
      </c>
      <c r="AD455" s="1400"/>
      <c r="AE455" s="1400"/>
      <c r="AF455" s="1400"/>
      <c r="AG455" s="177"/>
      <c r="AH455" s="177"/>
      <c r="AI455" s="177"/>
      <c r="AJ455" s="183"/>
      <c r="AZ455" s="3"/>
      <c r="BA455" s="3"/>
      <c r="BB455" s="3"/>
      <c r="BC455" s="3"/>
    </row>
    <row r="456" spans="1:55" ht="12.95" customHeight="1">
      <c r="D456" s="205" t="s">
        <v>862</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400">
        <f>IF(AG437=0,"",('Sources and Uses Budget'!$S$107+'Sources and Uses Budget'!$T$107)/Application!AG437)</f>
        <v>450711.40458015265</v>
      </c>
      <c r="AD456" s="1400"/>
      <c r="AE456" s="1400"/>
      <c r="AF456" s="1400"/>
      <c r="AG456" s="177"/>
      <c r="AH456" s="177"/>
      <c r="AI456" s="177"/>
      <c r="AJ456" s="183"/>
      <c r="AZ456" s="3"/>
      <c r="BA456" s="3"/>
      <c r="BB456" s="3"/>
      <c r="BC456" s="3"/>
    </row>
    <row r="457" spans="1:55" ht="12.95" customHeight="1">
      <c r="D457" s="177"/>
      <c r="E457" s="177"/>
      <c r="F457" s="1401" t="str">
        <f>IFERROR(IF(AC454&gt;650000,"Please provide a justification of cost per unit in Tab 12 for all projects with per unit costs of greater than $650,000.",""),"")</f>
        <v/>
      </c>
      <c r="G457" s="1401"/>
      <c r="H457" s="1401"/>
      <c r="I457" s="1401"/>
      <c r="J457" s="1401"/>
      <c r="K457" s="1401"/>
      <c r="L457" s="1401"/>
      <c r="M457" s="1401"/>
      <c r="N457" s="1401"/>
      <c r="O457" s="1401"/>
      <c r="P457" s="1401"/>
      <c r="Q457" s="1401"/>
      <c r="R457" s="1401"/>
      <c r="S457" s="1401"/>
      <c r="T457" s="1401"/>
      <c r="U457" s="1401"/>
      <c r="V457" s="1401"/>
      <c r="W457" s="1401"/>
      <c r="X457" s="1401"/>
      <c r="Y457" s="1401"/>
      <c r="Z457" s="1401"/>
      <c r="AA457" s="1401"/>
      <c r="AB457" s="1401"/>
      <c r="AC457" s="515"/>
      <c r="AD457" s="177"/>
      <c r="AE457" s="177"/>
      <c r="AF457" s="177"/>
      <c r="AG457" s="177"/>
      <c r="AH457" s="177"/>
      <c r="AI457" s="177"/>
      <c r="AJ457" s="183"/>
      <c r="AZ457" s="3"/>
      <c r="BA457" s="3"/>
      <c r="BB457" s="3"/>
      <c r="BC457" s="3"/>
    </row>
    <row r="458" spans="1:55" ht="12.95" customHeight="1">
      <c r="A458" s="2"/>
      <c r="D458" s="2"/>
      <c r="E458" s="177"/>
      <c r="F458" s="1401"/>
      <c r="G458" s="1401"/>
      <c r="H458" s="1401"/>
      <c r="I458" s="1401"/>
      <c r="J458" s="1401"/>
      <c r="K458" s="1401"/>
      <c r="L458" s="1401"/>
      <c r="M458" s="1401"/>
      <c r="N458" s="1401"/>
      <c r="O458" s="1401"/>
      <c r="P458" s="1401"/>
      <c r="Q458" s="1401"/>
      <c r="R458" s="1401"/>
      <c r="S458" s="1401"/>
      <c r="T458" s="1401"/>
      <c r="U458" s="1401"/>
      <c r="V458" s="1401"/>
      <c r="W458" s="1401"/>
      <c r="X458" s="1401"/>
      <c r="Y458" s="1401"/>
      <c r="Z458" s="1401"/>
      <c r="AA458" s="1401"/>
      <c r="AB458" s="1401"/>
      <c r="AC458" s="177"/>
      <c r="AD458" s="177"/>
      <c r="AE458" s="177"/>
      <c r="AF458" s="177"/>
      <c r="AG458" s="177"/>
      <c r="AH458" s="177"/>
      <c r="AI458" s="177"/>
      <c r="AJ458" s="183"/>
      <c r="AZ458" s="3"/>
      <c r="BA458" s="3"/>
      <c r="BB458" s="3"/>
      <c r="BC458" s="3"/>
    </row>
    <row r="459" spans="1:55" ht="12.95" customHeight="1">
      <c r="A459" s="2" t="s">
        <v>612</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691</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411" t="s">
        <v>2099</v>
      </c>
      <c r="E465" s="1403"/>
      <c r="F465" s="1403"/>
      <c r="G465" s="1403"/>
      <c r="H465" s="1403"/>
      <c r="I465" s="1403"/>
      <c r="J465" s="1403"/>
      <c r="K465" s="1403"/>
      <c r="L465" s="1403"/>
      <c r="M465" s="1403"/>
      <c r="N465" s="1403"/>
      <c r="O465" s="1403"/>
      <c r="P465" s="1403"/>
      <c r="Q465" s="1403"/>
      <c r="R465" s="1403"/>
      <c r="S465" s="1403"/>
      <c r="T465" s="1403"/>
      <c r="U465" s="1403"/>
      <c r="V465" s="1404"/>
      <c r="W465" s="1418">
        <v>0</v>
      </c>
      <c r="X465" s="1419"/>
      <c r="Y465" s="1420"/>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402" t="s">
        <v>692</v>
      </c>
      <c r="E466" s="1403"/>
      <c r="F466" s="1403"/>
      <c r="G466" s="1403"/>
      <c r="H466" s="1403"/>
      <c r="I466" s="1403"/>
      <c r="J466" s="1403"/>
      <c r="K466" s="1403"/>
      <c r="L466" s="1403"/>
      <c r="M466" s="1403"/>
      <c r="N466" s="1403"/>
      <c r="O466" s="1403"/>
      <c r="P466" s="1403"/>
      <c r="Q466" s="1403"/>
      <c r="R466" s="1403"/>
      <c r="S466" s="1403"/>
      <c r="T466" s="1403"/>
      <c r="U466" s="1403"/>
      <c r="V466" s="1404"/>
      <c r="W466" s="1418">
        <v>0</v>
      </c>
      <c r="X466" s="1419"/>
      <c r="Y466" s="1420"/>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402" t="s">
        <v>693</v>
      </c>
      <c r="E467" s="1403"/>
      <c r="F467" s="1403"/>
      <c r="G467" s="1403"/>
      <c r="H467" s="1403"/>
      <c r="I467" s="1403"/>
      <c r="J467" s="1403"/>
      <c r="K467" s="1403"/>
      <c r="L467" s="1403"/>
      <c r="M467" s="1403"/>
      <c r="N467" s="1403"/>
      <c r="O467" s="1403"/>
      <c r="P467" s="1403"/>
      <c r="Q467" s="1403"/>
      <c r="R467" s="1403"/>
      <c r="S467" s="1403"/>
      <c r="T467" s="1403"/>
      <c r="U467" s="1403"/>
      <c r="V467" s="1404"/>
      <c r="W467" s="1418">
        <v>0</v>
      </c>
      <c r="X467" s="1419"/>
      <c r="Y467" s="1420"/>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402" t="s">
        <v>694</v>
      </c>
      <c r="E468" s="1403"/>
      <c r="F468" s="1403"/>
      <c r="G468" s="1403"/>
      <c r="H468" s="1403"/>
      <c r="I468" s="1403"/>
      <c r="J468" s="1403"/>
      <c r="K468" s="1403"/>
      <c r="L468" s="1403"/>
      <c r="M468" s="1403"/>
      <c r="N468" s="1403"/>
      <c r="O468" s="1403"/>
      <c r="P468" s="1403"/>
      <c r="Q468" s="1403"/>
      <c r="R468" s="1403"/>
      <c r="S468" s="1403"/>
      <c r="T468" s="1403"/>
      <c r="U468" s="1403"/>
      <c r="V468" s="1404"/>
      <c r="W468" s="1418">
        <v>0</v>
      </c>
      <c r="X468" s="1419"/>
      <c r="Y468" s="1420"/>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402" t="s">
        <v>880</v>
      </c>
      <c r="E469" s="1403"/>
      <c r="F469" s="1403"/>
      <c r="G469" s="1403"/>
      <c r="H469" s="1403"/>
      <c r="I469" s="1403"/>
      <c r="J469" s="1403"/>
      <c r="K469" s="1403"/>
      <c r="L469" s="1403"/>
      <c r="M469" s="1403"/>
      <c r="N469" s="1403"/>
      <c r="O469" s="1403"/>
      <c r="P469" s="1403"/>
      <c r="Q469" s="1403"/>
      <c r="R469" s="1403"/>
      <c r="S469" s="1403"/>
      <c r="T469" s="1403"/>
      <c r="U469" s="1403"/>
      <c r="V469" s="1404"/>
      <c r="W469" s="1418">
        <v>0</v>
      </c>
      <c r="X469" s="1419"/>
      <c r="Y469" s="1420"/>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402" t="s">
        <v>695</v>
      </c>
      <c r="E470" s="1403"/>
      <c r="F470" s="1403"/>
      <c r="G470" s="1403"/>
      <c r="H470" s="1403"/>
      <c r="I470" s="1403"/>
      <c r="J470" s="1403"/>
      <c r="K470" s="1403"/>
      <c r="L470" s="1403"/>
      <c r="M470" s="1403"/>
      <c r="N470" s="1403"/>
      <c r="O470" s="1403"/>
      <c r="P470" s="1403"/>
      <c r="Q470" s="1403"/>
      <c r="R470" s="1403"/>
      <c r="S470" s="1403"/>
      <c r="T470" s="1403"/>
      <c r="U470" s="1403"/>
      <c r="V470" s="1404"/>
      <c r="W470" s="1418">
        <v>0</v>
      </c>
      <c r="X470" s="1419"/>
      <c r="Y470" s="1420"/>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402" t="s">
        <v>1011</v>
      </c>
      <c r="E471" s="1403"/>
      <c r="F471" s="1403"/>
      <c r="G471" s="1403"/>
      <c r="H471" s="1403"/>
      <c r="I471" s="1403"/>
      <c r="J471" s="1403"/>
      <c r="K471" s="1403"/>
      <c r="L471" s="1403"/>
      <c r="M471" s="1403"/>
      <c r="N471" s="1403"/>
      <c r="O471" s="1403"/>
      <c r="P471" s="1403"/>
      <c r="Q471" s="1403"/>
      <c r="R471" s="1403"/>
      <c r="S471" s="1403"/>
      <c r="T471" s="1403"/>
      <c r="U471" s="1403"/>
      <c r="V471" s="1404"/>
      <c r="W471" s="1418">
        <v>0</v>
      </c>
      <c r="X471" s="1419"/>
      <c r="Y471" s="1420"/>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411" t="s">
        <v>2190</v>
      </c>
      <c r="E472" s="1421"/>
      <c r="F472" s="1421"/>
      <c r="G472" s="1421"/>
      <c r="H472" s="1421"/>
      <c r="I472" s="1421"/>
      <c r="J472" s="1421"/>
      <c r="K472" s="1421"/>
      <c r="L472" s="1421"/>
      <c r="M472" s="1421"/>
      <c r="N472" s="1421"/>
      <c r="O472" s="1421"/>
      <c r="P472" s="1421"/>
      <c r="Q472" s="1421"/>
      <c r="R472" s="1421"/>
      <c r="S472" s="1421"/>
      <c r="T472" s="1421"/>
      <c r="U472" s="1421"/>
      <c r="V472" s="1422"/>
      <c r="W472" s="1418">
        <v>0</v>
      </c>
      <c r="X472" s="1419"/>
      <c r="Y472" s="1420"/>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411" t="s">
        <v>1654</v>
      </c>
      <c r="E473" s="1403"/>
      <c r="F473" s="1403"/>
      <c r="G473" s="1403"/>
      <c r="H473" s="1403"/>
      <c r="I473" s="1403"/>
      <c r="J473" s="1403"/>
      <c r="K473" s="1403"/>
      <c r="L473" s="1403"/>
      <c r="M473" s="1403"/>
      <c r="N473" s="1403"/>
      <c r="O473" s="1403"/>
      <c r="P473" s="1403"/>
      <c r="Q473" s="1403"/>
      <c r="R473" s="1403"/>
      <c r="S473" s="1403"/>
      <c r="T473" s="1403"/>
      <c r="U473" s="1403"/>
      <c r="V473" s="1404"/>
      <c r="W473" s="1418">
        <v>20</v>
      </c>
      <c r="X473" s="1419"/>
      <c r="Y473" s="1420"/>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169</v>
      </c>
      <c r="E474" s="244"/>
      <c r="F474" s="245"/>
      <c r="G474" s="2695" t="s">
        <v>1040</v>
      </c>
      <c r="H474" s="1676"/>
      <c r="I474" s="1676"/>
      <c r="J474" s="1676"/>
      <c r="K474" s="1676"/>
      <c r="L474" s="1676"/>
      <c r="M474" s="1676"/>
      <c r="N474" s="1676"/>
      <c r="O474" s="1676"/>
      <c r="P474" s="1676"/>
      <c r="Q474" s="1676"/>
      <c r="R474" s="1676"/>
      <c r="S474" s="1676"/>
      <c r="T474" s="1676"/>
      <c r="U474" s="1676"/>
      <c r="V474" s="1677"/>
      <c r="W474" s="1418">
        <v>130</v>
      </c>
      <c r="X474" s="1419"/>
      <c r="Y474" s="1420"/>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881</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531" t="s">
        <v>809</v>
      </c>
      <c r="B480" s="1531"/>
      <c r="C480" s="1531"/>
      <c r="D480" s="1531"/>
      <c r="E480" s="1531"/>
      <c r="F480" s="1531"/>
      <c r="G480" s="1531"/>
      <c r="H480" s="1531"/>
      <c r="I480" s="1531"/>
      <c r="J480" s="1531"/>
      <c r="K480" s="1531"/>
      <c r="L480" s="1531"/>
      <c r="M480" s="1531"/>
      <c r="N480" s="1531"/>
      <c r="O480" s="1531"/>
      <c r="P480" s="1531"/>
      <c r="Q480" s="1531"/>
      <c r="R480" s="1531"/>
      <c r="S480" s="1531"/>
      <c r="T480" s="1531"/>
      <c r="U480" s="1531"/>
      <c r="V480" s="1531"/>
      <c r="W480" s="1531"/>
      <c r="X480" s="1531"/>
      <c r="Y480" s="1531"/>
      <c r="Z480" s="1531"/>
      <c r="AA480" s="1531"/>
      <c r="AB480" s="1531"/>
      <c r="AC480" s="1531"/>
      <c r="AD480" s="1531"/>
      <c r="AE480" s="1531"/>
      <c r="AF480" s="1531"/>
      <c r="AG480" s="1531"/>
      <c r="AH480" s="1531"/>
      <c r="AI480" s="1531"/>
      <c r="AJ480" s="1531"/>
      <c r="AK480" s="1531"/>
      <c r="AL480" s="1531"/>
      <c r="AM480" s="1531"/>
      <c r="AN480" s="1531"/>
      <c r="AO480" s="1531"/>
      <c r="AP480" s="1531"/>
      <c r="AQ480" s="1531"/>
      <c r="AR480" s="1531"/>
      <c r="AS480" s="1531"/>
      <c r="AT480" s="1531"/>
      <c r="AU480" s="95"/>
      <c r="AV480" s="95"/>
      <c r="AW480" s="95"/>
      <c r="AX480" s="95"/>
      <c r="AY480" s="95"/>
      <c r="AZ480" s="3"/>
      <c r="BB480" s="3"/>
      <c r="BC480" s="3"/>
    </row>
    <row r="481" spans="1:55" ht="12.95" customHeight="1">
      <c r="A481" s="1531"/>
      <c r="B481" s="1531"/>
      <c r="C481" s="1531"/>
      <c r="D481" s="1531"/>
      <c r="E481" s="1531"/>
      <c r="F481" s="1531"/>
      <c r="G481" s="1531"/>
      <c r="H481" s="1531"/>
      <c r="I481" s="1531"/>
      <c r="J481" s="1531"/>
      <c r="K481" s="1531"/>
      <c r="L481" s="1531"/>
      <c r="M481" s="1531"/>
      <c r="N481" s="1531"/>
      <c r="O481" s="1531"/>
      <c r="P481" s="1531"/>
      <c r="Q481" s="1531"/>
      <c r="R481" s="1531"/>
      <c r="S481" s="1531"/>
      <c r="T481" s="1531"/>
      <c r="U481" s="1531"/>
      <c r="V481" s="1531"/>
      <c r="W481" s="1531"/>
      <c r="X481" s="1531"/>
      <c r="Y481" s="1531"/>
      <c r="Z481" s="1531"/>
      <c r="AA481" s="1531"/>
      <c r="AB481" s="1531"/>
      <c r="AC481" s="1531"/>
      <c r="AD481" s="1531"/>
      <c r="AE481" s="1531"/>
      <c r="AF481" s="1531"/>
      <c r="AG481" s="1531"/>
      <c r="AH481" s="1531"/>
      <c r="AI481" s="1531"/>
      <c r="AJ481" s="1531"/>
      <c r="AK481" s="1531"/>
      <c r="AL481" s="1531"/>
      <c r="AM481" s="1531"/>
      <c r="AN481" s="1531"/>
      <c r="AO481" s="1531"/>
      <c r="AP481" s="1531"/>
      <c r="AQ481" s="1531"/>
      <c r="AR481" s="1531"/>
      <c r="AS481" s="1531"/>
      <c r="AT481" s="1531"/>
      <c r="AZ481" s="3"/>
      <c r="BB481" s="3"/>
      <c r="BC481" s="3"/>
    </row>
    <row r="482" spans="1:55" ht="12.95" customHeight="1">
      <c r="AZ482" s="3"/>
      <c r="BB482" s="3"/>
      <c r="BC482" s="3"/>
    </row>
    <row r="483" spans="1:55" ht="12.95" customHeight="1">
      <c r="A483" s="2" t="s">
        <v>318</v>
      </c>
      <c r="C483" s="2" t="s">
        <v>807</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413" t="s">
        <v>392</v>
      </c>
      <c r="R485" s="1414"/>
      <c r="S485" s="1414"/>
      <c r="T485" s="1414"/>
      <c r="U485" s="1414"/>
      <c r="V485" s="1414"/>
      <c r="W485" s="1414"/>
      <c r="X485" s="1414"/>
      <c r="Y485" s="1414"/>
      <c r="Z485" s="1414"/>
      <c r="AA485" s="1414"/>
      <c r="AB485" s="1414"/>
      <c r="AC485" s="1414"/>
      <c r="AD485" s="1414"/>
      <c r="AE485" s="1414"/>
      <c r="AF485" s="1414"/>
      <c r="AG485" s="1414"/>
      <c r="AH485" s="1414"/>
      <c r="AI485" s="1414"/>
      <c r="AJ485" s="1414"/>
      <c r="AK485" s="1415"/>
      <c r="AZ485" s="3"/>
      <c r="BB485" s="3"/>
      <c r="BC485" s="3"/>
    </row>
    <row r="486" spans="1:55" ht="12.95" customHeight="1">
      <c r="B486" s="45" t="s">
        <v>393</v>
      </c>
      <c r="C486" s="5"/>
      <c r="D486" s="5"/>
      <c r="E486" s="5"/>
      <c r="F486" s="5"/>
      <c r="G486" s="5"/>
      <c r="H486" s="5"/>
      <c r="I486" s="5"/>
      <c r="J486" s="5"/>
      <c r="K486" s="5"/>
      <c r="L486" s="5"/>
      <c r="M486" s="5"/>
      <c r="N486" s="5"/>
      <c r="O486" s="5"/>
      <c r="P486" s="5"/>
      <c r="Q486" s="1332" t="s">
        <v>2624</v>
      </c>
      <c r="R486" s="1333"/>
      <c r="S486" s="1333"/>
      <c r="T486" s="1333"/>
      <c r="U486" s="1333"/>
      <c r="V486" s="1333"/>
      <c r="W486" s="1333"/>
      <c r="X486" s="1333"/>
      <c r="Y486" s="1333"/>
      <c r="Z486" s="1333"/>
      <c r="AA486" s="1333"/>
      <c r="AB486" s="1333"/>
      <c r="AC486" s="1333"/>
      <c r="AD486" s="1333"/>
      <c r="AE486" s="1333"/>
      <c r="AF486" s="1333"/>
      <c r="AG486" s="1333"/>
      <c r="AH486" s="1333"/>
      <c r="AI486" s="1333"/>
      <c r="AJ486" s="1333"/>
      <c r="AK486" s="1334"/>
      <c r="AZ486" s="3"/>
      <c r="BB486" s="3"/>
      <c r="BC486" s="3"/>
    </row>
    <row r="487" spans="1:55" ht="12.95" customHeight="1">
      <c r="B487" s="45" t="s">
        <v>394</v>
      </c>
      <c r="C487" s="5"/>
      <c r="D487" s="5"/>
      <c r="E487" s="5"/>
      <c r="F487" s="5"/>
      <c r="G487" s="5"/>
      <c r="H487" s="5"/>
      <c r="I487" s="5"/>
      <c r="J487" s="5"/>
      <c r="K487" s="5"/>
      <c r="L487" s="5"/>
      <c r="M487" s="5"/>
      <c r="N487" s="5"/>
      <c r="O487" s="5"/>
      <c r="P487" s="5"/>
      <c r="Q487" s="1332" t="s">
        <v>2625</v>
      </c>
      <c r="R487" s="1333"/>
      <c r="S487" s="1333"/>
      <c r="T487" s="1333"/>
      <c r="U487" s="1333"/>
      <c r="V487" s="1333"/>
      <c r="W487" s="1333"/>
      <c r="X487" s="1333"/>
      <c r="Y487" s="1333"/>
      <c r="Z487" s="1333"/>
      <c r="AA487" s="1333"/>
      <c r="AB487" s="1333"/>
      <c r="AC487" s="1333"/>
      <c r="AD487" s="1333"/>
      <c r="AE487" s="1333"/>
      <c r="AF487" s="1333"/>
      <c r="AG487" s="1333"/>
      <c r="AH487" s="1333"/>
      <c r="AI487" s="1333"/>
      <c r="AJ487" s="1333"/>
      <c r="AK487" s="1334"/>
      <c r="AZ487" s="3"/>
      <c r="BB487" s="3"/>
      <c r="BC487" s="3"/>
    </row>
    <row r="488" spans="1:55" ht="12.95" customHeight="1">
      <c r="B488" s="45" t="s">
        <v>395</v>
      </c>
      <c r="C488" s="5"/>
      <c r="D488" s="5"/>
      <c r="E488" s="5"/>
      <c r="F488" s="5"/>
      <c r="G488" s="5"/>
      <c r="H488" s="5"/>
      <c r="I488" s="5"/>
      <c r="J488" s="5"/>
      <c r="K488" s="5"/>
      <c r="L488" s="5"/>
      <c r="M488" s="5"/>
      <c r="N488" s="5"/>
      <c r="O488" s="5"/>
      <c r="P488" s="5"/>
      <c r="Q488" s="1332" t="s">
        <v>2625</v>
      </c>
      <c r="R488" s="1333"/>
      <c r="S488" s="1333"/>
      <c r="T488" s="1333"/>
      <c r="U488" s="1333"/>
      <c r="V488" s="1333"/>
      <c r="W488" s="1333"/>
      <c r="X488" s="1333"/>
      <c r="Y488" s="1333"/>
      <c r="Z488" s="1333"/>
      <c r="AA488" s="1333"/>
      <c r="AB488" s="1333"/>
      <c r="AC488" s="1333"/>
      <c r="AD488" s="1333"/>
      <c r="AE488" s="1333"/>
      <c r="AF488" s="1333"/>
      <c r="AG488" s="1333"/>
      <c r="AH488" s="1333"/>
      <c r="AI488" s="1333"/>
      <c r="AJ488" s="1333"/>
      <c r="AK488" s="1334"/>
      <c r="AZ488" s="3"/>
      <c r="BA488" s="3"/>
      <c r="BB488" s="3"/>
      <c r="BC488" s="3"/>
    </row>
    <row r="489" spans="1:55" ht="12.95" customHeight="1">
      <c r="B489" s="1579" t="s">
        <v>396</v>
      </c>
      <c r="C489" s="1580"/>
      <c r="D489" s="1580"/>
      <c r="E489" s="1580"/>
      <c r="F489" s="1580"/>
      <c r="G489" s="1580"/>
      <c r="H489" s="1580"/>
      <c r="I489" s="1580"/>
      <c r="J489" s="1580"/>
      <c r="K489" s="1580"/>
      <c r="L489" s="1580"/>
      <c r="M489" s="1580"/>
      <c r="N489" s="1580"/>
      <c r="O489" s="1580"/>
      <c r="P489" s="1581"/>
      <c r="Q489" s="1585" t="s">
        <v>544</v>
      </c>
      <c r="R489" s="1586"/>
      <c r="S489" s="1570" t="s">
        <v>2626</v>
      </c>
      <c r="T489" s="1571"/>
      <c r="U489" s="1571"/>
      <c r="V489" s="1571"/>
      <c r="W489" s="1571"/>
      <c r="X489" s="1571"/>
      <c r="Y489" s="1571"/>
      <c r="Z489" s="1571"/>
      <c r="AA489" s="1571"/>
      <c r="AB489" s="1571"/>
      <c r="AC489" s="1571"/>
      <c r="AD489" s="1571"/>
      <c r="AE489" s="1571"/>
      <c r="AF489" s="1571"/>
      <c r="AG489" s="1571"/>
      <c r="AH489" s="1571"/>
      <c r="AI489" s="1571"/>
      <c r="AJ489" s="1571"/>
      <c r="AK489" s="1572"/>
      <c r="AZ489" s="3"/>
      <c r="BA489" s="3"/>
      <c r="BB489" s="3"/>
      <c r="BC489" s="3"/>
    </row>
    <row r="490" spans="1:55" ht="12.95" customHeight="1">
      <c r="B490" s="1582"/>
      <c r="C490" s="1583"/>
      <c r="D490" s="1583"/>
      <c r="E490" s="1583"/>
      <c r="F490" s="1583"/>
      <c r="G490" s="1583"/>
      <c r="H490" s="1583"/>
      <c r="I490" s="1583"/>
      <c r="J490" s="1583"/>
      <c r="K490" s="1583"/>
      <c r="L490" s="1583"/>
      <c r="M490" s="1583"/>
      <c r="N490" s="1583"/>
      <c r="O490" s="1583"/>
      <c r="P490" s="1584"/>
      <c r="Q490" s="1587"/>
      <c r="R490" s="1588"/>
      <c r="S490" s="1573"/>
      <c r="T490" s="1523"/>
      <c r="U490" s="1523"/>
      <c r="V490" s="1523"/>
      <c r="W490" s="1523"/>
      <c r="X490" s="1523"/>
      <c r="Y490" s="1523"/>
      <c r="Z490" s="1523"/>
      <c r="AA490" s="1523"/>
      <c r="AB490" s="1523"/>
      <c r="AC490" s="1523"/>
      <c r="AD490" s="1523"/>
      <c r="AE490" s="1523"/>
      <c r="AF490" s="1523"/>
      <c r="AG490" s="1523"/>
      <c r="AH490" s="1523"/>
      <c r="AI490" s="1523"/>
      <c r="AJ490" s="1523"/>
      <c r="AK490" s="1574"/>
      <c r="AZ490" s="3"/>
      <c r="BA490" s="3"/>
      <c r="BB490" s="3"/>
      <c r="BC490" s="3"/>
    </row>
    <row r="491" spans="1:55" ht="12.95" customHeight="1">
      <c r="B491" s="895" t="s">
        <v>1671</v>
      </c>
      <c r="C491" s="873"/>
      <c r="D491" s="873"/>
      <c r="E491" s="873"/>
      <c r="F491" s="873"/>
      <c r="G491" s="873"/>
      <c r="H491" s="873"/>
      <c r="I491" s="873"/>
      <c r="J491" s="873"/>
      <c r="K491" s="873"/>
      <c r="L491" s="873"/>
      <c r="M491" s="873"/>
      <c r="N491" s="873"/>
      <c r="O491" s="873"/>
      <c r="P491" s="873"/>
      <c r="Q491" s="1405" t="s">
        <v>2627</v>
      </c>
      <c r="R491" s="1406"/>
      <c r="S491" s="1406"/>
      <c r="T491" s="1406"/>
      <c r="U491" s="1406"/>
      <c r="V491" s="1406"/>
      <c r="W491" s="1406"/>
      <c r="X491" s="1406"/>
      <c r="Y491" s="1406"/>
      <c r="Z491" s="1406"/>
      <c r="AA491" s="1406"/>
      <c r="AB491" s="1406"/>
      <c r="AC491" s="1406"/>
      <c r="AD491" s="1406"/>
      <c r="AE491" s="1406"/>
      <c r="AF491" s="1406"/>
      <c r="AG491" s="1406"/>
      <c r="AH491" s="1406"/>
      <c r="AI491" s="1406"/>
      <c r="AJ491" s="1406"/>
      <c r="AK491" s="1407"/>
      <c r="AZ491" s="3"/>
      <c r="BA491" s="3"/>
      <c r="BB491" s="3"/>
      <c r="BC491" s="3"/>
    </row>
    <row r="492" spans="1:55" ht="12.95" customHeight="1">
      <c r="B492" s="45" t="s">
        <v>397</v>
      </c>
      <c r="C492" s="5"/>
      <c r="D492" s="5"/>
      <c r="E492" s="5"/>
      <c r="F492" s="5"/>
      <c r="G492" s="5"/>
      <c r="H492" s="5"/>
      <c r="I492" s="5"/>
      <c r="J492" s="5"/>
      <c r="K492" s="5"/>
      <c r="L492" s="5"/>
      <c r="M492" s="5"/>
      <c r="N492" s="5"/>
      <c r="O492" s="5"/>
      <c r="P492" s="5"/>
      <c r="Q492" s="1332" t="s">
        <v>2628</v>
      </c>
      <c r="R492" s="1333"/>
      <c r="S492" s="1333"/>
      <c r="T492" s="1333"/>
      <c r="U492" s="1333"/>
      <c r="V492" s="1333"/>
      <c r="W492" s="1333"/>
      <c r="X492" s="1333"/>
      <c r="Y492" s="1333"/>
      <c r="Z492" s="1333"/>
      <c r="AA492" s="1333"/>
      <c r="AB492" s="1333"/>
      <c r="AC492" s="1333"/>
      <c r="AD492" s="1333"/>
      <c r="AE492" s="1333"/>
      <c r="AF492" s="1333"/>
      <c r="AG492" s="1333"/>
      <c r="AH492" s="1333"/>
      <c r="AI492" s="1333"/>
      <c r="AJ492" s="1333"/>
      <c r="AK492" s="1334"/>
      <c r="AZ492" s="3"/>
      <c r="BA492" s="3"/>
      <c r="BB492" s="3"/>
      <c r="BC492" s="3"/>
    </row>
    <row r="493" spans="1:55" ht="12.95" customHeight="1">
      <c r="B493" s="45" t="s">
        <v>398</v>
      </c>
      <c r="C493" s="5"/>
      <c r="D493" s="5"/>
      <c r="E493" s="5"/>
      <c r="F493" s="5"/>
      <c r="G493" s="5"/>
      <c r="H493" s="5"/>
      <c r="I493" s="5"/>
      <c r="J493" s="5"/>
      <c r="K493" s="5"/>
      <c r="L493" s="5"/>
      <c r="M493" s="5"/>
      <c r="N493" s="5"/>
      <c r="O493" s="5"/>
      <c r="P493" s="5"/>
      <c r="Q493" s="1332" t="s">
        <v>2629</v>
      </c>
      <c r="R493" s="1333"/>
      <c r="S493" s="1333"/>
      <c r="T493" s="1333"/>
      <c r="U493" s="1333"/>
      <c r="V493" s="1333"/>
      <c r="W493" s="1333"/>
      <c r="X493" s="1333"/>
      <c r="Y493" s="1333"/>
      <c r="Z493" s="1333"/>
      <c r="AA493" s="1333"/>
      <c r="AB493" s="1333"/>
      <c r="AC493" s="1333"/>
      <c r="AD493" s="1333"/>
      <c r="AE493" s="1333"/>
      <c r="AF493" s="1333"/>
      <c r="AG493" s="1333"/>
      <c r="AH493" s="1333"/>
      <c r="AI493" s="1333"/>
      <c r="AJ493" s="1333"/>
      <c r="AK493" s="1334"/>
      <c r="AZ493" s="3"/>
      <c r="BA493" s="3"/>
      <c r="BB493" s="3"/>
      <c r="BC493" s="3"/>
    </row>
    <row r="494" spans="1:55" ht="12.95" customHeight="1">
      <c r="B494" s="121" t="s">
        <v>1668</v>
      </c>
      <c r="C494" s="5"/>
      <c r="D494" s="5"/>
      <c r="E494" s="5"/>
      <c r="F494" s="5"/>
      <c r="G494" s="5"/>
      <c r="H494" s="5"/>
      <c r="I494" s="5"/>
      <c r="J494" s="5"/>
      <c r="K494" s="5"/>
      <c r="L494" s="5"/>
      <c r="M494" s="5"/>
      <c r="N494" s="5"/>
      <c r="O494" s="5"/>
      <c r="P494" s="5"/>
      <c r="Q494" s="1332">
        <v>221</v>
      </c>
      <c r="R494" s="1333"/>
      <c r="S494" s="1333"/>
      <c r="T494" s="1333"/>
      <c r="U494" s="1333"/>
      <c r="V494" s="1333"/>
      <c r="W494" s="1333"/>
      <c r="X494" s="1333"/>
      <c r="Y494" s="1333"/>
      <c r="Z494" s="1333"/>
      <c r="AA494" s="1333"/>
      <c r="AB494" s="1333"/>
      <c r="AC494" s="1333"/>
      <c r="AD494" s="1333"/>
      <c r="AE494" s="1333"/>
      <c r="AF494" s="1333"/>
      <c r="AG494" s="1333"/>
      <c r="AH494" s="1333"/>
      <c r="AI494" s="1333"/>
      <c r="AJ494" s="1333"/>
      <c r="AK494" s="1334"/>
      <c r="AZ494" s="3"/>
      <c r="BA494" s="3"/>
      <c r="BB494" s="3"/>
      <c r="BC494" s="3"/>
    </row>
    <row r="495" spans="1:55" ht="12.95" customHeight="1">
      <c r="B495" s="121" t="s">
        <v>1669</v>
      </c>
      <c r="C495" s="5"/>
      <c r="D495" s="5"/>
      <c r="E495" s="5"/>
      <c r="F495" s="5"/>
      <c r="G495" s="5"/>
      <c r="H495" s="5"/>
      <c r="I495" s="5"/>
      <c r="J495" s="5"/>
      <c r="K495" s="5"/>
      <c r="L495" s="5"/>
      <c r="M495" s="1408">
        <v>15</v>
      </c>
      <c r="N495" s="1409"/>
      <c r="O495" s="1409"/>
      <c r="P495" s="1410"/>
      <c r="Q495" s="121" t="s">
        <v>1670</v>
      </c>
      <c r="R495" s="5"/>
      <c r="S495" s="5"/>
      <c r="T495" s="5"/>
      <c r="U495" s="5"/>
      <c r="V495" s="5"/>
      <c r="W495" s="5"/>
      <c r="X495" s="5"/>
      <c r="Y495" s="5"/>
      <c r="Z495" s="5"/>
      <c r="AA495" s="5"/>
      <c r="AB495" s="5"/>
      <c r="AC495" s="5"/>
      <c r="AD495" s="5"/>
      <c r="AE495" s="5"/>
      <c r="AF495" s="5"/>
      <c r="AG495" s="5"/>
      <c r="AH495" s="1408">
        <v>206</v>
      </c>
      <c r="AI495" s="1409"/>
      <c r="AJ495" s="1409"/>
      <c r="AK495" s="1410"/>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575</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13" t="s">
        <v>400</v>
      </c>
      <c r="AD499" s="1414"/>
      <c r="AE499" s="1414"/>
      <c r="AF499" s="1414"/>
      <c r="AG499" s="1414"/>
      <c r="AH499" s="1414"/>
      <c r="AI499" s="1414"/>
      <c r="AJ499" s="1414"/>
      <c r="AK499" s="1415"/>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13" t="s">
        <v>401</v>
      </c>
      <c r="AD500" s="1414"/>
      <c r="AE500" s="1414"/>
      <c r="AF500" s="1414"/>
      <c r="AG500" s="50" t="s">
        <v>402</v>
      </c>
      <c r="AH500" s="1414" t="s">
        <v>403</v>
      </c>
      <c r="AI500" s="1414"/>
      <c r="AJ500" s="1414"/>
      <c r="AK500" s="1415"/>
      <c r="AZ500" s="3"/>
      <c r="BA500" s="3"/>
      <c r="BB500" s="3"/>
      <c r="BC500" s="3"/>
      <c r="BD500" s="3"/>
      <c r="BE500" s="3"/>
      <c r="BF500" s="3"/>
      <c r="BG500" s="3"/>
      <c r="BH500" s="3"/>
      <c r="BI500" s="3"/>
      <c r="BJ500" s="3"/>
      <c r="BK500" s="3"/>
      <c r="BL500" s="3"/>
      <c r="BM500" s="3"/>
      <c r="BN500" s="3"/>
    </row>
    <row r="501" spans="1:66" ht="12.95" customHeight="1">
      <c r="B501" s="1353" t="s">
        <v>404</v>
      </c>
      <c r="C501" s="1354"/>
      <c r="D501" s="1354"/>
      <c r="E501" s="1354"/>
      <c r="F501" s="1354"/>
      <c r="G501" s="1354"/>
      <c r="H501" s="1355"/>
      <c r="I501" s="42" t="s">
        <v>405</v>
      </c>
      <c r="J501" s="42"/>
      <c r="K501" s="42"/>
      <c r="L501" s="42"/>
      <c r="M501" s="42"/>
      <c r="N501" s="42"/>
      <c r="O501" s="42"/>
      <c r="P501" s="42"/>
      <c r="Q501" s="42"/>
      <c r="R501" s="42"/>
      <c r="S501" s="42"/>
      <c r="T501" s="42"/>
      <c r="U501" s="42"/>
      <c r="V501" s="42"/>
      <c r="W501" s="42"/>
      <c r="AC501" s="1416" t="s">
        <v>590</v>
      </c>
      <c r="AD501" s="1417"/>
      <c r="AE501" s="1417"/>
      <c r="AF501" s="1417"/>
      <c r="AG501" s="13" t="s">
        <v>402</v>
      </c>
      <c r="AH501" s="1438">
        <v>0</v>
      </c>
      <c r="AI501" s="1438"/>
      <c r="AJ501" s="1438"/>
      <c r="AK501" s="1439"/>
      <c r="AZ501" s="3"/>
      <c r="BA501" s="3"/>
      <c r="BB501" s="3"/>
      <c r="BC501" s="3"/>
      <c r="BD501" s="3"/>
      <c r="BE501" s="3"/>
      <c r="BF501" s="3"/>
      <c r="BG501" s="3"/>
      <c r="BH501" s="3"/>
      <c r="BI501" s="3"/>
      <c r="BJ501" s="3"/>
      <c r="BK501" s="3"/>
      <c r="BL501" s="3"/>
      <c r="BM501" s="3"/>
      <c r="BN501" s="3"/>
    </row>
    <row r="502" spans="1:66" ht="12.95" customHeight="1">
      <c r="B502" s="1356"/>
      <c r="C502" s="1357"/>
      <c r="D502" s="1357"/>
      <c r="E502" s="1357"/>
      <c r="F502" s="1357"/>
      <c r="G502" s="1357"/>
      <c r="H502" s="1358"/>
      <c r="I502" s="48" t="s">
        <v>406</v>
      </c>
      <c r="J502" s="48"/>
      <c r="K502" s="48"/>
      <c r="L502" s="48"/>
      <c r="M502" s="48"/>
      <c r="N502" s="48"/>
      <c r="O502" s="48"/>
      <c r="P502" s="48"/>
      <c r="Q502" s="48"/>
      <c r="R502" s="48"/>
      <c r="S502" s="48"/>
      <c r="T502" s="48"/>
      <c r="U502" s="48"/>
      <c r="V502" s="48"/>
      <c r="W502" s="48"/>
      <c r="X502" s="48"/>
      <c r="Y502" s="48"/>
      <c r="Z502" s="48"/>
      <c r="AA502" s="48"/>
      <c r="AB502" s="48"/>
      <c r="AC502" s="1416">
        <v>5</v>
      </c>
      <c r="AD502" s="1417"/>
      <c r="AE502" s="1417"/>
      <c r="AF502" s="1417"/>
      <c r="AG502" s="38" t="s">
        <v>402</v>
      </c>
      <c r="AH502" s="1438">
        <v>2026</v>
      </c>
      <c r="AI502" s="1438"/>
      <c r="AJ502" s="1438"/>
      <c r="AK502" s="1439"/>
      <c r="AZ502" s="3"/>
      <c r="BA502" s="3"/>
      <c r="BB502" s="3"/>
      <c r="BC502" s="3"/>
      <c r="BD502" s="3"/>
      <c r="BE502" s="3"/>
      <c r="BF502" s="3"/>
      <c r="BG502" s="3"/>
      <c r="BH502" s="3"/>
      <c r="BI502" s="3"/>
      <c r="BJ502" s="3"/>
      <c r="BK502" s="3"/>
      <c r="BL502" s="3"/>
      <c r="BM502" s="3"/>
      <c r="BN502" s="3"/>
    </row>
    <row r="503" spans="1:66" ht="12.95" customHeight="1">
      <c r="B503" s="1353" t="s">
        <v>407</v>
      </c>
      <c r="C503" s="1354"/>
      <c r="D503" s="1354"/>
      <c r="E503" s="1354"/>
      <c r="F503" s="1354"/>
      <c r="G503" s="1354"/>
      <c r="H503" s="1355"/>
      <c r="I503" s="42" t="s">
        <v>408</v>
      </c>
      <c r="J503" s="42"/>
      <c r="K503" s="42"/>
      <c r="L503" s="42"/>
      <c r="M503" s="42"/>
      <c r="N503" s="42"/>
      <c r="O503" s="42"/>
      <c r="P503" s="42"/>
      <c r="Q503" s="42"/>
      <c r="R503" s="42"/>
      <c r="S503" s="42"/>
      <c r="T503" s="42"/>
      <c r="U503" s="42"/>
      <c r="V503" s="42"/>
      <c r="W503" s="42"/>
      <c r="AC503" s="1416" t="s">
        <v>590</v>
      </c>
      <c r="AD503" s="1417"/>
      <c r="AE503" s="1417"/>
      <c r="AF503" s="1417"/>
      <c r="AG503" s="13" t="s">
        <v>402</v>
      </c>
      <c r="AH503" s="1438"/>
      <c r="AI503" s="1438"/>
      <c r="AJ503" s="1438"/>
      <c r="AK503" s="1439"/>
      <c r="AZ503" s="3"/>
      <c r="BA503" s="3"/>
      <c r="BB503" s="3"/>
      <c r="BC503" s="3"/>
      <c r="BD503" s="3"/>
      <c r="BE503" s="3"/>
      <c r="BF503" s="3"/>
      <c r="BG503" s="3"/>
      <c r="BH503" s="3"/>
      <c r="BI503" s="3"/>
      <c r="BJ503" s="3"/>
      <c r="BK503" s="3"/>
      <c r="BL503" s="3"/>
      <c r="BM503" s="3"/>
      <c r="BN503" s="3"/>
    </row>
    <row r="504" spans="1:66" ht="12.95" customHeight="1">
      <c r="B504" s="1356"/>
      <c r="C504" s="1357"/>
      <c r="D504" s="1357"/>
      <c r="E504" s="1357"/>
      <c r="F504" s="1357"/>
      <c r="G504" s="1357"/>
      <c r="H504" s="1358"/>
      <c r="I504" t="s">
        <v>409</v>
      </c>
      <c r="AC504" s="1416" t="s">
        <v>590</v>
      </c>
      <c r="AD504" s="1417"/>
      <c r="AE504" s="1417"/>
      <c r="AF504" s="1417"/>
      <c r="AG504" s="13" t="s">
        <v>402</v>
      </c>
      <c r="AH504" s="1438"/>
      <c r="AI504" s="1438"/>
      <c r="AJ504" s="1438"/>
      <c r="AK504" s="1439"/>
      <c r="AZ504" s="3"/>
      <c r="BA504" s="3"/>
      <c r="BB504" s="3"/>
      <c r="BC504" s="3"/>
      <c r="BD504" s="3"/>
      <c r="BE504" s="3"/>
      <c r="BF504" s="3"/>
      <c r="BG504" s="3"/>
      <c r="BH504" s="3"/>
      <c r="BI504" s="3"/>
      <c r="BJ504" s="3"/>
      <c r="BK504" s="3"/>
      <c r="BL504" s="3"/>
      <c r="BM504" s="3"/>
      <c r="BN504" s="3"/>
    </row>
    <row r="505" spans="1:66" ht="12.95" customHeight="1">
      <c r="B505" s="1356"/>
      <c r="C505" s="1357"/>
      <c r="D505" s="1357"/>
      <c r="E505" s="1357"/>
      <c r="F505" s="1357"/>
      <c r="G505" s="1357"/>
      <c r="H505" s="1358"/>
      <c r="I505" t="s">
        <v>410</v>
      </c>
      <c r="AC505" s="1416" t="s">
        <v>590</v>
      </c>
      <c r="AD505" s="1417"/>
      <c r="AE505" s="1417"/>
      <c r="AF505" s="1417"/>
      <c r="AG505" s="13" t="s">
        <v>402</v>
      </c>
      <c r="AH505" s="1438"/>
      <c r="AI505" s="1438"/>
      <c r="AJ505" s="1438"/>
      <c r="AK505" s="1439"/>
      <c r="AZ505" s="3"/>
      <c r="BA505" s="3"/>
      <c r="BB505" s="3"/>
      <c r="BC505" s="3"/>
      <c r="BD505" s="3"/>
      <c r="BE505" s="3"/>
      <c r="BF505" s="3"/>
      <c r="BG505" s="3"/>
      <c r="BH505" s="3"/>
      <c r="BI505" s="3"/>
      <c r="BJ505" s="3"/>
      <c r="BK505" s="3"/>
      <c r="BL505" s="3"/>
      <c r="BM505" s="3"/>
      <c r="BN505" s="3"/>
    </row>
    <row r="506" spans="1:66" ht="12.95" customHeight="1">
      <c r="B506" s="1356"/>
      <c r="C506" s="1357"/>
      <c r="D506" s="1357"/>
      <c r="E506" s="1357"/>
      <c r="F506" s="1357"/>
      <c r="G506" s="1357"/>
      <c r="H506" s="1358"/>
      <c r="I506" t="s">
        <v>411</v>
      </c>
      <c r="AC506" s="1416">
        <v>3</v>
      </c>
      <c r="AD506" s="1417"/>
      <c r="AE506" s="1417"/>
      <c r="AF506" s="1417"/>
      <c r="AG506" s="13" t="s">
        <v>402</v>
      </c>
      <c r="AH506" s="1438">
        <v>2026</v>
      </c>
      <c r="AI506" s="1438"/>
      <c r="AJ506" s="1438"/>
      <c r="AK506" s="1439"/>
      <c r="AZ506" s="3"/>
      <c r="BA506" s="3"/>
      <c r="BB506" s="3"/>
      <c r="BC506" s="3"/>
      <c r="BD506" s="3"/>
      <c r="BE506" s="3"/>
      <c r="BF506" s="3"/>
      <c r="BG506" s="3"/>
      <c r="BH506" s="3"/>
      <c r="BI506" s="3"/>
      <c r="BJ506" s="3"/>
      <c r="BK506" s="3"/>
      <c r="BL506" s="3"/>
      <c r="BM506" s="3"/>
      <c r="BN506" s="3"/>
    </row>
    <row r="507" spans="1:66" ht="12.95" customHeight="1">
      <c r="B507" s="1356"/>
      <c r="C507" s="1357"/>
      <c r="D507" s="1357"/>
      <c r="E507" s="1357"/>
      <c r="F507" s="1357"/>
      <c r="G507" s="1357"/>
      <c r="H507" s="1358"/>
      <c r="I507" s="3" t="s">
        <v>412</v>
      </c>
      <c r="AC507" s="1385">
        <v>5</v>
      </c>
      <c r="AD507" s="1386"/>
      <c r="AE507" s="1386"/>
      <c r="AF507" s="1386"/>
      <c r="AG507" s="13" t="s">
        <v>402</v>
      </c>
      <c r="AH507" s="1438">
        <v>2026</v>
      </c>
      <c r="AI507" s="1438"/>
      <c r="AJ507" s="1438"/>
      <c r="AK507" s="1439"/>
      <c r="AZ507" s="3"/>
      <c r="BA507" s="3"/>
      <c r="BB507" s="3"/>
      <c r="BC507" s="3"/>
      <c r="BD507" s="3"/>
      <c r="BE507" s="3"/>
      <c r="BF507" s="3"/>
      <c r="BG507" s="3"/>
      <c r="BH507" s="3"/>
      <c r="BI507" s="3"/>
      <c r="BJ507" s="3"/>
      <c r="BK507" s="3"/>
      <c r="BL507" s="3"/>
      <c r="BM507" s="3"/>
      <c r="BN507" s="3"/>
    </row>
    <row r="508" spans="1:66" ht="12.95" customHeight="1">
      <c r="B508" s="1356"/>
      <c r="C508" s="1357"/>
      <c r="D508" s="1357"/>
      <c r="E508" s="1357"/>
      <c r="F508" s="1357"/>
      <c r="G508" s="1357"/>
      <c r="H508" s="1358"/>
      <c r="I508" s="896" t="s">
        <v>169</v>
      </c>
      <c r="J508" s="48"/>
      <c r="K508" s="48"/>
      <c r="L508" s="1441" t="s">
        <v>333</v>
      </c>
      <c r="M508" s="1442"/>
      <c r="N508" s="1442"/>
      <c r="O508" s="1442"/>
      <c r="P508" s="1442"/>
      <c r="Q508" s="1442"/>
      <c r="R508" s="1442"/>
      <c r="S508" s="1442"/>
      <c r="T508" s="1442"/>
      <c r="U508" s="1442"/>
      <c r="V508" s="1442"/>
      <c r="W508" s="1442"/>
      <c r="X508" s="1442"/>
      <c r="Y508" s="1442"/>
      <c r="Z508" s="1442"/>
      <c r="AA508" s="1442"/>
      <c r="AB508" s="1689"/>
      <c r="AC508" s="1416" t="s">
        <v>590</v>
      </c>
      <c r="AD508" s="1417"/>
      <c r="AE508" s="1417"/>
      <c r="AF508" s="1417"/>
      <c r="AG508" s="38" t="s">
        <v>402</v>
      </c>
      <c r="AH508" s="1438"/>
      <c r="AI508" s="1438"/>
      <c r="AJ508" s="1438"/>
      <c r="AK508" s="1439"/>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1675</v>
      </c>
      <c r="AC509" s="1412" t="s">
        <v>1183</v>
      </c>
      <c r="AD509" s="1412"/>
      <c r="AE509" s="1412"/>
      <c r="AF509" s="1412"/>
      <c r="AG509" s="13"/>
      <c r="AH509" s="1423"/>
      <c r="AI509" s="1423"/>
      <c r="AJ509" s="1423"/>
      <c r="AK509" s="1424"/>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1672</v>
      </c>
      <c r="AC510" s="1385"/>
      <c r="AD510" s="1386"/>
      <c r="AE510" s="1386"/>
      <c r="AF510" s="1387"/>
      <c r="AG510" s="13"/>
      <c r="AH510" s="1423"/>
      <c r="AI510" s="1423"/>
      <c r="AJ510" s="1423"/>
      <c r="AK510" s="1424"/>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576"/>
      <c r="AD512" s="1577"/>
      <c r="AE512" s="1577"/>
      <c r="AF512" s="1578"/>
      <c r="AG512" s="38"/>
      <c r="AH512" s="1597"/>
      <c r="AI512" s="1597"/>
      <c r="AJ512" s="1597"/>
      <c r="AK512" s="1598"/>
      <c r="AZ512" s="3"/>
      <c r="BA512" s="3"/>
      <c r="BB512" s="3"/>
      <c r="BC512" s="3"/>
      <c r="BD512" s="3"/>
      <c r="BE512" s="3"/>
      <c r="BF512" s="3"/>
      <c r="BG512" s="3"/>
      <c r="BH512" s="3"/>
      <c r="BI512" s="3"/>
      <c r="BJ512" s="3"/>
      <c r="BK512" s="3"/>
      <c r="BL512" s="3"/>
      <c r="BM512" s="3"/>
      <c r="BN512" s="3" t="s">
        <v>1183</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7" t="s">
        <v>401</v>
      </c>
      <c r="AD513" s="1688"/>
      <c r="AE513" s="1688"/>
      <c r="AF513" s="1688"/>
      <c r="AG513" s="38" t="s">
        <v>402</v>
      </c>
      <c r="AH513" s="1688" t="s">
        <v>403</v>
      </c>
      <c r="AI513" s="1688"/>
      <c r="AJ513" s="1688"/>
      <c r="AK513" s="1693"/>
      <c r="AZ513" s="3"/>
      <c r="BA513" s="3"/>
      <c r="BB513" s="3"/>
      <c r="BC513" s="3"/>
      <c r="BD513" s="3"/>
      <c r="BE513" s="3"/>
      <c r="BF513" s="3"/>
      <c r="BG513" s="3"/>
      <c r="BH513" s="3"/>
      <c r="BI513" s="3"/>
      <c r="BJ513" s="3"/>
      <c r="BK513" s="3"/>
      <c r="BL513" s="3"/>
      <c r="BM513" s="3"/>
      <c r="BN513" s="3" t="s">
        <v>2104</v>
      </c>
    </row>
    <row r="514" spans="2:66" ht="12.95" customHeight="1">
      <c r="B514" s="1353" t="s">
        <v>413</v>
      </c>
      <c r="C514" s="1354"/>
      <c r="D514" s="1354"/>
      <c r="E514" s="1354"/>
      <c r="F514" s="1354"/>
      <c r="G514" s="1354"/>
      <c r="H514" s="1355"/>
      <c r="I514" s="42" t="s">
        <v>414</v>
      </c>
      <c r="J514" s="42"/>
      <c r="K514" s="42"/>
      <c r="L514" s="42"/>
      <c r="M514" s="42"/>
      <c r="N514" s="42"/>
      <c r="O514" s="42"/>
      <c r="P514" s="42"/>
      <c r="Q514" s="42"/>
      <c r="R514" s="42"/>
      <c r="S514" s="42"/>
      <c r="T514" s="42"/>
      <c r="U514" s="42"/>
      <c r="V514" s="42"/>
      <c r="W514" s="42"/>
      <c r="AC514" s="1416">
        <v>8</v>
      </c>
      <c r="AD514" s="1417"/>
      <c r="AE514" s="1417"/>
      <c r="AF514" s="1417"/>
      <c r="AG514" s="13" t="s">
        <v>402</v>
      </c>
      <c r="AH514" s="1438">
        <v>2025</v>
      </c>
      <c r="AI514" s="1438"/>
      <c r="AJ514" s="1438"/>
      <c r="AK514" s="1439"/>
      <c r="AZ514" s="3"/>
      <c r="BA514" s="3"/>
      <c r="BB514" s="3"/>
      <c r="BC514" s="3"/>
      <c r="BD514" s="3"/>
      <c r="BE514" s="3"/>
      <c r="BF514" s="3"/>
      <c r="BG514" s="3"/>
      <c r="BH514" s="3"/>
      <c r="BI514" s="3"/>
      <c r="BJ514" s="3"/>
      <c r="BK514" s="3"/>
      <c r="BL514" s="3"/>
      <c r="BM514" s="3"/>
      <c r="BN514" s="3" t="s">
        <v>2105</v>
      </c>
    </row>
    <row r="515" spans="2:66" ht="12.95" customHeight="1">
      <c r="B515" s="1356"/>
      <c r="C515" s="1357"/>
      <c r="D515" s="1357"/>
      <c r="E515" s="1357"/>
      <c r="F515" s="1357"/>
      <c r="G515" s="1357"/>
      <c r="H515" s="1358"/>
      <c r="I515" t="s">
        <v>415</v>
      </c>
      <c r="AC515" s="1416">
        <v>9</v>
      </c>
      <c r="AD515" s="1417"/>
      <c r="AE515" s="1417"/>
      <c r="AF515" s="1417"/>
      <c r="AG515" s="13" t="s">
        <v>402</v>
      </c>
      <c r="AH515" s="1438">
        <v>2025</v>
      </c>
      <c r="AI515" s="1438"/>
      <c r="AJ515" s="1438"/>
      <c r="AK515" s="1439"/>
      <c r="AZ515" s="3"/>
      <c r="BA515" s="3"/>
      <c r="BB515" s="3"/>
      <c r="BC515" s="3"/>
      <c r="BD515" s="3"/>
      <c r="BE515" s="3"/>
      <c r="BF515" s="3"/>
      <c r="BG515" s="3"/>
      <c r="BH515" s="3"/>
      <c r="BI515" s="3"/>
      <c r="BJ515" s="3"/>
      <c r="BK515" s="3"/>
      <c r="BL515" s="3"/>
      <c r="BM515" s="3"/>
      <c r="BN515" s="3" t="s">
        <v>2106</v>
      </c>
    </row>
    <row r="516" spans="2:66" ht="12.95" customHeight="1">
      <c r="B516" s="1356"/>
      <c r="C516" s="1357"/>
      <c r="D516" s="1357"/>
      <c r="E516" s="1357"/>
      <c r="F516" s="1357"/>
      <c r="G516" s="1357"/>
      <c r="H516" s="1358"/>
      <c r="I516" s="48" t="s">
        <v>416</v>
      </c>
      <c r="J516" s="48"/>
      <c r="K516" s="48"/>
      <c r="L516" s="48"/>
      <c r="M516" s="48"/>
      <c r="N516" s="48"/>
      <c r="O516" s="48"/>
      <c r="P516" s="48"/>
      <c r="Q516" s="48"/>
      <c r="R516" s="48"/>
      <c r="S516" s="48"/>
      <c r="T516" s="48"/>
      <c r="U516" s="48"/>
      <c r="V516" s="48"/>
      <c r="W516" s="48"/>
      <c r="X516" s="48"/>
      <c r="Y516" s="48"/>
      <c r="Z516" s="48"/>
      <c r="AA516" s="48"/>
      <c r="AB516" s="48"/>
      <c r="AC516" s="1416">
        <v>5</v>
      </c>
      <c r="AD516" s="1417"/>
      <c r="AE516" s="1417"/>
      <c r="AF516" s="1417"/>
      <c r="AG516" s="38" t="s">
        <v>402</v>
      </c>
      <c r="AH516" s="1438">
        <v>2026</v>
      </c>
      <c r="AI516" s="1438"/>
      <c r="AJ516" s="1438"/>
      <c r="AK516" s="1439"/>
      <c r="AZ516" s="3"/>
      <c r="BA516" s="3"/>
      <c r="BB516" s="3"/>
      <c r="BC516" s="3"/>
      <c r="BD516" s="3"/>
      <c r="BE516" s="3"/>
      <c r="BF516" s="3"/>
      <c r="BG516" s="3"/>
      <c r="BH516" s="3"/>
      <c r="BI516" s="3"/>
      <c r="BJ516" s="3"/>
      <c r="BK516" s="3"/>
      <c r="BL516" s="3"/>
      <c r="BM516" s="3"/>
      <c r="BN516" s="3" t="s">
        <v>2107</v>
      </c>
    </row>
    <row r="517" spans="2:66" ht="12.95" customHeight="1">
      <c r="B517" s="1353" t="s">
        <v>417</v>
      </c>
      <c r="C517" s="1354"/>
      <c r="D517" s="1354"/>
      <c r="E517" s="1354"/>
      <c r="F517" s="1354"/>
      <c r="G517" s="1354"/>
      <c r="H517" s="1355"/>
      <c r="I517" s="42" t="s">
        <v>414</v>
      </c>
      <c r="J517" s="42"/>
      <c r="K517" s="42"/>
      <c r="L517" s="42"/>
      <c r="M517" s="42"/>
      <c r="N517" s="42"/>
      <c r="O517" s="42"/>
      <c r="P517" s="42"/>
      <c r="Q517" s="42"/>
      <c r="R517" s="42"/>
      <c r="S517" s="42"/>
      <c r="T517" s="42"/>
      <c r="U517" s="42"/>
      <c r="V517" s="42"/>
      <c r="W517" s="42"/>
      <c r="X517" s="42"/>
      <c r="Y517" s="42"/>
      <c r="Z517" s="42"/>
      <c r="AA517" s="42"/>
      <c r="AB517" s="42"/>
      <c r="AC517" s="1385">
        <v>8</v>
      </c>
      <c r="AD517" s="1386"/>
      <c r="AE517" s="1386"/>
      <c r="AF517" s="1386"/>
      <c r="AG517" s="129" t="s">
        <v>402</v>
      </c>
      <c r="AH517" s="1438">
        <v>2025</v>
      </c>
      <c r="AI517" s="1438"/>
      <c r="AJ517" s="1438"/>
      <c r="AK517" s="1439"/>
      <c r="AZ517" s="3"/>
      <c r="BB517" s="3"/>
      <c r="BC517" s="3"/>
      <c r="BD517" s="3"/>
      <c r="BE517" s="3"/>
      <c r="BF517" s="3"/>
      <c r="BG517" s="3"/>
      <c r="BH517" s="3"/>
      <c r="BI517" s="3"/>
      <c r="BJ517" s="3"/>
      <c r="BK517" s="3"/>
      <c r="BL517" s="3"/>
      <c r="BM517" s="3"/>
      <c r="BN517" s="3" t="s">
        <v>2108</v>
      </c>
    </row>
    <row r="518" spans="2:66" ht="12.95" customHeight="1">
      <c r="B518" s="1356"/>
      <c r="C518" s="1357"/>
      <c r="D518" s="1357"/>
      <c r="E518" s="1357"/>
      <c r="F518" s="1357"/>
      <c r="G518" s="1357"/>
      <c r="H518" s="1358"/>
      <c r="I518" t="s">
        <v>415</v>
      </c>
      <c r="AC518" s="1416">
        <v>9</v>
      </c>
      <c r="AD518" s="1417"/>
      <c r="AE518" s="1417"/>
      <c r="AF518" s="1417"/>
      <c r="AG518" s="13" t="s">
        <v>402</v>
      </c>
      <c r="AH518" s="1438">
        <v>2025</v>
      </c>
      <c r="AI518" s="1438"/>
      <c r="AJ518" s="1438"/>
      <c r="AK518" s="1439"/>
      <c r="BB518" s="3"/>
      <c r="BC518" s="3"/>
      <c r="BD518" s="3"/>
      <c r="BE518" s="3"/>
      <c r="BF518" s="3"/>
      <c r="BG518" s="3"/>
      <c r="BH518" s="3"/>
      <c r="BI518" s="3"/>
      <c r="BJ518" s="3"/>
      <c r="BK518" s="3"/>
      <c r="BL518" s="3"/>
      <c r="BM518" s="3"/>
      <c r="BN518" s="3" t="s">
        <v>2109</v>
      </c>
    </row>
    <row r="519" spans="2:66" ht="12.95" customHeight="1">
      <c r="B519" s="1359"/>
      <c r="C519" s="1360"/>
      <c r="D519" s="1360"/>
      <c r="E519" s="1360"/>
      <c r="F519" s="1360"/>
      <c r="G519" s="1360"/>
      <c r="H519" s="1361"/>
      <c r="I519" s="48" t="s">
        <v>416</v>
      </c>
      <c r="J519" s="48"/>
      <c r="K519" s="48"/>
      <c r="L519" s="48"/>
      <c r="M519" s="48"/>
      <c r="N519" s="48"/>
      <c r="O519" s="48"/>
      <c r="P519" s="48"/>
      <c r="Q519" s="48"/>
      <c r="R519" s="48"/>
      <c r="S519" s="48"/>
      <c r="T519" s="48"/>
      <c r="U519" s="48"/>
      <c r="V519" s="48"/>
      <c r="W519" s="48"/>
      <c r="X519" s="48"/>
      <c r="Y519" s="48"/>
      <c r="Z519" s="48"/>
      <c r="AA519" s="48"/>
      <c r="AB519" s="48"/>
      <c r="AC519" s="1416">
        <v>9</v>
      </c>
      <c r="AD519" s="1417"/>
      <c r="AE519" s="1417"/>
      <c r="AF519" s="1417"/>
      <c r="AG519" s="38" t="s">
        <v>402</v>
      </c>
      <c r="AH519" s="1438">
        <v>2028</v>
      </c>
      <c r="AI519" s="1438"/>
      <c r="AJ519" s="1438"/>
      <c r="AK519" s="1439"/>
      <c r="BB519" s="3"/>
      <c r="BC519" s="3"/>
      <c r="BD519" s="3"/>
      <c r="BE519" s="3"/>
      <c r="BF519" s="3"/>
      <c r="BG519" s="3"/>
      <c r="BH519" s="3"/>
      <c r="BI519" s="3"/>
      <c r="BJ519" s="3"/>
      <c r="BK519" s="3"/>
      <c r="BL519" s="3"/>
      <c r="BM519" s="3"/>
      <c r="BN519" s="3" t="s">
        <v>2110</v>
      </c>
    </row>
    <row r="520" spans="2:66" ht="12.95" customHeight="1">
      <c r="B520" s="1353" t="s">
        <v>418</v>
      </c>
      <c r="C520" s="1354"/>
      <c r="D520" s="1354"/>
      <c r="E520" s="1354"/>
      <c r="F520" s="1354"/>
      <c r="G520" s="1354"/>
      <c r="H520" s="1355"/>
      <c r="I520" s="41" t="s">
        <v>419</v>
      </c>
      <c r="J520" s="42"/>
      <c r="K520" s="42"/>
      <c r="L520" s="42"/>
      <c r="M520" s="42"/>
      <c r="N520" s="42"/>
      <c r="O520" s="1441" t="s">
        <v>333</v>
      </c>
      <c r="P520" s="1442"/>
      <c r="Q520" s="1442"/>
      <c r="R520" s="1442"/>
      <c r="S520" s="1442"/>
      <c r="T520" s="1442"/>
      <c r="U520" s="1442"/>
      <c r="V520" s="1442"/>
      <c r="W520" s="1442"/>
      <c r="X520" s="1442"/>
      <c r="Y520" s="1442"/>
      <c r="Z520" s="1442"/>
      <c r="AA520" s="1442"/>
      <c r="AB520" s="58"/>
      <c r="AC520" s="1385" t="s">
        <v>590</v>
      </c>
      <c r="AD520" s="1386"/>
      <c r="AE520" s="1386"/>
      <c r="AF520" s="1386"/>
      <c r="AG520" s="129" t="s">
        <v>402</v>
      </c>
      <c r="AH520" s="1438"/>
      <c r="AI520" s="1438"/>
      <c r="AJ520" s="1438"/>
      <c r="AK520" s="1439"/>
      <c r="AZ520" s="3"/>
      <c r="BB520" s="3"/>
      <c r="BC520" s="3"/>
      <c r="BD520" s="3"/>
      <c r="BE520" s="3"/>
      <c r="BF520" s="3"/>
      <c r="BG520" s="3"/>
      <c r="BH520" s="3"/>
      <c r="BI520" s="3"/>
      <c r="BJ520" s="3"/>
      <c r="BK520" s="3"/>
      <c r="BL520" s="3"/>
      <c r="BM520" s="3"/>
      <c r="BN520" s="3" t="s">
        <v>2111</v>
      </c>
    </row>
    <row r="521" spans="2:66" ht="12.95" customHeight="1">
      <c r="B521" s="1356"/>
      <c r="C521" s="1357"/>
      <c r="D521" s="1357"/>
      <c r="E521" s="1357"/>
      <c r="F521" s="1357"/>
      <c r="G521" s="1357"/>
      <c r="H521" s="1358"/>
      <c r="I521" s="114" t="s">
        <v>420</v>
      </c>
      <c r="AB521" s="65"/>
      <c r="AC521" s="1416" t="s">
        <v>590</v>
      </c>
      <c r="AD521" s="1417"/>
      <c r="AE521" s="1417"/>
      <c r="AF521" s="1417"/>
      <c r="AG521" s="13" t="s">
        <v>402</v>
      </c>
      <c r="AH521" s="1438"/>
      <c r="AI521" s="1438"/>
      <c r="AJ521" s="1438"/>
      <c r="AK521" s="1439"/>
      <c r="AZ521" s="3"/>
      <c r="BB521" s="3"/>
      <c r="BC521" s="3"/>
      <c r="BD521" s="3"/>
      <c r="BE521" s="3"/>
      <c r="BF521" s="3"/>
      <c r="BG521" s="3"/>
      <c r="BH521" s="3"/>
      <c r="BI521" s="3"/>
      <c r="BJ521" s="3"/>
      <c r="BK521" s="3"/>
      <c r="BL521" s="3"/>
      <c r="BM521" s="3"/>
      <c r="BN521" s="3" t="s">
        <v>2112</v>
      </c>
    </row>
    <row r="522" spans="2:66" ht="12.95" customHeight="1">
      <c r="B522" s="1356"/>
      <c r="C522" s="1357"/>
      <c r="D522" s="1357"/>
      <c r="E522" s="1357"/>
      <c r="F522" s="1357"/>
      <c r="G522" s="1357"/>
      <c r="H522" s="1358"/>
      <c r="I522" s="47" t="s">
        <v>421</v>
      </c>
      <c r="J522" s="48"/>
      <c r="K522" s="48"/>
      <c r="L522" s="48"/>
      <c r="M522" s="48"/>
      <c r="N522" s="48"/>
      <c r="O522" s="48"/>
      <c r="P522" s="48"/>
      <c r="Q522" s="48"/>
      <c r="R522" s="48"/>
      <c r="S522" s="48"/>
      <c r="T522" s="48"/>
      <c r="U522" s="48"/>
      <c r="V522" s="48"/>
      <c r="W522" s="48"/>
      <c r="X522" s="48"/>
      <c r="Y522" s="48"/>
      <c r="Z522" s="48"/>
      <c r="AA522" s="48"/>
      <c r="AB522" s="49"/>
      <c r="AC522" s="1416" t="s">
        <v>590</v>
      </c>
      <c r="AD522" s="1417"/>
      <c r="AE522" s="1417"/>
      <c r="AF522" s="1417"/>
      <c r="AG522" s="38" t="s">
        <v>402</v>
      </c>
      <c r="AH522" s="1438"/>
      <c r="AI522" s="1438"/>
      <c r="AJ522" s="1438"/>
      <c r="AK522" s="1439"/>
      <c r="AZ522" s="3"/>
      <c r="BA522" s="3"/>
      <c r="BB522" s="3"/>
      <c r="BC522" s="3"/>
      <c r="BD522" s="3"/>
      <c r="BE522" s="3"/>
      <c r="BF522" s="3"/>
      <c r="BG522" s="3"/>
      <c r="BH522" s="3"/>
      <c r="BI522" s="3"/>
      <c r="BJ522" s="3"/>
      <c r="BK522" s="3"/>
      <c r="BL522" s="3"/>
      <c r="BM522" s="3"/>
      <c r="BN522" s="3" t="s">
        <v>2113</v>
      </c>
    </row>
    <row r="523" spans="2:66" ht="12.95" customHeight="1">
      <c r="B523" s="1356"/>
      <c r="C523" s="1357"/>
      <c r="D523" s="1357"/>
      <c r="E523" s="1357"/>
      <c r="F523" s="1357"/>
      <c r="G523" s="1357"/>
      <c r="H523" s="1358"/>
      <c r="I523" s="42" t="s">
        <v>422</v>
      </c>
      <c r="J523" s="42"/>
      <c r="K523" s="42"/>
      <c r="L523" s="42"/>
      <c r="M523" s="42"/>
      <c r="N523" s="42"/>
      <c r="O523" s="1441" t="s">
        <v>333</v>
      </c>
      <c r="P523" s="1442"/>
      <c r="Q523" s="1442"/>
      <c r="R523" s="1442"/>
      <c r="S523" s="1442"/>
      <c r="T523" s="1442"/>
      <c r="U523" s="1442"/>
      <c r="V523" s="1442"/>
      <c r="W523" s="1442"/>
      <c r="X523" s="1442"/>
      <c r="Y523" s="1442"/>
      <c r="Z523" s="1442"/>
      <c r="AA523" s="1442"/>
      <c r="AC523" s="1416" t="s">
        <v>590</v>
      </c>
      <c r="AD523" s="1417"/>
      <c r="AE523" s="1417"/>
      <c r="AF523" s="1417"/>
      <c r="AG523" s="13" t="s">
        <v>402</v>
      </c>
      <c r="AH523" s="1438"/>
      <c r="AI523" s="1438"/>
      <c r="AJ523" s="1438"/>
      <c r="AK523" s="1439"/>
      <c r="AZ523" s="3"/>
      <c r="BA523" s="3"/>
      <c r="BB523" s="3"/>
      <c r="BC523" s="3"/>
      <c r="BD523" s="3"/>
      <c r="BE523" s="3"/>
      <c r="BF523" s="3"/>
      <c r="BG523" s="3"/>
      <c r="BH523" s="3"/>
      <c r="BI523" s="3"/>
      <c r="BJ523" s="3"/>
      <c r="BK523" s="3"/>
      <c r="BL523" s="3"/>
      <c r="BM523" s="3"/>
      <c r="BN523" s="3" t="s">
        <v>2114</v>
      </c>
    </row>
    <row r="524" spans="2:66" ht="12.95" customHeight="1">
      <c r="B524" s="1356"/>
      <c r="C524" s="1357"/>
      <c r="D524" s="1357"/>
      <c r="E524" s="1357"/>
      <c r="F524" s="1357"/>
      <c r="G524" s="1357"/>
      <c r="H524" s="1358"/>
      <c r="I524" t="s">
        <v>420</v>
      </c>
      <c r="AC524" s="1416" t="s">
        <v>590</v>
      </c>
      <c r="AD524" s="1417"/>
      <c r="AE524" s="1417"/>
      <c r="AF524" s="1417"/>
      <c r="AG524" s="13" t="s">
        <v>402</v>
      </c>
      <c r="AH524" s="1438"/>
      <c r="AI524" s="1438"/>
      <c r="AJ524" s="1438"/>
      <c r="AK524" s="1439"/>
      <c r="AZ524" s="3"/>
      <c r="BA524" s="3"/>
      <c r="BB524" s="3"/>
      <c r="BC524" s="3"/>
      <c r="BD524" s="3"/>
      <c r="BE524" s="3"/>
      <c r="BF524" s="3"/>
      <c r="BG524" s="3"/>
      <c r="BH524" s="3"/>
      <c r="BI524" s="3"/>
      <c r="BJ524" s="3"/>
      <c r="BK524" s="3"/>
      <c r="BL524" s="3"/>
      <c r="BM524" s="3"/>
      <c r="BN524" s="3" t="s">
        <v>2115</v>
      </c>
    </row>
    <row r="525" spans="2:66" ht="12.95" customHeight="1">
      <c r="B525" s="1356"/>
      <c r="C525" s="1357"/>
      <c r="D525" s="1357"/>
      <c r="E525" s="1357"/>
      <c r="F525" s="1357"/>
      <c r="G525" s="1357"/>
      <c r="H525" s="1358"/>
      <c r="I525" s="48" t="s">
        <v>421</v>
      </c>
      <c r="J525" s="48"/>
      <c r="K525" s="48"/>
      <c r="L525" s="48"/>
      <c r="M525" s="48"/>
      <c r="N525" s="48"/>
      <c r="O525" s="48"/>
      <c r="P525" s="48"/>
      <c r="Q525" s="48"/>
      <c r="R525" s="48"/>
      <c r="S525" s="48"/>
      <c r="T525" s="48"/>
      <c r="U525" s="48"/>
      <c r="V525" s="48"/>
      <c r="W525" s="48"/>
      <c r="X525" s="48"/>
      <c r="Y525" s="48"/>
      <c r="Z525" s="48"/>
      <c r="AA525" s="48"/>
      <c r="AB525" s="48"/>
      <c r="AC525" s="1416" t="s">
        <v>590</v>
      </c>
      <c r="AD525" s="1417"/>
      <c r="AE525" s="1417"/>
      <c r="AF525" s="1417"/>
      <c r="AG525" s="38" t="s">
        <v>402</v>
      </c>
      <c r="AH525" s="1438"/>
      <c r="AI525" s="1438"/>
      <c r="AJ525" s="1438"/>
      <c r="AK525" s="1439"/>
      <c r="AZ525" s="3"/>
      <c r="BA525" s="3"/>
      <c r="BB525" s="3"/>
      <c r="BC525" s="3"/>
      <c r="BD525" s="3"/>
      <c r="BE525" s="3"/>
      <c r="BF525" s="3"/>
      <c r="BG525" s="3"/>
      <c r="BH525" s="3"/>
      <c r="BI525" s="3"/>
      <c r="BJ525" s="3"/>
      <c r="BK525" s="3"/>
      <c r="BL525" s="3"/>
      <c r="BM525" s="3"/>
      <c r="BN525" s="3" t="s">
        <v>2116</v>
      </c>
    </row>
    <row r="526" spans="2:66" ht="12.95" customHeight="1">
      <c r="B526" s="1356"/>
      <c r="C526" s="1357"/>
      <c r="D526" s="1357"/>
      <c r="E526" s="1357"/>
      <c r="F526" s="1357"/>
      <c r="G526" s="1357"/>
      <c r="H526" s="1358"/>
      <c r="I526" s="42" t="s">
        <v>422</v>
      </c>
      <c r="J526" s="42"/>
      <c r="K526" s="42"/>
      <c r="L526" s="42"/>
      <c r="M526" s="42"/>
      <c r="N526" s="42"/>
      <c r="O526" s="1441" t="s">
        <v>333</v>
      </c>
      <c r="P526" s="1442"/>
      <c r="Q526" s="1442"/>
      <c r="R526" s="1442"/>
      <c r="S526" s="1442"/>
      <c r="T526" s="1442"/>
      <c r="U526" s="1442"/>
      <c r="V526" s="1442"/>
      <c r="W526" s="1442"/>
      <c r="X526" s="1442"/>
      <c r="Y526" s="1442"/>
      <c r="Z526" s="1442"/>
      <c r="AA526" s="1442"/>
      <c r="AC526" s="1416" t="s">
        <v>590</v>
      </c>
      <c r="AD526" s="1417"/>
      <c r="AE526" s="1417"/>
      <c r="AF526" s="1417"/>
      <c r="AG526" s="13" t="s">
        <v>402</v>
      </c>
      <c r="AH526" s="1438"/>
      <c r="AI526" s="1438"/>
      <c r="AJ526" s="1438"/>
      <c r="AK526" s="1439"/>
      <c r="AZ526" s="3"/>
      <c r="BA526" s="3"/>
      <c r="BB526" s="3"/>
      <c r="BC526" s="3"/>
      <c r="BD526" s="3"/>
      <c r="BE526" s="3"/>
      <c r="BF526" s="3"/>
      <c r="BG526" s="3"/>
      <c r="BH526" s="3"/>
      <c r="BI526" s="3"/>
      <c r="BJ526" s="3"/>
      <c r="BK526" s="3"/>
      <c r="BL526" s="3"/>
      <c r="BM526" s="3"/>
      <c r="BN526" s="3" t="s">
        <v>2117</v>
      </c>
    </row>
    <row r="527" spans="2:66" ht="12.95" customHeight="1">
      <c r="B527" s="1356"/>
      <c r="C527" s="1357"/>
      <c r="D527" s="1357"/>
      <c r="E527" s="1357"/>
      <c r="F527" s="1357"/>
      <c r="G527" s="1357"/>
      <c r="H527" s="1358"/>
      <c r="I527" t="s">
        <v>420</v>
      </c>
      <c r="AC527" s="1416" t="s">
        <v>590</v>
      </c>
      <c r="AD527" s="1417"/>
      <c r="AE527" s="1417"/>
      <c r="AF527" s="1417"/>
      <c r="AG527" s="13" t="s">
        <v>402</v>
      </c>
      <c r="AH527" s="1438"/>
      <c r="AI527" s="1438"/>
      <c r="AJ527" s="1438"/>
      <c r="AK527" s="1439"/>
      <c r="AZ527" s="3"/>
      <c r="BA527" s="3"/>
      <c r="BB527" s="3"/>
      <c r="BC527" s="3"/>
      <c r="BD527" s="3"/>
      <c r="BE527" s="3"/>
      <c r="BF527" s="3"/>
      <c r="BG527" s="3"/>
      <c r="BH527" s="3"/>
      <c r="BI527" s="3"/>
      <c r="BJ527" s="3"/>
      <c r="BK527" s="3"/>
      <c r="BL527" s="3"/>
      <c r="BM527" s="3"/>
      <c r="BN527" s="3" t="s">
        <v>2118</v>
      </c>
    </row>
    <row r="528" spans="2:66" ht="12.95" customHeight="1">
      <c r="B528" s="1356"/>
      <c r="C528" s="1357"/>
      <c r="D528" s="1357"/>
      <c r="E528" s="1357"/>
      <c r="F528" s="1357"/>
      <c r="G528" s="1357"/>
      <c r="H528" s="1358"/>
      <c r="I528" s="48" t="s">
        <v>421</v>
      </c>
      <c r="J528" s="48"/>
      <c r="K528" s="48"/>
      <c r="L528" s="48"/>
      <c r="M528" s="48"/>
      <c r="N528" s="48"/>
      <c r="O528" s="48"/>
      <c r="P528" s="48"/>
      <c r="Q528" s="48"/>
      <c r="R528" s="48"/>
      <c r="S528" s="48"/>
      <c r="T528" s="48"/>
      <c r="U528" s="48"/>
      <c r="V528" s="48"/>
      <c r="W528" s="48"/>
      <c r="X528" s="48"/>
      <c r="Y528" s="48"/>
      <c r="Z528" s="48"/>
      <c r="AA528" s="48"/>
      <c r="AB528" s="48"/>
      <c r="AC528" s="1416" t="s">
        <v>590</v>
      </c>
      <c r="AD528" s="1417"/>
      <c r="AE528" s="1417"/>
      <c r="AF528" s="1417"/>
      <c r="AG528" s="38" t="s">
        <v>402</v>
      </c>
      <c r="AH528" s="1438"/>
      <c r="AI528" s="1438"/>
      <c r="AJ528" s="1438"/>
      <c r="AK528" s="1439"/>
      <c r="AZ528" s="3"/>
      <c r="BA528" s="3"/>
      <c r="BB528" s="3"/>
      <c r="BC528" s="3"/>
      <c r="BD528" s="3"/>
      <c r="BE528" s="3"/>
      <c r="BF528" s="3"/>
      <c r="BG528" s="3"/>
      <c r="BH528" s="3"/>
      <c r="BI528" s="3"/>
      <c r="BJ528" s="3"/>
      <c r="BK528" s="3"/>
      <c r="BL528" s="3"/>
      <c r="BM528" s="3"/>
      <c r="BN528" s="3" t="s">
        <v>2119</v>
      </c>
    </row>
    <row r="529" spans="1:66" ht="12.95" customHeight="1">
      <c r="B529" s="1356"/>
      <c r="C529" s="1357"/>
      <c r="D529" s="1357"/>
      <c r="E529" s="1357"/>
      <c r="F529" s="1357"/>
      <c r="G529" s="1357"/>
      <c r="H529" s="1358"/>
      <c r="I529" s="42" t="s">
        <v>422</v>
      </c>
      <c r="J529" s="42"/>
      <c r="K529" s="42"/>
      <c r="L529" s="42"/>
      <c r="M529" s="42"/>
      <c r="N529" s="42"/>
      <c r="O529" s="1441" t="s">
        <v>333</v>
      </c>
      <c r="P529" s="1442"/>
      <c r="Q529" s="1442"/>
      <c r="R529" s="1442"/>
      <c r="S529" s="1442"/>
      <c r="T529" s="1442"/>
      <c r="U529" s="1442"/>
      <c r="V529" s="1442"/>
      <c r="W529" s="1442"/>
      <c r="X529" s="1442"/>
      <c r="Y529" s="1442"/>
      <c r="Z529" s="1442"/>
      <c r="AA529" s="1442"/>
      <c r="AC529" s="1416" t="s">
        <v>590</v>
      </c>
      <c r="AD529" s="1417"/>
      <c r="AE529" s="1417"/>
      <c r="AF529" s="1417"/>
      <c r="AG529" s="13" t="s">
        <v>402</v>
      </c>
      <c r="AH529" s="1438"/>
      <c r="AI529" s="1438"/>
      <c r="AJ529" s="1438"/>
      <c r="AK529" s="1439"/>
      <c r="AZ529" s="3"/>
      <c r="BA529" s="3"/>
      <c r="BB529" s="3"/>
      <c r="BC529" s="3"/>
      <c r="BD529" s="3"/>
      <c r="BE529" s="3"/>
      <c r="BF529" s="3"/>
      <c r="BG529" s="3"/>
      <c r="BH529" s="3"/>
      <c r="BI529" s="3"/>
      <c r="BJ529" s="3"/>
      <c r="BK529" s="3"/>
      <c r="BL529" s="3"/>
      <c r="BM529" s="3"/>
      <c r="BN529" s="3" t="s">
        <v>2120</v>
      </c>
    </row>
    <row r="530" spans="1:66" ht="12.95" customHeight="1">
      <c r="B530" s="1356"/>
      <c r="C530" s="1357"/>
      <c r="D530" s="1357"/>
      <c r="E530" s="1357"/>
      <c r="F530" s="1357"/>
      <c r="G530" s="1357"/>
      <c r="H530" s="1358"/>
      <c r="I530" t="s">
        <v>420</v>
      </c>
      <c r="AC530" s="1416" t="s">
        <v>590</v>
      </c>
      <c r="AD530" s="1417"/>
      <c r="AE530" s="1417"/>
      <c r="AF530" s="1417"/>
      <c r="AG530" s="13" t="s">
        <v>402</v>
      </c>
      <c r="AH530" s="1438"/>
      <c r="AI530" s="1438"/>
      <c r="AJ530" s="1438"/>
      <c r="AK530" s="1439"/>
      <c r="AZ530" s="3"/>
      <c r="BA530" s="3"/>
      <c r="BB530" s="3"/>
      <c r="BC530" s="3"/>
      <c r="BD530" s="3"/>
      <c r="BE530" s="3"/>
      <c r="BF530" s="3"/>
      <c r="BG530" s="3"/>
      <c r="BH530" s="3"/>
      <c r="BI530" s="3"/>
      <c r="BJ530" s="3"/>
      <c r="BK530" s="3"/>
      <c r="BL530" s="3"/>
      <c r="BM530" s="3"/>
      <c r="BN530" s="3" t="s">
        <v>2121</v>
      </c>
    </row>
    <row r="531" spans="1:66" ht="12.95" customHeight="1">
      <c r="B531" s="1356"/>
      <c r="C531" s="1357"/>
      <c r="D531" s="1357"/>
      <c r="E531" s="1357"/>
      <c r="F531" s="1357"/>
      <c r="G531" s="1357"/>
      <c r="H531" s="1358"/>
      <c r="I531" s="48" t="s">
        <v>421</v>
      </c>
      <c r="J531" s="48"/>
      <c r="K531" s="48"/>
      <c r="L531" s="48"/>
      <c r="M531" s="48"/>
      <c r="N531" s="48"/>
      <c r="O531" s="48"/>
      <c r="P531" s="48"/>
      <c r="Q531" s="48"/>
      <c r="R531" s="48"/>
      <c r="S531" s="48"/>
      <c r="T531" s="48"/>
      <c r="U531" s="48"/>
      <c r="V531" s="48"/>
      <c r="W531" s="48"/>
      <c r="X531" s="48"/>
      <c r="Y531" s="48"/>
      <c r="Z531" s="48"/>
      <c r="AA531" s="48"/>
      <c r="AB531" s="48"/>
      <c r="AC531" s="1416" t="s">
        <v>590</v>
      </c>
      <c r="AD531" s="1417"/>
      <c r="AE531" s="1417"/>
      <c r="AF531" s="1417"/>
      <c r="AG531" s="38" t="s">
        <v>402</v>
      </c>
      <c r="AH531" s="1438"/>
      <c r="AI531" s="1438"/>
      <c r="AJ531" s="1438"/>
      <c r="AK531" s="1439"/>
      <c r="AZ531" s="3"/>
      <c r="BA531" s="3"/>
      <c r="BB531" s="3"/>
      <c r="BC531" s="3"/>
      <c r="BD531" s="3"/>
      <c r="BE531" s="3"/>
      <c r="BF531" s="3"/>
      <c r="BG531" s="3"/>
      <c r="BH531" s="3"/>
      <c r="BI531" s="3"/>
      <c r="BJ531" s="3"/>
      <c r="BK531" s="3"/>
      <c r="BL531" s="3"/>
      <c r="BM531" s="3"/>
      <c r="BN531" s="3" t="s">
        <v>2122</v>
      </c>
    </row>
    <row r="532" spans="1:66" ht="12.95" customHeight="1">
      <c r="B532" s="1356"/>
      <c r="C532" s="1357"/>
      <c r="D532" s="1357"/>
      <c r="E532" s="1357"/>
      <c r="F532" s="1357"/>
      <c r="G532" s="1357"/>
      <c r="H532" s="1358"/>
      <c r="I532" s="42" t="s">
        <v>422</v>
      </c>
      <c r="J532" s="42"/>
      <c r="K532" s="42"/>
      <c r="L532" s="42"/>
      <c r="M532" s="42"/>
      <c r="N532" s="42"/>
      <c r="O532" s="1441" t="s">
        <v>333</v>
      </c>
      <c r="P532" s="1442"/>
      <c r="Q532" s="1442"/>
      <c r="R532" s="1442"/>
      <c r="S532" s="1442"/>
      <c r="T532" s="1442"/>
      <c r="U532" s="1442"/>
      <c r="V532" s="1442"/>
      <c r="W532" s="1442"/>
      <c r="X532" s="1442"/>
      <c r="Y532" s="1442"/>
      <c r="Z532" s="1442"/>
      <c r="AA532" s="1442"/>
      <c r="AC532" s="1416" t="s">
        <v>590</v>
      </c>
      <c r="AD532" s="1417"/>
      <c r="AE532" s="1417"/>
      <c r="AF532" s="1417"/>
      <c r="AG532" s="13" t="s">
        <v>402</v>
      </c>
      <c r="AH532" s="1438"/>
      <c r="AI532" s="1438"/>
      <c r="AJ532" s="1438"/>
      <c r="AK532" s="1439"/>
      <c r="AZ532" s="3"/>
      <c r="BA532" s="3"/>
      <c r="BB532" s="3"/>
      <c r="BC532" s="3"/>
      <c r="BD532" s="3"/>
      <c r="BE532" s="3"/>
      <c r="BF532" s="3"/>
      <c r="BG532" s="3"/>
      <c r="BH532" s="3"/>
      <c r="BI532" s="3"/>
      <c r="BJ532" s="3"/>
      <c r="BK532" s="3"/>
      <c r="BL532" s="3"/>
      <c r="BM532" s="3"/>
      <c r="BN532" s="3" t="s">
        <v>2123</v>
      </c>
    </row>
    <row r="533" spans="1:66" ht="12.95" customHeight="1">
      <c r="B533" s="1356"/>
      <c r="C533" s="1357"/>
      <c r="D533" s="1357"/>
      <c r="E533" s="1357"/>
      <c r="F533" s="1357"/>
      <c r="G533" s="1357"/>
      <c r="H533" s="1358"/>
      <c r="I533" t="s">
        <v>420</v>
      </c>
      <c r="AC533" s="1416" t="s">
        <v>590</v>
      </c>
      <c r="AD533" s="1417"/>
      <c r="AE533" s="1417"/>
      <c r="AF533" s="1417"/>
      <c r="AG533" s="38" t="s">
        <v>402</v>
      </c>
      <c r="AH533" s="1438"/>
      <c r="AI533" s="1438"/>
      <c r="AJ533" s="1438"/>
      <c r="AK533" s="1439"/>
      <c r="AZ533" s="3"/>
      <c r="BA533" s="3"/>
      <c r="BB533" s="3"/>
      <c r="BC533" s="3"/>
      <c r="BD533" s="3"/>
      <c r="BE533" s="3"/>
      <c r="BF533" s="3"/>
      <c r="BG533" s="3"/>
      <c r="BH533" s="3"/>
      <c r="BI533" s="3"/>
      <c r="BJ533" s="3"/>
      <c r="BK533" s="3"/>
      <c r="BL533" s="3"/>
      <c r="BM533" s="3"/>
      <c r="BN533" s="3" t="s">
        <v>2124</v>
      </c>
    </row>
    <row r="534" spans="1:66" ht="12.95" customHeight="1">
      <c r="B534" s="1356"/>
      <c r="C534" s="1357"/>
      <c r="D534" s="1357"/>
      <c r="E534" s="1357"/>
      <c r="F534" s="1357"/>
      <c r="G534" s="1357"/>
      <c r="H534" s="1358"/>
      <c r="I534" s="48" t="s">
        <v>421</v>
      </c>
      <c r="J534" s="48"/>
      <c r="K534" s="48"/>
      <c r="L534" s="48"/>
      <c r="M534" s="48"/>
      <c r="N534" s="48"/>
      <c r="O534" s="48"/>
      <c r="P534" s="48"/>
      <c r="Q534" s="48"/>
      <c r="R534" s="48"/>
      <c r="S534" s="48"/>
      <c r="T534" s="48"/>
      <c r="U534" s="48"/>
      <c r="V534" s="48"/>
      <c r="W534" s="48"/>
      <c r="X534" s="48"/>
      <c r="Y534" s="48"/>
      <c r="Z534" s="48"/>
      <c r="AA534" s="48"/>
      <c r="AB534" s="48"/>
      <c r="AC534" s="1416" t="s">
        <v>590</v>
      </c>
      <c r="AD534" s="1417"/>
      <c r="AE534" s="1417"/>
      <c r="AF534" s="1417"/>
      <c r="AG534" s="13" t="s">
        <v>402</v>
      </c>
      <c r="AH534" s="1438"/>
      <c r="AI534" s="1438"/>
      <c r="AJ534" s="1438"/>
      <c r="AK534" s="1439"/>
      <c r="AZ534" s="3"/>
      <c r="BA534" s="3"/>
      <c r="BB534" s="3"/>
      <c r="BC534" s="3"/>
      <c r="BD534" s="3"/>
      <c r="BE534" s="3"/>
      <c r="BF534" s="3"/>
      <c r="BG534" s="3"/>
      <c r="BH534" s="3"/>
      <c r="BI534" s="3"/>
      <c r="BJ534" s="3"/>
      <c r="BK534" s="3"/>
      <c r="BL534" s="3"/>
      <c r="BM534" s="3"/>
      <c r="BN534" s="3" t="s">
        <v>2125</v>
      </c>
    </row>
    <row r="535" spans="1:66" ht="12.95" customHeight="1">
      <c r="B535" s="1356"/>
      <c r="C535" s="1357"/>
      <c r="D535" s="1357"/>
      <c r="E535" s="1357"/>
      <c r="F535" s="1357"/>
      <c r="G535" s="1357"/>
      <c r="H535" s="1358"/>
      <c r="I535" s="42" t="s">
        <v>422</v>
      </c>
      <c r="J535" s="42"/>
      <c r="K535" s="42"/>
      <c r="L535" s="42"/>
      <c r="M535" s="42"/>
      <c r="N535" s="42"/>
      <c r="O535" s="1441" t="s">
        <v>333</v>
      </c>
      <c r="P535" s="1442"/>
      <c r="Q535" s="1442"/>
      <c r="R535" s="1442"/>
      <c r="S535" s="1442"/>
      <c r="T535" s="1442"/>
      <c r="U535" s="1442"/>
      <c r="V535" s="1442"/>
      <c r="W535" s="1442"/>
      <c r="X535" s="1442"/>
      <c r="Y535" s="1442"/>
      <c r="Z535" s="1442"/>
      <c r="AA535" s="1442"/>
      <c r="AC535" s="1416" t="s">
        <v>590</v>
      </c>
      <c r="AD535" s="1417"/>
      <c r="AE535" s="1417"/>
      <c r="AF535" s="1417"/>
      <c r="AG535" s="38" t="s">
        <v>402</v>
      </c>
      <c r="AH535" s="1438"/>
      <c r="AI535" s="1438"/>
      <c r="AJ535" s="1438"/>
      <c r="AK535" s="1439"/>
      <c r="AZ535" s="3"/>
      <c r="BA535" s="3"/>
      <c r="BB535" s="3"/>
      <c r="BC535" s="3"/>
      <c r="BD535" s="3"/>
      <c r="BE535" s="3"/>
      <c r="BF535" s="3"/>
      <c r="BG535" s="3"/>
      <c r="BH535" s="3"/>
      <c r="BI535" s="3"/>
      <c r="BJ535" s="3"/>
      <c r="BK535" s="3"/>
      <c r="BL535" s="3"/>
      <c r="BM535" s="3"/>
      <c r="BN535" s="3" t="s">
        <v>2126</v>
      </c>
    </row>
    <row r="536" spans="1:66" ht="12.95" customHeight="1">
      <c r="B536" s="1356"/>
      <c r="C536" s="1357"/>
      <c r="D536" s="1357"/>
      <c r="E536" s="1357"/>
      <c r="F536" s="1357"/>
      <c r="G536" s="1357"/>
      <c r="H536" s="1358"/>
      <c r="I536" t="s">
        <v>420</v>
      </c>
      <c r="AC536" s="1416" t="s">
        <v>590</v>
      </c>
      <c r="AD536" s="1417"/>
      <c r="AE536" s="1417"/>
      <c r="AF536" s="1417"/>
      <c r="AG536" s="13" t="s">
        <v>402</v>
      </c>
      <c r="AH536" s="1438"/>
      <c r="AI536" s="1438"/>
      <c r="AJ536" s="1438"/>
      <c r="AK536" s="1439"/>
      <c r="AZ536" s="3"/>
      <c r="BA536" s="3"/>
      <c r="BB536" s="3"/>
      <c r="BC536" s="3"/>
      <c r="BD536" s="3"/>
      <c r="BE536" s="3"/>
      <c r="BF536" s="3"/>
      <c r="BG536" s="3"/>
      <c r="BH536" s="3"/>
      <c r="BI536" s="3"/>
      <c r="BJ536" s="3"/>
      <c r="BK536" s="3"/>
      <c r="BL536" s="3"/>
      <c r="BM536" s="3"/>
      <c r="BN536" s="3" t="s">
        <v>2127</v>
      </c>
    </row>
    <row r="537" spans="1:66" ht="12.95" customHeight="1">
      <c r="B537" s="1356"/>
      <c r="C537" s="1357"/>
      <c r="D537" s="1357"/>
      <c r="E537" s="1357"/>
      <c r="F537" s="1357"/>
      <c r="G537" s="1357"/>
      <c r="H537" s="1358"/>
      <c r="I537" s="48" t="s">
        <v>421</v>
      </c>
      <c r="J537" s="48"/>
      <c r="K537" s="48"/>
      <c r="L537" s="48"/>
      <c r="M537" s="48"/>
      <c r="N537" s="48"/>
      <c r="O537" s="48"/>
      <c r="P537" s="48"/>
      <c r="Q537" s="48"/>
      <c r="R537" s="48"/>
      <c r="S537" s="48"/>
      <c r="T537" s="48"/>
      <c r="U537" s="48"/>
      <c r="V537" s="48"/>
      <c r="W537" s="48"/>
      <c r="X537" s="48"/>
      <c r="Y537" s="48"/>
      <c r="Z537" s="48"/>
      <c r="AA537" s="48"/>
      <c r="AB537" s="48"/>
      <c r="AC537" s="1416" t="s">
        <v>590</v>
      </c>
      <c r="AD537" s="1417"/>
      <c r="AE537" s="1417"/>
      <c r="AF537" s="1417"/>
      <c r="AG537" s="38" t="s">
        <v>402</v>
      </c>
      <c r="AH537" s="1438"/>
      <c r="AI537" s="1438"/>
      <c r="AJ537" s="1438"/>
      <c r="AK537" s="1439"/>
      <c r="AZ537" s="3"/>
      <c r="BA537" s="3"/>
      <c r="BB537" s="3"/>
      <c r="BC537" s="3"/>
      <c r="BD537" s="3"/>
      <c r="BE537" s="3"/>
      <c r="BF537" s="3"/>
      <c r="BG537" s="3"/>
      <c r="BH537" s="3"/>
      <c r="BI537" s="3"/>
      <c r="BJ537" s="3"/>
      <c r="BK537" s="3"/>
      <c r="BL537" s="3"/>
      <c r="BM537" s="3"/>
      <c r="BN537" s="3" t="s">
        <v>2128</v>
      </c>
    </row>
    <row r="538" spans="1:66" ht="12.95" customHeight="1">
      <c r="B538" s="1356"/>
      <c r="C538" s="1357"/>
      <c r="D538" s="1357"/>
      <c r="E538" s="1357"/>
      <c r="F538" s="1357"/>
      <c r="G538" s="1357"/>
      <c r="H538" s="1358"/>
      <c r="I538" s="42" t="s">
        <v>561</v>
      </c>
      <c r="J538" s="42"/>
      <c r="K538" s="42"/>
      <c r="L538" s="42"/>
      <c r="M538" s="42"/>
      <c r="N538" s="42"/>
      <c r="O538" s="42"/>
      <c r="P538" s="42"/>
      <c r="Q538" s="42"/>
      <c r="R538" s="42"/>
      <c r="S538" s="42"/>
      <c r="T538" s="42"/>
      <c r="U538" s="42"/>
      <c r="V538" s="42"/>
      <c r="W538" s="42"/>
      <c r="AC538" s="1416">
        <v>5</v>
      </c>
      <c r="AD538" s="1417"/>
      <c r="AE538" s="1417"/>
      <c r="AF538" s="1417"/>
      <c r="AG538" s="38" t="s">
        <v>402</v>
      </c>
      <c r="AH538" s="1438">
        <v>2026</v>
      </c>
      <c r="AI538" s="1438"/>
      <c r="AJ538" s="1438"/>
      <c r="AK538" s="1439"/>
      <c r="AZ538" s="3"/>
      <c r="BA538" s="3"/>
      <c r="BB538" s="3"/>
      <c r="BC538" s="3"/>
      <c r="BD538" s="3"/>
      <c r="BE538" s="3"/>
      <c r="BF538" s="3"/>
      <c r="BG538" s="3"/>
      <c r="BH538" s="3"/>
      <c r="BI538" s="3"/>
      <c r="BJ538" s="3"/>
      <c r="BK538" s="3"/>
      <c r="BL538" s="3"/>
      <c r="BM538" s="3"/>
      <c r="BN538" s="3"/>
    </row>
    <row r="539" spans="1:66" ht="12.95" customHeight="1">
      <c r="B539" s="1356"/>
      <c r="C539" s="1357"/>
      <c r="D539" s="1357"/>
      <c r="E539" s="1357"/>
      <c r="F539" s="1357"/>
      <c r="G539" s="1357"/>
      <c r="H539" s="1358"/>
      <c r="I539" t="s">
        <v>562</v>
      </c>
      <c r="AC539" s="1416">
        <v>5</v>
      </c>
      <c r="AD539" s="1417"/>
      <c r="AE539" s="1417"/>
      <c r="AF539" s="1417"/>
      <c r="AG539" s="13" t="s">
        <v>402</v>
      </c>
      <c r="AH539" s="1438">
        <v>2026</v>
      </c>
      <c r="AI539" s="1438"/>
      <c r="AJ539" s="1438"/>
      <c r="AK539" s="1439"/>
      <c r="AZ539" s="3"/>
      <c r="BA539" s="3"/>
      <c r="BB539" s="3"/>
      <c r="BC539" s="3"/>
      <c r="BD539" s="3"/>
      <c r="BE539" s="3"/>
      <c r="BF539" s="3"/>
      <c r="BG539" s="3"/>
      <c r="BH539" s="3"/>
      <c r="BI539" s="3"/>
      <c r="BJ539" s="3"/>
      <c r="BK539" s="3"/>
      <c r="BL539" s="3"/>
      <c r="BM539" s="3"/>
      <c r="BN539" s="3"/>
    </row>
    <row r="540" spans="1:66" ht="12.95" customHeight="1">
      <c r="B540" s="1356"/>
      <c r="C540" s="1357"/>
      <c r="D540" s="1357"/>
      <c r="E540" s="1357"/>
      <c r="F540" s="1357"/>
      <c r="G540" s="1357"/>
      <c r="H540" s="1358"/>
      <c r="I540" t="s">
        <v>563</v>
      </c>
      <c r="AC540" s="1416">
        <v>3</v>
      </c>
      <c r="AD540" s="1417"/>
      <c r="AE540" s="1417"/>
      <c r="AF540" s="1417"/>
      <c r="AG540" s="38" t="s">
        <v>402</v>
      </c>
      <c r="AH540" s="1438">
        <v>2028</v>
      </c>
      <c r="AI540" s="1438"/>
      <c r="AJ540" s="1438"/>
      <c r="AK540" s="1439"/>
      <c r="AZ540" s="3"/>
      <c r="BA540" s="3"/>
      <c r="BB540" s="3"/>
      <c r="BC540" s="3"/>
      <c r="BD540" s="3"/>
      <c r="BE540" s="3"/>
      <c r="BF540" s="3"/>
      <c r="BG540" s="3"/>
      <c r="BH540" s="3"/>
      <c r="BI540" s="3"/>
      <c r="BJ540" s="3"/>
      <c r="BK540" s="3"/>
      <c r="BL540" s="3"/>
      <c r="BM540" s="3"/>
      <c r="BN540" s="3"/>
    </row>
    <row r="541" spans="1:66" ht="12.95" customHeight="1">
      <c r="B541" s="1356"/>
      <c r="C541" s="1357"/>
      <c r="D541" s="1357"/>
      <c r="E541" s="1357"/>
      <c r="F541" s="1357"/>
      <c r="G541" s="1357"/>
      <c r="H541" s="1358"/>
      <c r="I541" t="s">
        <v>564</v>
      </c>
      <c r="AC541" s="1416">
        <v>3</v>
      </c>
      <c r="AD541" s="1417"/>
      <c r="AE541" s="1417"/>
      <c r="AF541" s="1417"/>
      <c r="AG541" s="38" t="s">
        <v>402</v>
      </c>
      <c r="AH541" s="1438">
        <v>2028</v>
      </c>
      <c r="AI541" s="1438"/>
      <c r="AJ541" s="1438"/>
      <c r="AK541" s="1439"/>
      <c r="AZ541" s="3"/>
      <c r="BA541" s="3"/>
      <c r="BB541" s="3"/>
      <c r="BC541" s="3"/>
      <c r="BD541" s="3"/>
      <c r="BE541" s="3"/>
      <c r="BF541" s="3"/>
      <c r="BG541" s="3"/>
      <c r="BH541" s="3"/>
      <c r="BI541" s="3"/>
      <c r="BJ541" s="3"/>
      <c r="BK541" s="3"/>
      <c r="BL541" s="3"/>
      <c r="BM541" s="3"/>
      <c r="BN541" s="3"/>
    </row>
    <row r="542" spans="1:66" ht="12.95" customHeight="1">
      <c r="B542" s="1359"/>
      <c r="C542" s="1360"/>
      <c r="D542" s="1360"/>
      <c r="E542" s="1360"/>
      <c r="F542" s="1360"/>
      <c r="G542" s="1360"/>
      <c r="H542" s="1361"/>
      <c r="I542" s="48" t="s">
        <v>450</v>
      </c>
      <c r="J542" s="48"/>
      <c r="K542" s="48"/>
      <c r="L542" s="48"/>
      <c r="M542" s="48"/>
      <c r="N542" s="48"/>
      <c r="O542" s="48"/>
      <c r="P542" s="48"/>
      <c r="Q542" s="48"/>
      <c r="R542" s="48"/>
      <c r="S542" s="48"/>
      <c r="T542" s="48"/>
      <c r="U542" s="48"/>
      <c r="V542" s="48"/>
      <c r="W542" s="48"/>
      <c r="X542" s="48"/>
      <c r="Y542" s="48"/>
      <c r="Z542" s="48"/>
      <c r="AA542" s="48"/>
      <c r="AB542" s="48"/>
      <c r="AC542" s="1416">
        <v>6</v>
      </c>
      <c r="AD542" s="1417"/>
      <c r="AE542" s="1417"/>
      <c r="AF542" s="1417"/>
      <c r="AG542" s="38" t="s">
        <v>402</v>
      </c>
      <c r="AH542" s="1438">
        <v>2028</v>
      </c>
      <c r="AI542" s="1438"/>
      <c r="AJ542" s="1438"/>
      <c r="AK542" s="1439"/>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70" t="s">
        <v>542</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318</v>
      </c>
      <c r="B547" s="2"/>
      <c r="C547" s="2" t="s">
        <v>451</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2100</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No</v>
      </c>
    </row>
    <row r="551" spans="1:61" ht="12.95" customHeight="1">
      <c r="B551" s="1353" t="s">
        <v>2102</v>
      </c>
      <c r="C551" s="1354"/>
      <c r="D551" s="1354"/>
      <c r="E551" s="1354"/>
      <c r="F551" s="1354"/>
      <c r="G551" s="1354"/>
      <c r="H551" s="1354"/>
      <c r="I551" s="1354"/>
      <c r="J551" s="1354"/>
      <c r="K551" s="1354"/>
      <c r="L551" s="1355"/>
      <c r="M551" s="1353" t="s">
        <v>2103</v>
      </c>
      <c r="N551" s="1354"/>
      <c r="O551" s="1354"/>
      <c r="P551" s="1355"/>
      <c r="Q551" s="1353" t="s">
        <v>2129</v>
      </c>
      <c r="R551" s="1354"/>
      <c r="S551" s="1355"/>
      <c r="T551" s="1353" t="s">
        <v>2130</v>
      </c>
      <c r="U551" s="1354"/>
      <c r="V551" s="1355"/>
      <c r="W551" s="1353" t="s">
        <v>452</v>
      </c>
      <c r="X551" s="1354"/>
      <c r="Y551" s="1355"/>
      <c r="Z551" s="1353" t="s">
        <v>1851</v>
      </c>
      <c r="AA551" s="1354"/>
      <c r="AB551" s="1354"/>
      <c r="AC551" s="1354"/>
      <c r="AD551" s="1355"/>
      <c r="AE551" s="1353" t="s">
        <v>1676</v>
      </c>
      <c r="AF551" s="1354"/>
      <c r="AG551" s="1354"/>
      <c r="AH551" s="1355"/>
      <c r="AI551" s="1353" t="s">
        <v>1677</v>
      </c>
      <c r="AJ551" s="1354"/>
      <c r="AK551" s="1354"/>
      <c r="AL551" s="1355"/>
      <c r="AM551" s="1353" t="s">
        <v>453</v>
      </c>
      <c r="AN551" s="1354"/>
      <c r="AO551" s="1354"/>
      <c r="AP551" s="1354"/>
      <c r="AQ551" s="1354"/>
      <c r="AR551" s="1354"/>
      <c r="AS551" s="1355"/>
      <c r="BB551" s="3"/>
      <c r="BC551" s="3"/>
      <c r="BD551" s="3"/>
      <c r="BE551" s="3"/>
      <c r="BF551" s="3"/>
      <c r="BG551" s="3"/>
      <c r="BH551" s="3" t="s">
        <v>580</v>
      </c>
      <c r="BI551" s="3" t="str">
        <f>AG657</f>
        <v>No</v>
      </c>
    </row>
    <row r="552" spans="1:61" ht="12.95" customHeight="1">
      <c r="B552" s="1356"/>
      <c r="C552" s="1357"/>
      <c r="D552" s="1357"/>
      <c r="E552" s="1357"/>
      <c r="F552" s="1357"/>
      <c r="G552" s="1357"/>
      <c r="H552" s="1357"/>
      <c r="I552" s="1357"/>
      <c r="J552" s="1357"/>
      <c r="K552" s="1357"/>
      <c r="L552" s="1358"/>
      <c r="M552" s="1356"/>
      <c r="N552" s="1357"/>
      <c r="O552" s="1357"/>
      <c r="P552" s="1358"/>
      <c r="Q552" s="1356"/>
      <c r="R552" s="1357"/>
      <c r="S552" s="1358"/>
      <c r="T552" s="1356"/>
      <c r="U552" s="1357"/>
      <c r="V552" s="1358"/>
      <c r="W552" s="1356"/>
      <c r="X552" s="1357"/>
      <c r="Y552" s="1358"/>
      <c r="Z552" s="1356"/>
      <c r="AA552" s="1357"/>
      <c r="AB552" s="1357"/>
      <c r="AC552" s="1357"/>
      <c r="AD552" s="1358"/>
      <c r="AE552" s="1356"/>
      <c r="AF552" s="1357"/>
      <c r="AG552" s="1357"/>
      <c r="AH552" s="1358"/>
      <c r="AI552" s="1356"/>
      <c r="AJ552" s="1357"/>
      <c r="AK552" s="1357"/>
      <c r="AL552" s="1358"/>
      <c r="AM552" s="1356"/>
      <c r="AN552" s="1357"/>
      <c r="AO552" s="1357"/>
      <c r="AP552" s="1357"/>
      <c r="AQ552" s="1357"/>
      <c r="AR552" s="1357"/>
      <c r="AS552" s="1358"/>
      <c r="AU552" s="1147"/>
      <c r="BB552" s="3"/>
      <c r="BC552" s="3"/>
      <c r="BD552" s="3"/>
      <c r="BE552" s="3"/>
      <c r="BF552" s="3"/>
      <c r="BG552" s="3"/>
      <c r="BH552" s="3"/>
      <c r="BI552" s="3"/>
    </row>
    <row r="553" spans="1:61" ht="12.95" customHeight="1">
      <c r="B553" s="1359"/>
      <c r="C553" s="1360"/>
      <c r="D553" s="1360"/>
      <c r="E553" s="1360"/>
      <c r="F553" s="1360"/>
      <c r="G553" s="1360"/>
      <c r="H553" s="1360"/>
      <c r="I553" s="1360"/>
      <c r="J553" s="1360"/>
      <c r="K553" s="1360"/>
      <c r="L553" s="1361"/>
      <c r="M553" s="1359"/>
      <c r="N553" s="1360"/>
      <c r="O553" s="1360"/>
      <c r="P553" s="1361"/>
      <c r="Q553" s="1359"/>
      <c r="R553" s="1360"/>
      <c r="S553" s="1361"/>
      <c r="T553" s="1359"/>
      <c r="U553" s="1360"/>
      <c r="V553" s="1361"/>
      <c r="W553" s="1359"/>
      <c r="X553" s="1360"/>
      <c r="Y553" s="1361"/>
      <c r="Z553" s="1359"/>
      <c r="AA553" s="1360"/>
      <c r="AB553" s="1360"/>
      <c r="AC553" s="1360"/>
      <c r="AD553" s="1361"/>
      <c r="AE553" s="1359"/>
      <c r="AF553" s="1360"/>
      <c r="AG553" s="1360"/>
      <c r="AH553" s="1361"/>
      <c r="AI553" s="1359"/>
      <c r="AJ553" s="1360"/>
      <c r="AK553" s="1360"/>
      <c r="AL553" s="1361"/>
      <c r="AM553" s="1359"/>
      <c r="AN553" s="1360"/>
      <c r="AO553" s="1360"/>
      <c r="AP553" s="1360"/>
      <c r="AQ553" s="1360"/>
      <c r="AR553" s="1360"/>
      <c r="AS553" s="1361"/>
      <c r="AU553" s="1147"/>
      <c r="BB553" s="3"/>
      <c r="BC553" s="3"/>
      <c r="BD553" s="3"/>
      <c r="BE553" s="3"/>
      <c r="BF553" s="3"/>
      <c r="BG553" s="3"/>
      <c r="BH553" s="3"/>
      <c r="BI553" s="3"/>
    </row>
    <row r="554" spans="1:61" ht="12.95" customHeight="1">
      <c r="B554" s="51" t="s">
        <v>112</v>
      </c>
      <c r="C554" s="1446" t="s">
        <v>2711</v>
      </c>
      <c r="D554" s="1446"/>
      <c r="E554" s="1446"/>
      <c r="F554" s="1446"/>
      <c r="G554" s="1446"/>
      <c r="H554" s="1446"/>
      <c r="I554" s="1446"/>
      <c r="J554" s="1446"/>
      <c r="K554" s="1446"/>
      <c r="L554" s="1446"/>
      <c r="M554" s="1446" t="s">
        <v>2119</v>
      </c>
      <c r="N554" s="1446"/>
      <c r="O554" s="1446"/>
      <c r="P554" s="1446"/>
      <c r="Q554" s="1431">
        <v>24</v>
      </c>
      <c r="R554" s="1431"/>
      <c r="S554" s="1432"/>
      <c r="T554" s="1430"/>
      <c r="U554" s="1431"/>
      <c r="V554" s="1432"/>
      <c r="W554" s="1427">
        <v>6.7500000000000004E-2</v>
      </c>
      <c r="X554" s="1428"/>
      <c r="Y554" s="1429"/>
      <c r="Z554" s="1426" t="s">
        <v>2723</v>
      </c>
      <c r="AA554" s="1426"/>
      <c r="AB554" s="1426"/>
      <c r="AC554" s="1426"/>
      <c r="AD554" s="1426"/>
      <c r="AE554" s="1349">
        <v>1</v>
      </c>
      <c r="AF554" s="1350"/>
      <c r="AG554" s="1350"/>
      <c r="AH554" s="1351"/>
      <c r="AI554" s="1443"/>
      <c r="AJ554" s="1444"/>
      <c r="AK554" s="1444"/>
      <c r="AL554" s="1445"/>
      <c r="AM554" s="1459">
        <v>20262958</v>
      </c>
      <c r="AN554" s="1460"/>
      <c r="AO554" s="1460"/>
      <c r="AP554" s="1460"/>
      <c r="AQ554" s="1460"/>
      <c r="AR554" s="1460"/>
      <c r="AS554" s="1461"/>
      <c r="AT554" s="1148"/>
      <c r="AU554" s="1147"/>
      <c r="BB554" s="3"/>
      <c r="BC554" s="3"/>
      <c r="BD554" s="3"/>
      <c r="BE554" s="3"/>
      <c r="BF554" s="3"/>
      <c r="BG554" s="3"/>
      <c r="BH554" s="3"/>
      <c r="BI554" s="3"/>
    </row>
    <row r="555" spans="1:61" ht="12.95" customHeight="1">
      <c r="B555" s="52" t="s">
        <v>113</v>
      </c>
      <c r="C555" s="1425" t="s">
        <v>2711</v>
      </c>
      <c r="D555" s="1425"/>
      <c r="E555" s="1425"/>
      <c r="F555" s="1425"/>
      <c r="G555" s="1425"/>
      <c r="H555" s="1425"/>
      <c r="I555" s="1425"/>
      <c r="J555" s="1425"/>
      <c r="K555" s="1425"/>
      <c r="L555" s="1425"/>
      <c r="M555" s="1446" t="s">
        <v>2120</v>
      </c>
      <c r="N555" s="1446"/>
      <c r="O555" s="1446"/>
      <c r="P555" s="1446"/>
      <c r="Q555" s="1430">
        <v>24</v>
      </c>
      <c r="R555" s="1431"/>
      <c r="S555" s="1432"/>
      <c r="T555" s="1430"/>
      <c r="U555" s="1431"/>
      <c r="V555" s="1432"/>
      <c r="W555" s="1427">
        <v>6.7500000000000004E-2</v>
      </c>
      <c r="X555" s="1428"/>
      <c r="Y555" s="1429"/>
      <c r="Z555" s="1426" t="s">
        <v>2723</v>
      </c>
      <c r="AA555" s="1426"/>
      <c r="AB555" s="1426"/>
      <c r="AC555" s="1426"/>
      <c r="AD555" s="1426"/>
      <c r="AE555" s="1349">
        <v>1</v>
      </c>
      <c r="AF555" s="1350"/>
      <c r="AG555" s="1350"/>
      <c r="AH555" s="1351"/>
      <c r="AI555" s="1443"/>
      <c r="AJ555" s="1444"/>
      <c r="AK555" s="1444"/>
      <c r="AL555" s="1445"/>
      <c r="AM555" s="1459">
        <v>6000000</v>
      </c>
      <c r="AN555" s="1460"/>
      <c r="AO555" s="1460"/>
      <c r="AP555" s="1460"/>
      <c r="AQ555" s="1460"/>
      <c r="AR555" s="1460"/>
      <c r="AS555" s="1461"/>
      <c r="AT555" s="1148" t="str">
        <f>IF(AND(NOT(C554=""),C555="",NOT(C556="")),"!","")</f>
        <v/>
      </c>
      <c r="AU555" s="1147"/>
      <c r="BB555" s="3"/>
      <c r="BC555" s="3"/>
      <c r="BD555" s="3"/>
      <c r="BE555" s="3"/>
      <c r="BF555" s="3"/>
      <c r="BG555" s="3"/>
      <c r="BH555" s="3"/>
      <c r="BI555" s="3"/>
    </row>
    <row r="556" spans="1:61" ht="12.95" customHeight="1">
      <c r="B556" s="52" t="s">
        <v>119</v>
      </c>
      <c r="C556" s="1425" t="s">
        <v>2711</v>
      </c>
      <c r="D556" s="1425"/>
      <c r="E556" s="1425"/>
      <c r="F556" s="1425"/>
      <c r="G556" s="1425"/>
      <c r="H556" s="1425"/>
      <c r="I556" s="1425"/>
      <c r="J556" s="1425"/>
      <c r="K556" s="1425"/>
      <c r="L556" s="1425"/>
      <c r="M556" s="1446" t="s">
        <v>2118</v>
      </c>
      <c r="N556" s="1446"/>
      <c r="O556" s="1446"/>
      <c r="P556" s="1446"/>
      <c r="Q556" s="1430">
        <v>24</v>
      </c>
      <c r="R556" s="1431"/>
      <c r="S556" s="1432"/>
      <c r="T556" s="1430"/>
      <c r="U556" s="1431"/>
      <c r="V556" s="1432"/>
      <c r="W556" s="1427">
        <v>6.7500000000000004E-2</v>
      </c>
      <c r="X556" s="1428"/>
      <c r="Y556" s="1429"/>
      <c r="Z556" s="1426" t="s">
        <v>2723</v>
      </c>
      <c r="AA556" s="1426"/>
      <c r="AB556" s="1426"/>
      <c r="AC556" s="1426"/>
      <c r="AD556" s="1426"/>
      <c r="AE556" s="1349">
        <v>1</v>
      </c>
      <c r="AF556" s="1350"/>
      <c r="AG556" s="1350"/>
      <c r="AH556" s="1351"/>
      <c r="AI556" s="1443"/>
      <c r="AJ556" s="1444"/>
      <c r="AK556" s="1444"/>
      <c r="AL556" s="1445"/>
      <c r="AM556" s="1459">
        <v>27967053</v>
      </c>
      <c r="AN556" s="1460"/>
      <c r="AO556" s="1460"/>
      <c r="AP556" s="1460"/>
      <c r="AQ556" s="1460"/>
      <c r="AR556" s="1460"/>
      <c r="AS556" s="1461"/>
      <c r="AT556" s="1148" t="str">
        <f>IF(AND(NOT(C555=""),C556="",NOT(C557="")),"!","")</f>
        <v/>
      </c>
      <c r="AU556" s="1147"/>
      <c r="BB556" s="3"/>
      <c r="BC556" s="3"/>
      <c r="BD556" s="3"/>
      <c r="BE556" s="3"/>
      <c r="BF556" s="3"/>
      <c r="BG556" s="3"/>
      <c r="BH556" s="3"/>
      <c r="BI556" s="3"/>
    </row>
    <row r="557" spans="1:61" ht="12.95" customHeight="1">
      <c r="B557" s="52" t="s">
        <v>580</v>
      </c>
      <c r="C557" s="1425" t="s">
        <v>2712</v>
      </c>
      <c r="D557" s="1425"/>
      <c r="E557" s="1425"/>
      <c r="F557" s="1425"/>
      <c r="G557" s="1425"/>
      <c r="H557" s="1425"/>
      <c r="I557" s="1425"/>
      <c r="J557" s="1425"/>
      <c r="K557" s="1425"/>
      <c r="L557" s="1425"/>
      <c r="M557" s="1446" t="s">
        <v>2105</v>
      </c>
      <c r="N557" s="1446"/>
      <c r="O557" s="1446"/>
      <c r="P557" s="1446"/>
      <c r="Q557" s="1430"/>
      <c r="R557" s="1431"/>
      <c r="S557" s="1432"/>
      <c r="T557" s="1430"/>
      <c r="U557" s="1431"/>
      <c r="V557" s="1432"/>
      <c r="W557" s="1427"/>
      <c r="X557" s="1428"/>
      <c r="Y557" s="1429"/>
      <c r="Z557" s="1426" t="s">
        <v>1183</v>
      </c>
      <c r="AA557" s="1426"/>
      <c r="AB557" s="1426"/>
      <c r="AC557" s="1426"/>
      <c r="AD557" s="1426"/>
      <c r="AE557" s="1349"/>
      <c r="AF557" s="1350"/>
      <c r="AG557" s="1350"/>
      <c r="AH557" s="1351"/>
      <c r="AI557" s="1443"/>
      <c r="AJ557" s="1444"/>
      <c r="AK557" s="1444"/>
      <c r="AL557" s="1445"/>
      <c r="AM557" s="1459">
        <v>821694</v>
      </c>
      <c r="AN557" s="1460"/>
      <c r="AO557" s="1460"/>
      <c r="AP557" s="1460"/>
      <c r="AQ557" s="1460"/>
      <c r="AR557" s="1460"/>
      <c r="AS557" s="1461"/>
      <c r="AT557" s="1148" t="str">
        <f>IF(AND(NOT(C556=""),C557="",NOT(C558="")),"!","")</f>
        <v/>
      </c>
      <c r="AU557" s="1147"/>
      <c r="BB557" s="3"/>
      <c r="BC557" s="3"/>
      <c r="BD557" s="3"/>
      <c r="BE557" s="3"/>
      <c r="BF557" s="3"/>
      <c r="BG557" s="3"/>
      <c r="BH557" s="3"/>
      <c r="BI557" s="3"/>
    </row>
    <row r="558" spans="1:61" ht="12.95" customHeight="1">
      <c r="B558" s="52" t="s">
        <v>762</v>
      </c>
      <c r="C558" s="1425" t="s">
        <v>2712</v>
      </c>
      <c r="D558" s="1425"/>
      <c r="E558" s="1425"/>
      <c r="F558" s="1425"/>
      <c r="G558" s="1425"/>
      <c r="H558" s="1425"/>
      <c r="I558" s="1425"/>
      <c r="J558" s="1425"/>
      <c r="K558" s="1425"/>
      <c r="L558" s="1425"/>
      <c r="M558" s="1446" t="s">
        <v>2106</v>
      </c>
      <c r="N558" s="1446"/>
      <c r="O558" s="1446"/>
      <c r="P558" s="1446"/>
      <c r="Q558" s="1430"/>
      <c r="R558" s="1431"/>
      <c r="S558" s="1432"/>
      <c r="T558" s="1430"/>
      <c r="U558" s="1431"/>
      <c r="V558" s="1432"/>
      <c r="W558" s="1427"/>
      <c r="X558" s="1428"/>
      <c r="Y558" s="1429"/>
      <c r="Z558" s="1426" t="s">
        <v>1183</v>
      </c>
      <c r="AA558" s="1426"/>
      <c r="AB558" s="1426"/>
      <c r="AC558" s="1426"/>
      <c r="AD558" s="1426"/>
      <c r="AE558" s="1349"/>
      <c r="AF558" s="1350"/>
      <c r="AG558" s="1350"/>
      <c r="AH558" s="1351"/>
      <c r="AI558" s="1443"/>
      <c r="AJ558" s="1444"/>
      <c r="AK558" s="1444"/>
      <c r="AL558" s="1445"/>
      <c r="AM558" s="1459">
        <v>9840532</v>
      </c>
      <c r="AN558" s="1460"/>
      <c r="AO558" s="1460"/>
      <c r="AP558" s="1460"/>
      <c r="AQ558" s="1460"/>
      <c r="AR558" s="1460"/>
      <c r="AS558" s="1461"/>
      <c r="AT558" s="1148" t="str">
        <f t="shared" ref="AT558:AT565" si="0">IF(AND(NOT(C557=""),C558="",NOT(C559="")),"!","")</f>
        <v/>
      </c>
      <c r="AU558" s="1147"/>
      <c r="BB558" s="3"/>
      <c r="BC558" s="3"/>
      <c r="BD558" s="3"/>
      <c r="BE558" s="3"/>
      <c r="BF558" s="3"/>
      <c r="BG558" s="3"/>
      <c r="BH558" s="3" t="s">
        <v>762</v>
      </c>
      <c r="BI558" s="3" t="str">
        <f>N665</f>
        <v>No</v>
      </c>
    </row>
    <row r="559" spans="1:61" ht="12.95" customHeight="1">
      <c r="B559" s="52" t="s">
        <v>583</v>
      </c>
      <c r="C559" s="1425" t="s">
        <v>2683</v>
      </c>
      <c r="D559" s="1425"/>
      <c r="E559" s="1425"/>
      <c r="F559" s="1425"/>
      <c r="G559" s="1425"/>
      <c r="H559" s="1425"/>
      <c r="I559" s="1425"/>
      <c r="J559" s="1425"/>
      <c r="K559" s="1425"/>
      <c r="L559" s="1425"/>
      <c r="M559" s="1446" t="s">
        <v>2110</v>
      </c>
      <c r="N559" s="1446"/>
      <c r="O559" s="1446"/>
      <c r="P559" s="1446"/>
      <c r="Q559" s="1430"/>
      <c r="R559" s="1431"/>
      <c r="S559" s="1432"/>
      <c r="T559" s="1430"/>
      <c r="U559" s="1431"/>
      <c r="V559" s="1432"/>
      <c r="W559" s="1427"/>
      <c r="X559" s="1428"/>
      <c r="Y559" s="1429"/>
      <c r="Z559" s="1426" t="s">
        <v>1183</v>
      </c>
      <c r="AA559" s="1426"/>
      <c r="AB559" s="1426"/>
      <c r="AC559" s="1426"/>
      <c r="AD559" s="1426"/>
      <c r="AE559" s="1349"/>
      <c r="AF559" s="1350"/>
      <c r="AG559" s="1350"/>
      <c r="AH559" s="1351"/>
      <c r="AI559" s="1443"/>
      <c r="AJ559" s="1444"/>
      <c r="AK559" s="1444"/>
      <c r="AL559" s="1445"/>
      <c r="AM559" s="1459">
        <v>3719102</v>
      </c>
      <c r="AN559" s="1460"/>
      <c r="AO559" s="1460"/>
      <c r="AP559" s="1460"/>
      <c r="AQ559" s="1460"/>
      <c r="AR559" s="1460"/>
      <c r="AS559" s="1461"/>
      <c r="AT559" s="1148" t="str">
        <f t="shared" si="0"/>
        <v/>
      </c>
      <c r="AU559" s="1147"/>
      <c r="BB559" s="3"/>
      <c r="BC559" s="3"/>
      <c r="BD559" s="3"/>
      <c r="BE559" s="3"/>
      <c r="BF559" s="3"/>
      <c r="BG559" s="3"/>
      <c r="BH559" s="3" t="s">
        <v>583</v>
      </c>
      <c r="BI559" s="3" t="str">
        <f>AG665</f>
        <v>No</v>
      </c>
    </row>
    <row r="560" spans="1:61" ht="12.95" customHeight="1">
      <c r="B560" s="52" t="s">
        <v>454</v>
      </c>
      <c r="C560" s="1425"/>
      <c r="D560" s="1425"/>
      <c r="E560" s="1425"/>
      <c r="F560" s="1425"/>
      <c r="G560" s="1425"/>
      <c r="H560" s="1425"/>
      <c r="I560" s="1425"/>
      <c r="J560" s="1425"/>
      <c r="K560" s="1425"/>
      <c r="L560" s="1425"/>
      <c r="M560" s="1446" t="s">
        <v>1183</v>
      </c>
      <c r="N560" s="1446"/>
      <c r="O560" s="1446"/>
      <c r="P560" s="1446"/>
      <c r="Q560" s="1430"/>
      <c r="R560" s="1431"/>
      <c r="S560" s="1432"/>
      <c r="T560" s="1430"/>
      <c r="U560" s="1431"/>
      <c r="V560" s="1432"/>
      <c r="W560" s="1427"/>
      <c r="X560" s="1428"/>
      <c r="Y560" s="1429"/>
      <c r="Z560" s="1426" t="s">
        <v>1183</v>
      </c>
      <c r="AA560" s="1426"/>
      <c r="AB560" s="1426"/>
      <c r="AC560" s="1426"/>
      <c r="AD560" s="1426"/>
      <c r="AE560" s="1349"/>
      <c r="AF560" s="1350"/>
      <c r="AG560" s="1350"/>
      <c r="AH560" s="1351"/>
      <c r="AI560" s="1443"/>
      <c r="AJ560" s="1444"/>
      <c r="AK560" s="1444"/>
      <c r="AL560" s="1445"/>
      <c r="AM560" s="1459"/>
      <c r="AN560" s="1460"/>
      <c r="AO560" s="1460"/>
      <c r="AP560" s="1460"/>
      <c r="AQ560" s="1460"/>
      <c r="AR560" s="1460"/>
      <c r="AS560" s="1461"/>
      <c r="AT560" s="1148" t="str">
        <f t="shared" si="0"/>
        <v/>
      </c>
      <c r="AU560" s="1147"/>
      <c r="BB560" s="3"/>
      <c r="BC560" s="3"/>
      <c r="BD560" s="3"/>
      <c r="BE560" s="3"/>
      <c r="BF560" s="3"/>
      <c r="BG560" s="3"/>
      <c r="BH560" s="3"/>
      <c r="BI560" s="3"/>
    </row>
    <row r="561" spans="1:61" ht="12.95" customHeight="1">
      <c r="B561" s="52" t="s">
        <v>455</v>
      </c>
      <c r="C561" s="1425"/>
      <c r="D561" s="1425"/>
      <c r="E561" s="1425"/>
      <c r="F561" s="1425"/>
      <c r="G561" s="1425"/>
      <c r="H561" s="1425"/>
      <c r="I561" s="1425"/>
      <c r="J561" s="1425"/>
      <c r="K561" s="1425"/>
      <c r="L561" s="1425"/>
      <c r="M561" s="1446" t="s">
        <v>1183</v>
      </c>
      <c r="N561" s="1446"/>
      <c r="O561" s="1446"/>
      <c r="P561" s="1446"/>
      <c r="Q561" s="1430"/>
      <c r="R561" s="1431"/>
      <c r="S561" s="1432"/>
      <c r="T561" s="1430"/>
      <c r="U561" s="1431"/>
      <c r="V561" s="1432"/>
      <c r="W561" s="1427"/>
      <c r="X561" s="1428"/>
      <c r="Y561" s="1429"/>
      <c r="Z561" s="1426" t="s">
        <v>1183</v>
      </c>
      <c r="AA561" s="1426"/>
      <c r="AB561" s="1426"/>
      <c r="AC561" s="1426"/>
      <c r="AD561" s="1426"/>
      <c r="AE561" s="1349"/>
      <c r="AF561" s="1350"/>
      <c r="AG561" s="1350"/>
      <c r="AH561" s="1351"/>
      <c r="AI561" s="1443"/>
      <c r="AJ561" s="1444"/>
      <c r="AK561" s="1444"/>
      <c r="AL561" s="1445"/>
      <c r="AM561" s="1459"/>
      <c r="AN561" s="1460"/>
      <c r="AO561" s="1460"/>
      <c r="AP561" s="1460"/>
      <c r="AQ561" s="1460"/>
      <c r="AR561" s="1460"/>
      <c r="AS561" s="1461"/>
      <c r="AT561" s="1148" t="str">
        <f t="shared" si="0"/>
        <v/>
      </c>
      <c r="AU561" s="1147"/>
      <c r="BB561" s="3"/>
      <c r="BC561" s="3"/>
      <c r="BD561" s="3"/>
      <c r="BE561" s="3"/>
      <c r="BF561" s="3"/>
      <c r="BG561" s="3"/>
      <c r="BH561" s="3"/>
      <c r="BI561" s="3"/>
    </row>
    <row r="562" spans="1:61" ht="12.95" customHeight="1">
      <c r="B562" s="52" t="s">
        <v>460</v>
      </c>
      <c r="C562" s="1425"/>
      <c r="D562" s="1425"/>
      <c r="E562" s="1425"/>
      <c r="F562" s="1425"/>
      <c r="G562" s="1425"/>
      <c r="H562" s="1425"/>
      <c r="I562" s="1425"/>
      <c r="J562" s="1425"/>
      <c r="K562" s="1425"/>
      <c r="L562" s="1425"/>
      <c r="M562" s="1446" t="s">
        <v>1183</v>
      </c>
      <c r="N562" s="1446"/>
      <c r="O562" s="1446"/>
      <c r="P562" s="1446"/>
      <c r="Q562" s="1430"/>
      <c r="R562" s="1431"/>
      <c r="S562" s="1432"/>
      <c r="T562" s="1430"/>
      <c r="U562" s="1431"/>
      <c r="V562" s="1432"/>
      <c r="W562" s="1427"/>
      <c r="X562" s="1428"/>
      <c r="Y562" s="1429"/>
      <c r="Z562" s="1426" t="s">
        <v>1183</v>
      </c>
      <c r="AA562" s="1426"/>
      <c r="AB562" s="1426"/>
      <c r="AC562" s="1426"/>
      <c r="AD562" s="1426"/>
      <c r="AE562" s="1349"/>
      <c r="AF562" s="1350"/>
      <c r="AG562" s="1350"/>
      <c r="AH562" s="1351"/>
      <c r="AI562" s="1443"/>
      <c r="AJ562" s="1444"/>
      <c r="AK562" s="1444"/>
      <c r="AL562" s="1445"/>
      <c r="AM562" s="1459"/>
      <c r="AN562" s="1460"/>
      <c r="AO562" s="1460"/>
      <c r="AP562" s="1460"/>
      <c r="AQ562" s="1460"/>
      <c r="AR562" s="1460"/>
      <c r="AS562" s="1461"/>
      <c r="AT562" s="1148" t="str">
        <f t="shared" si="0"/>
        <v/>
      </c>
      <c r="AU562" s="1147"/>
      <c r="BB562" s="3"/>
      <c r="BC562" s="3"/>
      <c r="BD562" s="3"/>
      <c r="BE562" s="3"/>
      <c r="BF562" s="3"/>
      <c r="BG562" s="3"/>
      <c r="BH562" s="3"/>
      <c r="BI562" s="3"/>
    </row>
    <row r="563" spans="1:61" ht="12.95" customHeight="1">
      <c r="B563" s="52" t="s">
        <v>645</v>
      </c>
      <c r="C563" s="1425"/>
      <c r="D563" s="1425"/>
      <c r="E563" s="1425"/>
      <c r="F563" s="1425"/>
      <c r="G563" s="1425"/>
      <c r="H563" s="1425"/>
      <c r="I563" s="1425"/>
      <c r="J563" s="1425"/>
      <c r="K563" s="1425"/>
      <c r="L563" s="1425"/>
      <c r="M563" s="1446" t="s">
        <v>1183</v>
      </c>
      <c r="N563" s="1446"/>
      <c r="O563" s="1446"/>
      <c r="P563" s="1446"/>
      <c r="Q563" s="1430"/>
      <c r="R563" s="1431"/>
      <c r="S563" s="1432"/>
      <c r="T563" s="1430"/>
      <c r="U563" s="1431"/>
      <c r="V563" s="1432"/>
      <c r="W563" s="1427"/>
      <c r="X563" s="1428"/>
      <c r="Y563" s="1429"/>
      <c r="Z563" s="1426" t="s">
        <v>1183</v>
      </c>
      <c r="AA563" s="1426"/>
      <c r="AB563" s="1426"/>
      <c r="AC563" s="1426"/>
      <c r="AD563" s="1426"/>
      <c r="AE563" s="1349"/>
      <c r="AF563" s="1350"/>
      <c r="AG563" s="1350"/>
      <c r="AH563" s="1351"/>
      <c r="AI563" s="1443"/>
      <c r="AJ563" s="1444"/>
      <c r="AK563" s="1444"/>
      <c r="AL563" s="1445"/>
      <c r="AM563" s="1459"/>
      <c r="AN563" s="1460"/>
      <c r="AO563" s="1460"/>
      <c r="AP563" s="1460"/>
      <c r="AQ563" s="1460"/>
      <c r="AR563" s="1460"/>
      <c r="AS563" s="1461"/>
      <c r="AT563" s="1148" t="str">
        <f t="shared" si="0"/>
        <v/>
      </c>
      <c r="BB563" s="3"/>
      <c r="BC563" s="3"/>
      <c r="BD563" s="3"/>
      <c r="BE563" s="3"/>
      <c r="BF563" s="3"/>
      <c r="BG563" s="3"/>
      <c r="BH563" s="3"/>
      <c r="BI563" s="3"/>
    </row>
    <row r="564" spans="1:61" ht="12.95" customHeight="1">
      <c r="B564" s="52" t="s">
        <v>361</v>
      </c>
      <c r="C564" s="1425"/>
      <c r="D564" s="1425"/>
      <c r="E564" s="1425"/>
      <c r="F564" s="1425"/>
      <c r="G564" s="1425"/>
      <c r="H564" s="1425"/>
      <c r="I564" s="1425"/>
      <c r="J564" s="1425"/>
      <c r="K564" s="1425"/>
      <c r="L564" s="1425"/>
      <c r="M564" s="1446" t="s">
        <v>1183</v>
      </c>
      <c r="N564" s="1446"/>
      <c r="O564" s="1446"/>
      <c r="P564" s="1446"/>
      <c r="Q564" s="1430"/>
      <c r="R564" s="1431"/>
      <c r="S564" s="1432"/>
      <c r="T564" s="1430"/>
      <c r="U564" s="1431"/>
      <c r="V564" s="1432"/>
      <c r="W564" s="1427"/>
      <c r="X564" s="1428"/>
      <c r="Y564" s="1429"/>
      <c r="Z564" s="1426" t="s">
        <v>1183</v>
      </c>
      <c r="AA564" s="1426"/>
      <c r="AB564" s="1426"/>
      <c r="AC564" s="1426"/>
      <c r="AD564" s="1426"/>
      <c r="AE564" s="1349"/>
      <c r="AF564" s="1350"/>
      <c r="AG564" s="1350"/>
      <c r="AH564" s="1351"/>
      <c r="AI564" s="1443"/>
      <c r="AJ564" s="1444"/>
      <c r="AK564" s="1444"/>
      <c r="AL564" s="1445"/>
      <c r="AM564" s="1459"/>
      <c r="AN564" s="1460"/>
      <c r="AO564" s="1460"/>
      <c r="AP564" s="1460"/>
      <c r="AQ564" s="1460"/>
      <c r="AR564" s="1460"/>
      <c r="AS564" s="1461"/>
      <c r="AT564" s="1148" t="str">
        <f t="shared" si="0"/>
        <v/>
      </c>
      <c r="BB564" s="3"/>
      <c r="BC564" s="3"/>
      <c r="BD564" s="3"/>
      <c r="BE564" s="3"/>
      <c r="BF564" s="3"/>
      <c r="BG564" s="3"/>
      <c r="BH564" s="3"/>
      <c r="BI564" s="3"/>
    </row>
    <row r="565" spans="1:61" ht="12.95" customHeight="1">
      <c r="B565" s="52" t="s">
        <v>362</v>
      </c>
      <c r="C565" s="1425"/>
      <c r="D565" s="1425"/>
      <c r="E565" s="1425"/>
      <c r="F565" s="1425"/>
      <c r="G565" s="1425"/>
      <c r="H565" s="1425"/>
      <c r="I565" s="1425"/>
      <c r="J565" s="1425"/>
      <c r="K565" s="1425"/>
      <c r="L565" s="1425"/>
      <c r="M565" s="1446" t="s">
        <v>1183</v>
      </c>
      <c r="N565" s="1446"/>
      <c r="O565" s="1446"/>
      <c r="P565" s="1446"/>
      <c r="Q565" s="1430"/>
      <c r="R565" s="1431"/>
      <c r="S565" s="1432"/>
      <c r="T565" s="1430"/>
      <c r="U565" s="1431"/>
      <c r="V565" s="1432"/>
      <c r="W565" s="1427"/>
      <c r="X565" s="1428"/>
      <c r="Y565" s="1429"/>
      <c r="Z565" s="1426" t="s">
        <v>1183</v>
      </c>
      <c r="AA565" s="1426"/>
      <c r="AB565" s="1426"/>
      <c r="AC565" s="1426"/>
      <c r="AD565" s="1426"/>
      <c r="AE565" s="1349"/>
      <c r="AF565" s="1350"/>
      <c r="AG565" s="1350"/>
      <c r="AH565" s="1351"/>
      <c r="AI565" s="1443"/>
      <c r="AJ565" s="1444"/>
      <c r="AK565" s="1444"/>
      <c r="AL565" s="1445"/>
      <c r="AM565" s="1459"/>
      <c r="AN565" s="1460"/>
      <c r="AO565" s="1460"/>
      <c r="AP565" s="1460"/>
      <c r="AQ565" s="1460"/>
      <c r="AR565" s="1460"/>
      <c r="AS565" s="1461"/>
      <c r="AT565" s="1148" t="str">
        <f t="shared" si="0"/>
        <v/>
      </c>
      <c r="BB565" s="3"/>
      <c r="BC565" s="3"/>
      <c r="BD565" s="3"/>
      <c r="BE565" s="3"/>
      <c r="BF565" s="3"/>
      <c r="BG565" s="3"/>
      <c r="BH565" s="3"/>
      <c r="BI565" s="3"/>
    </row>
    <row r="566" spans="1:61" ht="12.95" customHeight="1">
      <c r="B566" s="1345" t="s">
        <v>127</v>
      </c>
      <c r="C566" s="1346"/>
      <c r="D566" s="1346"/>
      <c r="E566" s="1346"/>
      <c r="F566" s="1346"/>
      <c r="G566" s="1346"/>
      <c r="H566" s="1346"/>
      <c r="I566" s="1346"/>
      <c r="J566" s="1346"/>
      <c r="K566" s="1346"/>
      <c r="L566" s="1346"/>
      <c r="M566" s="1346"/>
      <c r="N566" s="1346"/>
      <c r="O566" s="1346"/>
      <c r="P566" s="1346"/>
      <c r="Q566" s="1346"/>
      <c r="R566" s="1346"/>
      <c r="S566" s="1346"/>
      <c r="T566" s="1346"/>
      <c r="U566" s="1347"/>
      <c r="V566" s="1346"/>
      <c r="W566" s="1346"/>
      <c r="X566" s="1346"/>
      <c r="Y566" s="1346"/>
      <c r="Z566" s="1346"/>
      <c r="AA566" s="1346"/>
      <c r="AB566" s="1346"/>
      <c r="AC566" s="1346"/>
      <c r="AD566" s="1346"/>
      <c r="AE566" s="1346"/>
      <c r="AF566" s="1346"/>
      <c r="AG566" s="1346"/>
      <c r="AH566" s="1346"/>
      <c r="AI566" s="1346"/>
      <c r="AJ566" s="1346"/>
      <c r="AK566" s="1346"/>
      <c r="AL566" s="1348"/>
      <c r="AM566" s="1465">
        <f>SUM(AM554:AS565)</f>
        <v>68611339</v>
      </c>
      <c r="AN566" s="1466"/>
      <c r="AO566" s="1466"/>
      <c r="AP566" s="1466"/>
      <c r="AQ566" s="1466"/>
      <c r="AR566" s="1466"/>
      <c r="AS566" s="1467"/>
      <c r="BB566" s="3"/>
      <c r="BC566" s="3"/>
      <c r="BD566" s="3"/>
      <c r="BE566" s="3"/>
      <c r="BF566" s="3"/>
      <c r="BG566" s="3"/>
      <c r="BH566" s="3" t="s">
        <v>454</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455</v>
      </c>
      <c r="BI567" s="3" t="str">
        <f>AG673</f>
        <v>No</v>
      </c>
    </row>
    <row r="568" spans="1:61" ht="12.95" customHeight="1">
      <c r="A568" s="55" t="s">
        <v>112</v>
      </c>
      <c r="B568" t="s">
        <v>462</v>
      </c>
      <c r="G568" s="1475" t="str">
        <f>C554</f>
        <v>Citibank, N.A.</v>
      </c>
      <c r="H568" s="1475"/>
      <c r="I568" s="1475"/>
      <c r="J568" s="1475"/>
      <c r="K568" s="1475"/>
      <c r="L568" s="1475"/>
      <c r="M568" s="1475"/>
      <c r="N568" s="1475"/>
      <c r="O568" s="1475"/>
      <c r="P568" s="1475"/>
      <c r="Q568" s="1475"/>
      <c r="R568" s="1475"/>
      <c r="S568" s="8"/>
      <c r="T568" s="55" t="s">
        <v>113</v>
      </c>
      <c r="U568" t="s">
        <v>462</v>
      </c>
      <c r="Z568" s="1475" t="str">
        <f>C555</f>
        <v>Citibank, N.A.</v>
      </c>
      <c r="AA568" s="1475"/>
      <c r="AB568" s="1475"/>
      <c r="AC568" s="1475"/>
      <c r="AD568" s="1475"/>
      <c r="AE568" s="1475"/>
      <c r="AF568" s="1475"/>
      <c r="AG568" s="1475"/>
      <c r="AH568" s="1475"/>
      <c r="AI568" s="1475"/>
      <c r="AJ568" s="1475"/>
      <c r="AK568" s="1475"/>
      <c r="BB568" s="3"/>
      <c r="BC568" s="3"/>
      <c r="BD568" s="3"/>
      <c r="BE568" s="3"/>
      <c r="BF568" s="3"/>
      <c r="BG568" s="3"/>
      <c r="BH568" s="3"/>
      <c r="BI568" s="3"/>
    </row>
    <row r="569" spans="1:61" ht="12.95" customHeight="1">
      <c r="A569" s="22"/>
      <c r="B569" t="s">
        <v>85</v>
      </c>
      <c r="G569" s="1344" t="s">
        <v>2724</v>
      </c>
      <c r="H569" s="1344"/>
      <c r="I569" s="1344"/>
      <c r="J569" s="1344"/>
      <c r="K569" s="1344"/>
      <c r="L569" s="1344"/>
      <c r="M569" s="1344"/>
      <c r="N569" s="1344"/>
      <c r="O569" s="1344"/>
      <c r="P569" s="1344"/>
      <c r="Q569" s="1344"/>
      <c r="R569" s="1344"/>
      <c r="S569" s="8"/>
      <c r="T569" s="22"/>
      <c r="U569" t="s">
        <v>85</v>
      </c>
      <c r="Z569" s="1344" t="s">
        <v>2724</v>
      </c>
      <c r="AA569" s="1344"/>
      <c r="AB569" s="1344"/>
      <c r="AC569" s="1344"/>
      <c r="AD569" s="1344"/>
      <c r="AE569" s="1344"/>
      <c r="AF569" s="1344"/>
      <c r="AG569" s="1344"/>
      <c r="AH569" s="1344"/>
      <c r="AI569" s="1344"/>
      <c r="AJ569" s="1344"/>
      <c r="AK569" s="1344"/>
      <c r="BB569" s="3"/>
      <c r="BC569" s="3"/>
      <c r="BD569" s="3"/>
      <c r="BE569" s="3"/>
      <c r="BF569" s="3"/>
      <c r="BG569" s="3"/>
      <c r="BH569" s="3"/>
      <c r="BI569" s="3"/>
    </row>
    <row r="570" spans="1:61" ht="12.95" customHeight="1">
      <c r="A570" s="22"/>
      <c r="B570" t="s">
        <v>579</v>
      </c>
      <c r="G570" s="1344" t="s">
        <v>2725</v>
      </c>
      <c r="H570" s="1344"/>
      <c r="I570" s="1344"/>
      <c r="J570" s="1344"/>
      <c r="K570" s="1344"/>
      <c r="L570" s="1344"/>
      <c r="M570" s="1344"/>
      <c r="N570" s="1344"/>
      <c r="O570" s="1344"/>
      <c r="P570" s="1344"/>
      <c r="Q570" s="1344"/>
      <c r="R570" s="1344"/>
      <c r="T570" s="22"/>
      <c r="U570" t="s">
        <v>579</v>
      </c>
      <c r="Z570" s="1333" t="s">
        <v>2725</v>
      </c>
      <c r="AA570" s="1333"/>
      <c r="AB570" s="1333"/>
      <c r="AC570" s="1333"/>
      <c r="AD570" s="1333"/>
      <c r="AE570" s="1333"/>
      <c r="AF570" s="1333"/>
      <c r="AG570" s="1333"/>
      <c r="AH570" s="1333"/>
      <c r="AI570" s="1333"/>
      <c r="AJ570" s="1333"/>
      <c r="AK570" s="1333"/>
      <c r="BB570" s="3"/>
      <c r="BC570" s="3"/>
      <c r="BD570" s="3"/>
      <c r="BE570" s="3"/>
      <c r="BF570" s="3"/>
      <c r="BG570" s="3"/>
      <c r="BH570" s="3"/>
      <c r="BI570" s="3"/>
    </row>
    <row r="571" spans="1:61" ht="12.95" customHeight="1">
      <c r="A571" s="22"/>
      <c r="B571" t="s">
        <v>17</v>
      </c>
      <c r="G571" s="1344" t="s">
        <v>2726</v>
      </c>
      <c r="H571" s="1344"/>
      <c r="I571" s="1344"/>
      <c r="J571" s="1344"/>
      <c r="K571" s="1344"/>
      <c r="L571" s="1344"/>
      <c r="M571" s="1344"/>
      <c r="N571" s="1344"/>
      <c r="O571" s="1344"/>
      <c r="P571" s="1344"/>
      <c r="Q571" s="1344"/>
      <c r="R571" s="1344"/>
      <c r="S571" s="8"/>
      <c r="T571" s="22"/>
      <c r="U571" t="s">
        <v>17</v>
      </c>
      <c r="Z571" s="1333" t="s">
        <v>2726</v>
      </c>
      <c r="AA571" s="1333"/>
      <c r="AB571" s="1333"/>
      <c r="AC571" s="1333"/>
      <c r="AD571" s="1333"/>
      <c r="AE571" s="1333"/>
      <c r="AF571" s="1333"/>
      <c r="AG571" s="1333"/>
      <c r="AH571" s="1333"/>
      <c r="AI571" s="1333"/>
      <c r="AJ571" s="1333"/>
      <c r="AK571" s="1333"/>
      <c r="BB571" s="3"/>
      <c r="BC571" s="3"/>
      <c r="BD571" s="3"/>
      <c r="BE571" s="3"/>
      <c r="BF571" s="3"/>
      <c r="BG571" s="3"/>
      <c r="BH571" s="3"/>
      <c r="BI571" s="3"/>
    </row>
    <row r="572" spans="1:61" ht="12.95" customHeight="1">
      <c r="A572" s="22"/>
      <c r="B572" t="s">
        <v>315</v>
      </c>
      <c r="G572" s="1479">
        <v>8055570930</v>
      </c>
      <c r="H572" s="1479"/>
      <c r="I572" s="1479"/>
      <c r="J572" s="1479"/>
      <c r="K572" s="1479"/>
      <c r="L572" s="1479"/>
      <c r="O572" s="33" t="s">
        <v>205</v>
      </c>
      <c r="P572" s="1448"/>
      <c r="Q572" s="1448"/>
      <c r="R572" s="1448"/>
      <c r="S572" s="10"/>
      <c r="T572" s="22"/>
      <c r="U572" t="s">
        <v>315</v>
      </c>
      <c r="Z572" s="1479">
        <v>8055570930</v>
      </c>
      <c r="AA572" s="1479"/>
      <c r="AB572" s="1479"/>
      <c r="AC572" s="1479"/>
      <c r="AD572" s="1479"/>
      <c r="AE572" s="1479"/>
      <c r="AH572" s="33" t="s">
        <v>205</v>
      </c>
      <c r="AI572" s="1448"/>
      <c r="AJ572" s="1448"/>
      <c r="AK572" s="1448"/>
      <c r="BB572" s="3"/>
      <c r="BC572" s="3"/>
      <c r="BD572" s="3"/>
      <c r="BE572" s="3"/>
      <c r="BF572" s="3"/>
      <c r="BG572" s="3"/>
      <c r="BH572" s="3"/>
      <c r="BI572" s="3"/>
    </row>
    <row r="573" spans="1:61" ht="12.95" customHeight="1">
      <c r="A573" s="22"/>
      <c r="B573" t="s">
        <v>18</v>
      </c>
      <c r="H573" s="1344" t="s">
        <v>2727</v>
      </c>
      <c r="I573" s="1344"/>
      <c r="J573" s="1344"/>
      <c r="K573" s="1344"/>
      <c r="L573" s="1344"/>
      <c r="M573" s="1344"/>
      <c r="N573" s="1344"/>
      <c r="O573" s="1344"/>
      <c r="P573" s="1344"/>
      <c r="Q573" s="1344"/>
      <c r="R573" s="1344"/>
      <c r="S573" s="8"/>
      <c r="T573" s="22"/>
      <c r="U573" t="s">
        <v>18</v>
      </c>
      <c r="AA573" s="1344" t="s">
        <v>2728</v>
      </c>
      <c r="AB573" s="1344"/>
      <c r="AC573" s="1344"/>
      <c r="AD573" s="1344"/>
      <c r="AE573" s="1344"/>
      <c r="AF573" s="1344"/>
      <c r="AG573" s="1344"/>
      <c r="AH573" s="1344"/>
      <c r="AI573" s="1344"/>
      <c r="AJ573" s="1344"/>
      <c r="AK573" s="1344"/>
      <c r="BB573" s="3"/>
      <c r="BC573" s="3"/>
      <c r="BD573" s="3"/>
      <c r="BE573" s="3"/>
      <c r="BF573" s="3"/>
      <c r="BG573" s="3"/>
      <c r="BH573" s="3"/>
      <c r="BI573" s="3"/>
    </row>
    <row r="574" spans="1:61" ht="12.95" customHeight="1">
      <c r="A574" s="22"/>
      <c r="B574" s="320" t="s">
        <v>1184</v>
      </c>
      <c r="H574" s="8"/>
      <c r="I574" s="8"/>
      <c r="J574" s="8"/>
      <c r="K574" s="8"/>
      <c r="L574" s="8"/>
      <c r="M574" s="1637"/>
      <c r="N574" s="1637"/>
      <c r="O574" s="1637"/>
      <c r="P574" s="1637"/>
      <c r="Q574" s="1637"/>
      <c r="R574" s="1637"/>
      <c r="S574" s="8"/>
      <c r="T574" s="22"/>
      <c r="U574" s="320" t="s">
        <v>1184</v>
      </c>
      <c r="AA574" s="8"/>
      <c r="AB574" s="8"/>
      <c r="AC574" s="8"/>
      <c r="AD574" s="8"/>
      <c r="AE574" s="8"/>
      <c r="AF574" s="1637"/>
      <c r="AG574" s="1637"/>
      <c r="AH574" s="1637"/>
      <c r="AI574" s="1637"/>
      <c r="AJ574" s="1637"/>
      <c r="AK574" s="1637"/>
      <c r="BB574" s="3"/>
      <c r="BC574" s="3"/>
      <c r="BD574" s="3"/>
      <c r="BE574" s="3"/>
      <c r="BF574" s="3"/>
      <c r="BG574" s="3"/>
      <c r="BH574" s="3"/>
      <c r="BI574" s="3"/>
    </row>
    <row r="575" spans="1:61" ht="12.95" customHeight="1">
      <c r="A575" s="22"/>
      <c r="B575" t="s">
        <v>20</v>
      </c>
      <c r="N575" s="1352" t="s">
        <v>544</v>
      </c>
      <c r="O575" s="1352"/>
      <c r="T575" s="22"/>
      <c r="U575" t="s">
        <v>20</v>
      </c>
      <c r="AG575" s="1352" t="s">
        <v>544</v>
      </c>
      <c r="AH575" s="1352"/>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462</v>
      </c>
      <c r="G577" s="1475" t="str">
        <f>C556</f>
        <v>Citibank, N.A.</v>
      </c>
      <c r="H577" s="1475"/>
      <c r="I577" s="1475"/>
      <c r="J577" s="1475"/>
      <c r="K577" s="1475"/>
      <c r="L577" s="1475"/>
      <c r="M577" s="1475"/>
      <c r="N577" s="1475"/>
      <c r="O577" s="1475"/>
      <c r="P577" s="1475"/>
      <c r="Q577" s="1475"/>
      <c r="R577" s="1475"/>
      <c r="T577" s="55" t="s">
        <v>580</v>
      </c>
      <c r="U577" t="s">
        <v>462</v>
      </c>
      <c r="Z577" s="1475" t="str">
        <f>C557</f>
        <v>LIHTC Advisors, LLC</v>
      </c>
      <c r="AA577" s="1475"/>
      <c r="AB577" s="1475"/>
      <c r="AC577" s="1475"/>
      <c r="AD577" s="1475"/>
      <c r="AE577" s="1475"/>
      <c r="AF577" s="1475"/>
      <c r="AG577" s="1475"/>
      <c r="AH577" s="1475"/>
      <c r="AI577" s="1475"/>
      <c r="AJ577" s="1475"/>
      <c r="AK577" s="1475"/>
      <c r="BB577" s="3"/>
      <c r="BC577" s="3"/>
    </row>
    <row r="578" spans="1:55" ht="12.95" customHeight="1">
      <c r="A578" s="22"/>
      <c r="B578" t="s">
        <v>85</v>
      </c>
      <c r="G578" s="1344" t="s">
        <v>2724</v>
      </c>
      <c r="H578" s="1344"/>
      <c r="I578" s="1344"/>
      <c r="J578" s="1344"/>
      <c r="K578" s="1344"/>
      <c r="L578" s="1344"/>
      <c r="M578" s="1344"/>
      <c r="N578" s="1344"/>
      <c r="O578" s="1344"/>
      <c r="P578" s="1344"/>
      <c r="Q578" s="1344"/>
      <c r="R578" s="1344"/>
      <c r="T578" s="22"/>
      <c r="U578" t="s">
        <v>85</v>
      </c>
      <c r="Z578" s="1344" t="s">
        <v>2730</v>
      </c>
      <c r="AA578" s="1344"/>
      <c r="AB578" s="1344"/>
      <c r="AC578" s="1344"/>
      <c r="AD578" s="1344"/>
      <c r="AE578" s="1344"/>
      <c r="AF578" s="1344"/>
      <c r="AG578" s="1344"/>
      <c r="AH578" s="1344"/>
      <c r="AI578" s="1344"/>
      <c r="AJ578" s="1344"/>
      <c r="AK578" s="1344"/>
      <c r="BB578" s="3"/>
      <c r="BC578" s="3"/>
    </row>
    <row r="579" spans="1:55" ht="12.95" customHeight="1">
      <c r="A579" s="22"/>
      <c r="B579" t="s">
        <v>579</v>
      </c>
      <c r="G579" s="1333" t="s">
        <v>2725</v>
      </c>
      <c r="H579" s="1333"/>
      <c r="I579" s="1333"/>
      <c r="J579" s="1333"/>
      <c r="K579" s="1333"/>
      <c r="L579" s="1333"/>
      <c r="M579" s="1333"/>
      <c r="N579" s="1333"/>
      <c r="O579" s="1333"/>
      <c r="P579" s="1333"/>
      <c r="Q579" s="1333"/>
      <c r="R579" s="1333"/>
      <c r="T579" s="22"/>
      <c r="U579" t="s">
        <v>579</v>
      </c>
      <c r="Z579" s="1333" t="s">
        <v>2731</v>
      </c>
      <c r="AA579" s="1333"/>
      <c r="AB579" s="1333"/>
      <c r="AC579" s="1333"/>
      <c r="AD579" s="1333"/>
      <c r="AE579" s="1333"/>
      <c r="AF579" s="1333"/>
      <c r="AG579" s="1333"/>
      <c r="AH579" s="1333"/>
      <c r="AI579" s="1333"/>
      <c r="AJ579" s="1333"/>
      <c r="AK579" s="1333"/>
      <c r="BB579" s="3"/>
      <c r="BC579" s="3"/>
    </row>
    <row r="580" spans="1:55" ht="12.95" customHeight="1">
      <c r="A580" s="22"/>
      <c r="B580" t="s">
        <v>17</v>
      </c>
      <c r="G580" s="1333" t="s">
        <v>2726</v>
      </c>
      <c r="H580" s="1333"/>
      <c r="I580" s="1333"/>
      <c r="J580" s="1333"/>
      <c r="K580" s="1333"/>
      <c r="L580" s="1333"/>
      <c r="M580" s="1333"/>
      <c r="N580" s="1333"/>
      <c r="O580" s="1333"/>
      <c r="P580" s="1333"/>
      <c r="Q580" s="1333"/>
      <c r="R580" s="1333"/>
      <c r="T580" s="22"/>
      <c r="U580" t="s">
        <v>17</v>
      </c>
      <c r="Z580" s="1333" t="s">
        <v>2663</v>
      </c>
      <c r="AA580" s="1333"/>
      <c r="AB580" s="1333"/>
      <c r="AC580" s="1333"/>
      <c r="AD580" s="1333"/>
      <c r="AE580" s="1333"/>
      <c r="AF580" s="1333"/>
      <c r="AG580" s="1333"/>
      <c r="AH580" s="1333"/>
      <c r="AI580" s="1333"/>
      <c r="AJ580" s="1333"/>
      <c r="AK580" s="1333"/>
      <c r="BB580" s="3"/>
      <c r="BC580" s="3"/>
    </row>
    <row r="581" spans="1:55" ht="12.95" customHeight="1">
      <c r="A581" s="22"/>
      <c r="B581" t="s">
        <v>315</v>
      </c>
      <c r="G581" s="1479">
        <v>8055570930</v>
      </c>
      <c r="H581" s="1479"/>
      <c r="I581" s="1479"/>
      <c r="J581" s="1479"/>
      <c r="K581" s="1479"/>
      <c r="L581" s="1479"/>
      <c r="O581" s="33" t="s">
        <v>205</v>
      </c>
      <c r="P581" s="1448"/>
      <c r="Q581" s="1448"/>
      <c r="R581" s="1448"/>
      <c r="T581" s="22"/>
      <c r="U581" t="s">
        <v>315</v>
      </c>
      <c r="Z581" s="1479">
        <v>8058047778</v>
      </c>
      <c r="AA581" s="1479"/>
      <c r="AB581" s="1479"/>
      <c r="AC581" s="1479"/>
      <c r="AD581" s="1479"/>
      <c r="AE581" s="1479"/>
      <c r="AH581" s="33" t="s">
        <v>205</v>
      </c>
      <c r="AI581" s="1448"/>
      <c r="AJ581" s="1448"/>
      <c r="AK581" s="1448"/>
      <c r="BB581" s="3"/>
      <c r="BC581" s="3"/>
    </row>
    <row r="582" spans="1:55" ht="12.95" customHeight="1">
      <c r="A582" s="22"/>
      <c r="B582" t="s">
        <v>18</v>
      </c>
      <c r="H582" s="1344" t="s">
        <v>2729</v>
      </c>
      <c r="I582" s="1344"/>
      <c r="J582" s="1344"/>
      <c r="K582" s="1344"/>
      <c r="L582" s="1344"/>
      <c r="M582" s="1344"/>
      <c r="N582" s="1344"/>
      <c r="O582" s="1344"/>
      <c r="P582" s="1344"/>
      <c r="Q582" s="1344"/>
      <c r="R582" s="1344"/>
      <c r="T582" s="22"/>
      <c r="U582" t="s">
        <v>18</v>
      </c>
      <c r="AA582" s="1344" t="s">
        <v>2732</v>
      </c>
      <c r="AB582" s="1344"/>
      <c r="AC582" s="1344"/>
      <c r="AD582" s="1344"/>
      <c r="AE582" s="1344"/>
      <c r="AF582" s="1344"/>
      <c r="AG582" s="1344"/>
      <c r="AH582" s="1344"/>
      <c r="AI582" s="1344"/>
      <c r="AJ582" s="1344"/>
      <c r="AK582" s="1344"/>
      <c r="BB582" s="3"/>
      <c r="BC582" s="3"/>
    </row>
    <row r="583" spans="1:55" ht="12.95" customHeight="1">
      <c r="A583" s="22"/>
      <c r="B583" t="s">
        <v>20</v>
      </c>
      <c r="N583" s="1352" t="s">
        <v>544</v>
      </c>
      <c r="O583" s="1352"/>
      <c r="T583" s="22"/>
      <c r="U583" t="s">
        <v>20</v>
      </c>
      <c r="AG583" s="1352" t="s">
        <v>544</v>
      </c>
      <c r="AH583" s="1352"/>
      <c r="BB583" s="3"/>
      <c r="BC583" s="3"/>
    </row>
    <row r="584" spans="1:55" ht="12.95" customHeight="1">
      <c r="A584" s="22"/>
      <c r="T584" s="22"/>
      <c r="BB584" s="3"/>
      <c r="BC584" s="3"/>
    </row>
    <row r="585" spans="1:55" ht="12.95" customHeight="1">
      <c r="A585" s="55" t="s">
        <v>762</v>
      </c>
      <c r="B585" t="s">
        <v>462</v>
      </c>
      <c r="G585" s="1475" t="str">
        <f>C558</f>
        <v>LIHTC Advisors, LLC</v>
      </c>
      <c r="H585" s="1475"/>
      <c r="I585" s="1475"/>
      <c r="J585" s="1475"/>
      <c r="K585" s="1475"/>
      <c r="L585" s="1475"/>
      <c r="M585" s="1475"/>
      <c r="N585" s="1475"/>
      <c r="O585" s="1475"/>
      <c r="P585" s="1475"/>
      <c r="Q585" s="1475"/>
      <c r="R585" s="1475"/>
      <c r="T585" s="55" t="s">
        <v>583</v>
      </c>
      <c r="U585" t="s">
        <v>462</v>
      </c>
      <c r="Z585" s="1475" t="str">
        <f>C559</f>
        <v>Boston Financial</v>
      </c>
      <c r="AA585" s="1475"/>
      <c r="AB585" s="1475"/>
      <c r="AC585" s="1475"/>
      <c r="AD585" s="1475"/>
      <c r="AE585" s="1475"/>
      <c r="AF585" s="1475"/>
      <c r="AG585" s="1475"/>
      <c r="AH585" s="1475"/>
      <c r="AI585" s="1475"/>
      <c r="AJ585" s="1475"/>
      <c r="AK585" s="1475"/>
      <c r="BB585" s="3"/>
      <c r="BC585" s="3"/>
    </row>
    <row r="586" spans="1:55" ht="12.95" customHeight="1">
      <c r="A586" s="22"/>
      <c r="B586" t="s">
        <v>85</v>
      </c>
      <c r="G586" s="1344" t="s">
        <v>2730</v>
      </c>
      <c r="H586" s="1344"/>
      <c r="I586" s="1344"/>
      <c r="J586" s="1344"/>
      <c r="K586" s="1344"/>
      <c r="L586" s="1344"/>
      <c r="M586" s="1344"/>
      <c r="N586" s="1344"/>
      <c r="O586" s="1344"/>
      <c r="P586" s="1344"/>
      <c r="Q586" s="1344"/>
      <c r="R586" s="1344"/>
      <c r="T586" s="22"/>
      <c r="U586" t="s">
        <v>85</v>
      </c>
      <c r="Z586" s="1344" t="s">
        <v>2684</v>
      </c>
      <c r="AA586" s="1344"/>
      <c r="AB586" s="1344"/>
      <c r="AC586" s="1344"/>
      <c r="AD586" s="1344"/>
      <c r="AE586" s="1344"/>
      <c r="AF586" s="1344"/>
      <c r="AG586" s="1344"/>
      <c r="AH586" s="1344"/>
      <c r="AI586" s="1344"/>
      <c r="AJ586" s="1344"/>
      <c r="AK586" s="1344"/>
      <c r="BB586" s="3"/>
      <c r="BC586" s="3"/>
    </row>
    <row r="587" spans="1:55" ht="12.95" customHeight="1">
      <c r="A587" s="22"/>
      <c r="B587" t="s">
        <v>579</v>
      </c>
      <c r="G587" s="1344" t="s">
        <v>2731</v>
      </c>
      <c r="H587" s="1344"/>
      <c r="I587" s="1344"/>
      <c r="J587" s="1344"/>
      <c r="K587" s="1344"/>
      <c r="L587" s="1344"/>
      <c r="M587" s="1344"/>
      <c r="N587" s="1344"/>
      <c r="O587" s="1344"/>
      <c r="P587" s="1344"/>
      <c r="Q587" s="1344"/>
      <c r="R587" s="1344"/>
      <c r="T587" s="22"/>
      <c r="U587" t="s">
        <v>579</v>
      </c>
      <c r="Z587" s="1333" t="s">
        <v>2733</v>
      </c>
      <c r="AA587" s="1333"/>
      <c r="AB587" s="1333"/>
      <c r="AC587" s="1333"/>
      <c r="AD587" s="1333"/>
      <c r="AE587" s="1333"/>
      <c r="AF587" s="1333"/>
      <c r="AG587" s="1333"/>
      <c r="AH587" s="1333"/>
      <c r="AI587" s="1333"/>
      <c r="AJ587" s="1333"/>
      <c r="AK587" s="1333"/>
      <c r="BB587" s="3"/>
      <c r="BC587" s="3"/>
    </row>
    <row r="588" spans="1:55" ht="12.95" customHeight="1">
      <c r="A588" s="22"/>
      <c r="B588" t="s">
        <v>17</v>
      </c>
      <c r="G588" s="1344" t="s">
        <v>2663</v>
      </c>
      <c r="H588" s="1344"/>
      <c r="I588" s="1344"/>
      <c r="J588" s="1344"/>
      <c r="K588" s="1344"/>
      <c r="L588" s="1344"/>
      <c r="M588" s="1344"/>
      <c r="N588" s="1344"/>
      <c r="O588" s="1344"/>
      <c r="P588" s="1344"/>
      <c r="Q588" s="1344"/>
      <c r="R588" s="1344"/>
      <c r="T588" s="22"/>
      <c r="U588" t="s">
        <v>17</v>
      </c>
      <c r="Z588" s="1333" t="s">
        <v>2686</v>
      </c>
      <c r="AA588" s="1333"/>
      <c r="AB588" s="1333"/>
      <c r="AC588" s="1333"/>
      <c r="AD588" s="1333"/>
      <c r="AE588" s="1333"/>
      <c r="AF588" s="1333"/>
      <c r="AG588" s="1333"/>
      <c r="AH588" s="1333"/>
      <c r="AI588" s="1333"/>
      <c r="AJ588" s="1333"/>
      <c r="AK588" s="1333"/>
    </row>
    <row r="589" spans="1:55" ht="12.95" customHeight="1">
      <c r="A589" s="22"/>
      <c r="B589" t="s">
        <v>315</v>
      </c>
      <c r="G589" s="1479">
        <v>8058047778</v>
      </c>
      <c r="H589" s="1479"/>
      <c r="I589" s="1479"/>
      <c r="J589" s="1479"/>
      <c r="K589" s="1479"/>
      <c r="L589" s="1479"/>
      <c r="O589" s="33" t="s">
        <v>205</v>
      </c>
      <c r="P589" s="1448"/>
      <c r="Q589" s="1448"/>
      <c r="R589" s="1448"/>
      <c r="T589" s="22"/>
      <c r="U589" t="s">
        <v>315</v>
      </c>
      <c r="Z589" s="1479">
        <v>7745675693</v>
      </c>
      <c r="AA589" s="1479"/>
      <c r="AB589" s="1479"/>
      <c r="AC589" s="1479"/>
      <c r="AD589" s="1479"/>
      <c r="AE589" s="1479"/>
      <c r="AH589" s="33" t="s">
        <v>205</v>
      </c>
      <c r="AI589" s="1448"/>
      <c r="AJ589" s="1448"/>
      <c r="AK589" s="1448"/>
      <c r="AZ589" s="3"/>
      <c r="BA589" s="3"/>
      <c r="BB589" s="3"/>
      <c r="BC589" s="3"/>
    </row>
    <row r="590" spans="1:55" ht="12.95" customHeight="1">
      <c r="A590" s="22"/>
      <c r="B590" t="s">
        <v>18</v>
      </c>
      <c r="H590" s="1344" t="s">
        <v>2320</v>
      </c>
      <c r="I590" s="1344"/>
      <c r="J590" s="1344"/>
      <c r="K590" s="1344"/>
      <c r="L590" s="1344"/>
      <c r="M590" s="1344"/>
      <c r="N590" s="1344"/>
      <c r="O590" s="1344"/>
      <c r="P590" s="1344"/>
      <c r="Q590" s="1344"/>
      <c r="R590" s="1344"/>
      <c r="T590" s="22"/>
      <c r="U590" t="s">
        <v>18</v>
      </c>
      <c r="AA590" s="1344" t="s">
        <v>2734</v>
      </c>
      <c r="AB590" s="1344"/>
      <c r="AC590" s="1344"/>
      <c r="AD590" s="1344"/>
      <c r="AE590" s="1344"/>
      <c r="AF590" s="1344"/>
      <c r="AG590" s="1344"/>
      <c r="AH590" s="1344"/>
      <c r="AI590" s="1344"/>
      <c r="AJ590" s="1344"/>
      <c r="AK590" s="1344"/>
      <c r="AZ590" s="3"/>
      <c r="BA590" s="3"/>
      <c r="BB590" s="3"/>
      <c r="BC590" s="3"/>
    </row>
    <row r="591" spans="1:55" ht="12.95" customHeight="1">
      <c r="A591" s="22"/>
      <c r="B591" t="s">
        <v>20</v>
      </c>
      <c r="N591" s="1352" t="s">
        <v>544</v>
      </c>
      <c r="O591" s="1352"/>
      <c r="T591" s="22"/>
      <c r="U591" t="s">
        <v>20</v>
      </c>
      <c r="AG591" s="1352" t="s">
        <v>544</v>
      </c>
      <c r="AH591" s="1352"/>
      <c r="AZ591" s="3"/>
      <c r="BA591" s="3"/>
      <c r="BB591" s="3"/>
      <c r="BC591" s="3"/>
    </row>
    <row r="592" spans="1:55" ht="12.95" customHeight="1">
      <c r="A592" s="22"/>
      <c r="T592" s="22"/>
      <c r="AZ592" s="3"/>
      <c r="BA592" s="3"/>
      <c r="BB592" s="3"/>
      <c r="BC592" s="3"/>
    </row>
    <row r="593" spans="1:55" ht="12.95" customHeight="1">
      <c r="A593" s="55" t="s">
        <v>454</v>
      </c>
      <c r="B593" t="s">
        <v>462</v>
      </c>
      <c r="G593" s="1475">
        <f>C560</f>
        <v>0</v>
      </c>
      <c r="H593" s="1475"/>
      <c r="I593" s="1475"/>
      <c r="J593" s="1475"/>
      <c r="K593" s="1475"/>
      <c r="L593" s="1475"/>
      <c r="M593" s="1475"/>
      <c r="N593" s="1475"/>
      <c r="O593" s="1475"/>
      <c r="P593" s="1475"/>
      <c r="Q593" s="1475"/>
      <c r="R593" s="1475"/>
      <c r="T593" s="55" t="s">
        <v>455</v>
      </c>
      <c r="U593" t="s">
        <v>462</v>
      </c>
      <c r="Z593" s="1475">
        <f>C561</f>
        <v>0</v>
      </c>
      <c r="AA593" s="1475"/>
      <c r="AB593" s="1475"/>
      <c r="AC593" s="1475"/>
      <c r="AD593" s="1475"/>
      <c r="AE593" s="1475"/>
      <c r="AF593" s="1475"/>
      <c r="AG593" s="1475"/>
      <c r="AH593" s="1475"/>
      <c r="AI593" s="1475"/>
      <c r="AJ593" s="1475"/>
      <c r="AK593" s="1475"/>
      <c r="AZ593" s="3"/>
      <c r="BA593" s="3"/>
      <c r="BB593" s="3"/>
      <c r="BC593" s="3"/>
    </row>
    <row r="594" spans="1:55" s="4" customFormat="1" ht="12.95" customHeight="1">
      <c r="A594" s="22"/>
      <c r="B594" t="s">
        <v>85</v>
      </c>
      <c r="C594"/>
      <c r="D594"/>
      <c r="E594"/>
      <c r="F594"/>
      <c r="G594" s="1344"/>
      <c r="H594" s="1344"/>
      <c r="I594" s="1344"/>
      <c r="J594" s="1344"/>
      <c r="K594" s="1344"/>
      <c r="L594" s="1344"/>
      <c r="M594" s="1344"/>
      <c r="N594" s="1344"/>
      <c r="O594" s="1344"/>
      <c r="P594" s="1344"/>
      <c r="Q594" s="1344"/>
      <c r="R594" s="1344"/>
      <c r="S594"/>
      <c r="T594" s="22"/>
      <c r="U594" t="s">
        <v>85</v>
      </c>
      <c r="V594"/>
      <c r="W594"/>
      <c r="X594"/>
      <c r="Y594"/>
      <c r="Z594" s="1344"/>
      <c r="AA594" s="1344"/>
      <c r="AB594" s="1344"/>
      <c r="AC594" s="1344"/>
      <c r="AD594" s="1344"/>
      <c r="AE594" s="1344"/>
      <c r="AF594" s="1344"/>
      <c r="AG594" s="1344"/>
      <c r="AH594" s="1344"/>
      <c r="AI594" s="1344"/>
      <c r="AJ594" s="1344"/>
      <c r="AK594" s="1344"/>
      <c r="AL594"/>
      <c r="AM594"/>
      <c r="AN594"/>
      <c r="AO594"/>
      <c r="AP594"/>
      <c r="AQ594"/>
      <c r="AR594"/>
      <c r="AS594"/>
      <c r="AT594"/>
      <c r="AU594"/>
      <c r="AV594"/>
      <c r="AW594"/>
      <c r="AX594"/>
      <c r="AY594"/>
      <c r="AZ594" s="3"/>
      <c r="BA594" s="3"/>
      <c r="BB594" s="3"/>
      <c r="BC594" s="3"/>
    </row>
    <row r="595" spans="1:55" s="4" customFormat="1" ht="12.95" customHeight="1">
      <c r="A595" s="22"/>
      <c r="B595" t="s">
        <v>579</v>
      </c>
      <c r="C595"/>
      <c r="D595"/>
      <c r="E595"/>
      <c r="F595"/>
      <c r="G595" s="1344"/>
      <c r="H595" s="1344"/>
      <c r="I595" s="1344"/>
      <c r="J595" s="1344"/>
      <c r="K595" s="1344"/>
      <c r="L595" s="1344"/>
      <c r="M595" s="1344"/>
      <c r="N595" s="1344"/>
      <c r="O595" s="1344"/>
      <c r="P595" s="1344"/>
      <c r="Q595" s="1344"/>
      <c r="R595" s="1344"/>
      <c r="S595"/>
      <c r="T595" s="22"/>
      <c r="U595" t="s">
        <v>579</v>
      </c>
      <c r="V595"/>
      <c r="W595"/>
      <c r="X595"/>
      <c r="Y595"/>
      <c r="Z595" s="1333"/>
      <c r="AA595" s="1333"/>
      <c r="AB595" s="1333"/>
      <c r="AC595" s="1333"/>
      <c r="AD595" s="1333"/>
      <c r="AE595" s="1333"/>
      <c r="AF595" s="1333"/>
      <c r="AG595" s="1333"/>
      <c r="AH595" s="1333"/>
      <c r="AI595" s="1333"/>
      <c r="AJ595" s="1333"/>
      <c r="AK595" s="1333"/>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44"/>
      <c r="H596" s="1344"/>
      <c r="I596" s="1344"/>
      <c r="J596" s="1344"/>
      <c r="K596" s="1344"/>
      <c r="L596" s="1344"/>
      <c r="M596" s="1344"/>
      <c r="N596" s="1344"/>
      <c r="O596" s="1344"/>
      <c r="P596" s="1344"/>
      <c r="Q596" s="1344"/>
      <c r="R596" s="1344"/>
      <c r="S596"/>
      <c r="T596" s="22"/>
      <c r="U596" t="s">
        <v>17</v>
      </c>
      <c r="V596"/>
      <c r="W596"/>
      <c r="X596"/>
      <c r="Y596"/>
      <c r="Z596" s="1333"/>
      <c r="AA596" s="1333"/>
      <c r="AB596" s="1333"/>
      <c r="AC596" s="1333"/>
      <c r="AD596" s="1333"/>
      <c r="AE596" s="1333"/>
      <c r="AF596" s="1333"/>
      <c r="AG596" s="1333"/>
      <c r="AH596" s="1333"/>
      <c r="AI596" s="1333"/>
      <c r="AJ596" s="1333"/>
      <c r="AK596" s="1333"/>
      <c r="AL596"/>
      <c r="AM596"/>
      <c r="AN596"/>
      <c r="AO596"/>
      <c r="AP596"/>
      <c r="AQ596"/>
      <c r="AR596"/>
      <c r="AS596"/>
      <c r="AT596"/>
      <c r="AU596"/>
      <c r="AV596"/>
      <c r="AW596"/>
      <c r="AX596"/>
      <c r="AY596"/>
      <c r="BB596" s="3"/>
      <c r="BC596" s="3"/>
    </row>
    <row r="597" spans="1:55" s="4" customFormat="1" ht="12.95" customHeight="1">
      <c r="A597" s="22"/>
      <c r="B597" t="s">
        <v>315</v>
      </c>
      <c r="C597"/>
      <c r="D597"/>
      <c r="E597"/>
      <c r="F597"/>
      <c r="G597" s="1479"/>
      <c r="H597" s="1479"/>
      <c r="I597" s="1479"/>
      <c r="J597" s="1479"/>
      <c r="K597" s="1479"/>
      <c r="L597" s="1479"/>
      <c r="M597"/>
      <c r="N597"/>
      <c r="O597" s="33" t="s">
        <v>205</v>
      </c>
      <c r="P597" s="1448"/>
      <c r="Q597" s="1448"/>
      <c r="R597" s="1448"/>
      <c r="S597"/>
      <c r="T597" s="22"/>
      <c r="U597" t="s">
        <v>315</v>
      </c>
      <c r="V597"/>
      <c r="W597"/>
      <c r="X597"/>
      <c r="Y597"/>
      <c r="Z597" s="1479"/>
      <c r="AA597" s="1479"/>
      <c r="AB597" s="1479"/>
      <c r="AC597" s="1479"/>
      <c r="AD597" s="1479"/>
      <c r="AE597" s="1479"/>
      <c r="AF597"/>
      <c r="AG597"/>
      <c r="AH597" s="33" t="s">
        <v>205</v>
      </c>
      <c r="AI597" s="1448"/>
      <c r="AJ597" s="1448"/>
      <c r="AK597" s="1448"/>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44"/>
      <c r="I598" s="1344"/>
      <c r="J598" s="1344"/>
      <c r="K598" s="1344"/>
      <c r="L598" s="1344"/>
      <c r="M598" s="1344"/>
      <c r="N598" s="1344"/>
      <c r="O598" s="1344"/>
      <c r="P598" s="1344"/>
      <c r="Q598" s="1344"/>
      <c r="R598" s="1344"/>
      <c r="S598"/>
      <c r="T598" s="22"/>
      <c r="U598" t="s">
        <v>18</v>
      </c>
      <c r="V598"/>
      <c r="W598"/>
      <c r="X598"/>
      <c r="Y598"/>
      <c r="Z598"/>
      <c r="AA598" s="1344"/>
      <c r="AB598" s="1344"/>
      <c r="AC598" s="1344"/>
      <c r="AD598" s="1344"/>
      <c r="AE598" s="1344"/>
      <c r="AF598" s="1344"/>
      <c r="AG598" s="1344"/>
      <c r="AH598" s="1344"/>
      <c r="AI598" s="1344"/>
      <c r="AJ598" s="1344"/>
      <c r="AK598" s="1344"/>
      <c r="AL598"/>
      <c r="AM598"/>
      <c r="AN598"/>
      <c r="AO598"/>
      <c r="AP598"/>
      <c r="AQ598"/>
      <c r="AR598"/>
      <c r="AS598"/>
      <c r="AT598"/>
      <c r="AU598"/>
      <c r="AV598"/>
      <c r="AW598"/>
      <c r="AX598"/>
      <c r="AY598"/>
      <c r="BB598" s="3"/>
      <c r="BC598" s="3"/>
    </row>
    <row r="599" spans="1:55" ht="12.95" customHeight="1">
      <c r="A599" s="22"/>
      <c r="B599" t="s">
        <v>20</v>
      </c>
      <c r="N599" s="1352" t="s">
        <v>668</v>
      </c>
      <c r="O599" s="1352"/>
      <c r="T599" s="22"/>
      <c r="U599" t="s">
        <v>20</v>
      </c>
      <c r="AG599" s="1352" t="s">
        <v>668</v>
      </c>
      <c r="AH599" s="1352"/>
      <c r="BB599" s="3"/>
      <c r="BC599" s="3"/>
    </row>
    <row r="600" spans="1:55" ht="12.95" customHeight="1">
      <c r="A600" s="22"/>
      <c r="T600" s="22"/>
      <c r="BB600" s="3"/>
      <c r="BC600" s="3"/>
    </row>
    <row r="601" spans="1:55" ht="12.95" customHeight="1">
      <c r="A601" s="55" t="s">
        <v>460</v>
      </c>
      <c r="B601" t="s">
        <v>462</v>
      </c>
      <c r="G601" s="1475">
        <f>C562</f>
        <v>0</v>
      </c>
      <c r="H601" s="1475"/>
      <c r="I601" s="1475"/>
      <c r="J601" s="1475"/>
      <c r="K601" s="1475"/>
      <c r="L601" s="1475"/>
      <c r="M601" s="1475"/>
      <c r="N601" s="1475"/>
      <c r="O601" s="1475"/>
      <c r="P601" s="1475"/>
      <c r="Q601" s="1475"/>
      <c r="R601" s="1475"/>
      <c r="T601" s="55" t="s">
        <v>645</v>
      </c>
      <c r="U601" t="s">
        <v>462</v>
      </c>
      <c r="Z601" s="1475">
        <f>C563</f>
        <v>0</v>
      </c>
      <c r="AA601" s="1475"/>
      <c r="AB601" s="1475"/>
      <c r="AC601" s="1475"/>
      <c r="AD601" s="1475"/>
      <c r="AE601" s="1475"/>
      <c r="AF601" s="1475"/>
      <c r="AG601" s="1475"/>
      <c r="AH601" s="1475"/>
      <c r="AI601" s="1475"/>
      <c r="AJ601" s="1475"/>
      <c r="AK601" s="1475"/>
      <c r="BB601" s="3"/>
      <c r="BC601" s="3"/>
    </row>
    <row r="602" spans="1:55" ht="12.95" customHeight="1">
      <c r="A602" s="22"/>
      <c r="B602" t="s">
        <v>85</v>
      </c>
      <c r="G602" s="1344"/>
      <c r="H602" s="1344"/>
      <c r="I602" s="1344"/>
      <c r="J602" s="1344"/>
      <c r="K602" s="1344"/>
      <c r="L602" s="1344"/>
      <c r="M602" s="1344"/>
      <c r="N602" s="1344"/>
      <c r="O602" s="1344"/>
      <c r="P602" s="1344"/>
      <c r="Q602" s="1344"/>
      <c r="R602" s="1344"/>
      <c r="T602" s="22"/>
      <c r="U602" t="s">
        <v>85</v>
      </c>
      <c r="Z602" s="1344"/>
      <c r="AA602" s="1344"/>
      <c r="AB602" s="1344"/>
      <c r="AC602" s="1344"/>
      <c r="AD602" s="1344"/>
      <c r="AE602" s="1344"/>
      <c r="AF602" s="1344"/>
      <c r="AG602" s="1344"/>
      <c r="AH602" s="1344"/>
      <c r="AI602" s="1344"/>
      <c r="AJ602" s="1344"/>
      <c r="AK602" s="1344"/>
      <c r="AZ602" s="3"/>
      <c r="BA602" s="3"/>
      <c r="BB602" s="3"/>
      <c r="BC602" s="3"/>
    </row>
    <row r="603" spans="1:55" ht="12.95" customHeight="1">
      <c r="A603" s="22"/>
      <c r="B603" t="s">
        <v>579</v>
      </c>
      <c r="G603" s="1344"/>
      <c r="H603" s="1344"/>
      <c r="I603" s="1344"/>
      <c r="J603" s="1344"/>
      <c r="K603" s="1344"/>
      <c r="L603" s="1344"/>
      <c r="M603" s="1344"/>
      <c r="N603" s="1344"/>
      <c r="O603" s="1344"/>
      <c r="P603" s="1344"/>
      <c r="Q603" s="1344"/>
      <c r="R603" s="1344"/>
      <c r="T603" s="22"/>
      <c r="U603" t="s">
        <v>579</v>
      </c>
      <c r="Z603" s="1333"/>
      <c r="AA603" s="1333"/>
      <c r="AB603" s="1333"/>
      <c r="AC603" s="1333"/>
      <c r="AD603" s="1333"/>
      <c r="AE603" s="1333"/>
      <c r="AF603" s="1333"/>
      <c r="AG603" s="1333"/>
      <c r="AH603" s="1333"/>
      <c r="AI603" s="1333"/>
      <c r="AJ603" s="1333"/>
      <c r="AK603" s="1333"/>
      <c r="AZ603" s="3"/>
      <c r="BA603" s="3"/>
      <c r="BB603" s="3"/>
      <c r="BC603" s="3"/>
    </row>
    <row r="604" spans="1:55" ht="12.95" customHeight="1">
      <c r="A604" s="22"/>
      <c r="B604" t="s">
        <v>17</v>
      </c>
      <c r="G604" s="1344"/>
      <c r="H604" s="1344"/>
      <c r="I604" s="1344"/>
      <c r="J604" s="1344"/>
      <c r="K604" s="1344"/>
      <c r="L604" s="1344"/>
      <c r="M604" s="1344"/>
      <c r="N604" s="1344"/>
      <c r="O604" s="1344"/>
      <c r="P604" s="1344"/>
      <c r="Q604" s="1344"/>
      <c r="R604" s="1344"/>
      <c r="T604" s="22"/>
      <c r="U604" t="s">
        <v>17</v>
      </c>
      <c r="Z604" s="1333"/>
      <c r="AA604" s="1333"/>
      <c r="AB604" s="1333"/>
      <c r="AC604" s="1333"/>
      <c r="AD604" s="1333"/>
      <c r="AE604" s="1333"/>
      <c r="AF604" s="1333"/>
      <c r="AG604" s="1333"/>
      <c r="AH604" s="1333"/>
      <c r="AI604" s="1333"/>
      <c r="AJ604" s="1333"/>
      <c r="AK604" s="1333"/>
      <c r="AZ604" s="3"/>
      <c r="BA604" s="3"/>
      <c r="BB604" s="3"/>
      <c r="BC604" s="3"/>
    </row>
    <row r="605" spans="1:55" s="4" customFormat="1" ht="12.95" customHeight="1">
      <c r="A605" s="22"/>
      <c r="B605" t="s">
        <v>315</v>
      </c>
      <c r="C605"/>
      <c r="D605"/>
      <c r="E605"/>
      <c r="F605"/>
      <c r="G605" s="1479"/>
      <c r="H605" s="1479"/>
      <c r="I605" s="1479"/>
      <c r="J605" s="1479"/>
      <c r="K605" s="1479"/>
      <c r="L605" s="1479"/>
      <c r="M605"/>
      <c r="N605"/>
      <c r="O605" s="33" t="s">
        <v>205</v>
      </c>
      <c r="P605" s="1448"/>
      <c r="Q605" s="1448"/>
      <c r="R605" s="1448"/>
      <c r="S605"/>
      <c r="T605" s="22"/>
      <c r="U605" t="s">
        <v>315</v>
      </c>
      <c r="V605"/>
      <c r="W605"/>
      <c r="X605"/>
      <c r="Y605"/>
      <c r="Z605" s="1479"/>
      <c r="AA605" s="1479"/>
      <c r="AB605" s="1479"/>
      <c r="AC605" s="1479"/>
      <c r="AD605" s="1479"/>
      <c r="AE605" s="1479"/>
      <c r="AF605"/>
      <c r="AG605"/>
      <c r="AH605" s="33" t="s">
        <v>205</v>
      </c>
      <c r="AI605" s="1448"/>
      <c r="AJ605" s="1448"/>
      <c r="AK605" s="1448"/>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44"/>
      <c r="I606" s="1344"/>
      <c r="J606" s="1344"/>
      <c r="K606" s="1344"/>
      <c r="L606" s="1344"/>
      <c r="M606" s="1344"/>
      <c r="N606" s="1344"/>
      <c r="O606" s="1344"/>
      <c r="P606" s="1344"/>
      <c r="Q606" s="1344"/>
      <c r="R606" s="1344"/>
      <c r="S606"/>
      <c r="T606" s="22"/>
      <c r="U606" t="s">
        <v>18</v>
      </c>
      <c r="V606"/>
      <c r="W606"/>
      <c r="X606"/>
      <c r="Y606"/>
      <c r="Z606"/>
      <c r="AA606" s="1344"/>
      <c r="AB606" s="1344"/>
      <c r="AC606" s="1344"/>
      <c r="AD606" s="1344"/>
      <c r="AE606" s="1344"/>
      <c r="AF606" s="1344"/>
      <c r="AG606" s="1344"/>
      <c r="AH606" s="1344"/>
      <c r="AI606" s="1344"/>
      <c r="AJ606" s="1344"/>
      <c r="AK606" s="1344"/>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52" t="s">
        <v>668</v>
      </c>
      <c r="O607" s="1352"/>
      <c r="P607"/>
      <c r="Q607"/>
      <c r="R607"/>
      <c r="S607"/>
      <c r="T607" s="22"/>
      <c r="U607" t="s">
        <v>20</v>
      </c>
      <c r="V607"/>
      <c r="W607"/>
      <c r="X607"/>
      <c r="Y607"/>
      <c r="Z607"/>
      <c r="AA607"/>
      <c r="AB607"/>
      <c r="AC607"/>
      <c r="AD607"/>
      <c r="AE607"/>
      <c r="AF607"/>
      <c r="AG607" s="1352" t="s">
        <v>668</v>
      </c>
      <c r="AH607" s="1352"/>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361</v>
      </c>
      <c r="B609" t="s">
        <v>462</v>
      </c>
      <c r="G609" s="1475">
        <f>C564</f>
        <v>0</v>
      </c>
      <c r="H609" s="1475"/>
      <c r="I609" s="1475"/>
      <c r="J609" s="1475"/>
      <c r="K609" s="1475"/>
      <c r="L609" s="1475"/>
      <c r="M609" s="1475"/>
      <c r="N609" s="1475"/>
      <c r="O609" s="1475"/>
      <c r="P609" s="1475"/>
      <c r="Q609" s="1475"/>
      <c r="R609" s="1475"/>
      <c r="T609" s="55" t="s">
        <v>362</v>
      </c>
      <c r="U609" t="s">
        <v>462</v>
      </c>
      <c r="Z609" s="1475">
        <f>C565</f>
        <v>0</v>
      </c>
      <c r="AA609" s="1475"/>
      <c r="AB609" s="1475"/>
      <c r="AC609" s="1475"/>
      <c r="AD609" s="1475"/>
      <c r="AE609" s="1475"/>
      <c r="AF609" s="1475"/>
      <c r="AG609" s="1475"/>
      <c r="AH609" s="1475"/>
      <c r="AI609" s="1475"/>
      <c r="AJ609" s="1475"/>
      <c r="AK609" s="1475"/>
      <c r="AZ609" s="3"/>
      <c r="BA609" s="3"/>
      <c r="BB609" s="3"/>
      <c r="BC609" s="3"/>
    </row>
    <row r="610" spans="1:55" ht="12.95" customHeight="1">
      <c r="B610" t="s">
        <v>85</v>
      </c>
      <c r="G610" s="1344"/>
      <c r="H610" s="1344"/>
      <c r="I610" s="1344"/>
      <c r="J610" s="1344"/>
      <c r="K610" s="1344"/>
      <c r="L610" s="1344"/>
      <c r="M610" s="1344"/>
      <c r="N610" s="1344"/>
      <c r="O610" s="1344"/>
      <c r="P610" s="1344"/>
      <c r="Q610" s="1344"/>
      <c r="R610" s="1344"/>
      <c r="U610" t="s">
        <v>85</v>
      </c>
      <c r="Z610" s="1344"/>
      <c r="AA610" s="1344"/>
      <c r="AB610" s="1344"/>
      <c r="AC610" s="1344"/>
      <c r="AD610" s="1344"/>
      <c r="AE610" s="1344"/>
      <c r="AF610" s="1344"/>
      <c r="AG610" s="1344"/>
      <c r="AH610" s="1344"/>
      <c r="AI610" s="1344"/>
      <c r="AJ610" s="1344"/>
      <c r="AK610" s="1344"/>
      <c r="AZ610" s="3"/>
      <c r="BA610" s="3"/>
      <c r="BB610" s="3"/>
      <c r="BC610" s="3"/>
    </row>
    <row r="611" spans="1:55" ht="12.95" customHeight="1">
      <c r="B611" t="s">
        <v>579</v>
      </c>
      <c r="G611" s="1344"/>
      <c r="H611" s="1344"/>
      <c r="I611" s="1344"/>
      <c r="J611" s="1344"/>
      <c r="K611" s="1344"/>
      <c r="L611" s="1344"/>
      <c r="M611" s="1344"/>
      <c r="N611" s="1344"/>
      <c r="O611" s="1344"/>
      <c r="P611" s="1344"/>
      <c r="Q611" s="1344"/>
      <c r="R611" s="1344"/>
      <c r="U611" t="s">
        <v>579</v>
      </c>
      <c r="Z611" s="1333"/>
      <c r="AA611" s="1333"/>
      <c r="AB611" s="1333"/>
      <c r="AC611" s="1333"/>
      <c r="AD611" s="1333"/>
      <c r="AE611" s="1333"/>
      <c r="AF611" s="1333"/>
      <c r="AG611" s="1333"/>
      <c r="AH611" s="1333"/>
      <c r="AI611" s="1333"/>
      <c r="AJ611" s="1333"/>
      <c r="AK611" s="1333"/>
      <c r="AZ611" s="3"/>
      <c r="BA611" s="3"/>
      <c r="BB611" s="3"/>
      <c r="BC611" s="3"/>
    </row>
    <row r="612" spans="1:55" ht="12.95" customHeight="1">
      <c r="B612" t="s">
        <v>17</v>
      </c>
      <c r="G612" s="1344"/>
      <c r="H612" s="1344"/>
      <c r="I612" s="1344"/>
      <c r="J612" s="1344"/>
      <c r="K612" s="1344"/>
      <c r="L612" s="1344"/>
      <c r="M612" s="1344"/>
      <c r="N612" s="1344"/>
      <c r="O612" s="1344"/>
      <c r="P612" s="1344"/>
      <c r="Q612" s="1344"/>
      <c r="R612" s="1344"/>
      <c r="U612" t="s">
        <v>17</v>
      </c>
      <c r="Z612" s="1333"/>
      <c r="AA612" s="1333"/>
      <c r="AB612" s="1333"/>
      <c r="AC612" s="1333"/>
      <c r="AD612" s="1333"/>
      <c r="AE612" s="1333"/>
      <c r="AF612" s="1333"/>
      <c r="AG612" s="1333"/>
      <c r="AH612" s="1333"/>
      <c r="AI612" s="1333"/>
      <c r="AJ612" s="1333"/>
      <c r="AK612" s="1333"/>
      <c r="AZ612" s="3"/>
      <c r="BA612" s="3"/>
      <c r="BB612" s="3"/>
      <c r="BC612" s="3"/>
    </row>
    <row r="613" spans="1:55" ht="12.95" customHeight="1">
      <c r="B613" t="s">
        <v>315</v>
      </c>
      <c r="G613" s="1479"/>
      <c r="H613" s="1479"/>
      <c r="I613" s="1479"/>
      <c r="J613" s="1479"/>
      <c r="K613" s="1479"/>
      <c r="L613" s="1479"/>
      <c r="O613" s="33" t="s">
        <v>205</v>
      </c>
      <c r="P613" s="1448"/>
      <c r="Q613" s="1448"/>
      <c r="R613" s="1448"/>
      <c r="U613" t="s">
        <v>315</v>
      </c>
      <c r="Z613" s="1479"/>
      <c r="AA613" s="1479"/>
      <c r="AB613" s="1479"/>
      <c r="AC613" s="1479"/>
      <c r="AD613" s="1479"/>
      <c r="AE613" s="1479"/>
      <c r="AH613" s="33" t="s">
        <v>205</v>
      </c>
      <c r="AI613" s="1448"/>
      <c r="AJ613" s="1448"/>
      <c r="AK613" s="1448"/>
      <c r="AZ613" s="3"/>
      <c r="BA613" s="3"/>
      <c r="BB613" s="3"/>
      <c r="BC613" s="3"/>
    </row>
    <row r="614" spans="1:55" ht="12.95" customHeight="1">
      <c r="B614" t="s">
        <v>18</v>
      </c>
      <c r="H614" s="1344"/>
      <c r="I614" s="1344"/>
      <c r="J614" s="1344"/>
      <c r="K614" s="1344"/>
      <c r="L614" s="1344"/>
      <c r="M614" s="1344"/>
      <c r="N614" s="1344"/>
      <c r="O614" s="1344"/>
      <c r="P614" s="1344"/>
      <c r="Q614" s="1344"/>
      <c r="R614" s="1344"/>
      <c r="U614" t="s">
        <v>18</v>
      </c>
      <c r="AA614" s="1344"/>
      <c r="AB614" s="1344"/>
      <c r="AC614" s="1344"/>
      <c r="AD614" s="1344"/>
      <c r="AE614" s="1344"/>
      <c r="AF614" s="1344"/>
      <c r="AG614" s="1344"/>
      <c r="AH614" s="1344"/>
      <c r="AI614" s="1344"/>
      <c r="AJ614" s="1344"/>
      <c r="AK614" s="1344"/>
      <c r="AU614" s="899"/>
      <c r="AV614" s="899"/>
      <c r="AW614" s="899"/>
      <c r="AX614" s="899"/>
      <c r="AY614" s="899"/>
      <c r="AZ614" s="3"/>
      <c r="BA614" s="3"/>
      <c r="BB614" s="3"/>
      <c r="BC614" s="3"/>
    </row>
    <row r="615" spans="1:55" ht="12.95" customHeight="1">
      <c r="B615" t="s">
        <v>20</v>
      </c>
      <c r="N615" s="1352" t="s">
        <v>668</v>
      </c>
      <c r="O615" s="1352"/>
      <c r="U615" t="s">
        <v>20</v>
      </c>
      <c r="AG615" s="1352" t="s">
        <v>668</v>
      </c>
      <c r="AH615" s="1352"/>
      <c r="AU615" s="899"/>
      <c r="AV615" s="899"/>
      <c r="AW615" s="899"/>
      <c r="AX615" s="899"/>
      <c r="AY615" s="899"/>
      <c r="AZ615" s="3"/>
      <c r="BA615" s="3"/>
      <c r="BB615" s="3"/>
      <c r="BC615" s="3"/>
    </row>
    <row r="616" spans="1:55" ht="12.95" customHeight="1">
      <c r="AZ616" s="3"/>
      <c r="BA616" s="3"/>
      <c r="BB616" s="3"/>
      <c r="BC616" s="3"/>
    </row>
    <row r="617" spans="1:55" ht="12.95" customHeight="1">
      <c r="A617" s="1270" t="s">
        <v>543</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2.95"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2.95" customHeight="1">
      <c r="AZ619" s="3"/>
      <c r="BA619" s="3"/>
      <c r="BB619" s="3"/>
      <c r="BC619" s="3"/>
    </row>
    <row r="620" spans="1:55" ht="12.95" customHeight="1">
      <c r="A620" s="2" t="s">
        <v>318</v>
      </c>
      <c r="B620" s="2"/>
      <c r="C620" s="2" t="s">
        <v>21</v>
      </c>
      <c r="AZ620" s="3"/>
      <c r="BA620" s="3"/>
      <c r="BB620" s="3"/>
      <c r="BC620" s="3"/>
    </row>
    <row r="621" spans="1:55" ht="12.95" customHeight="1">
      <c r="A621" s="2"/>
      <c r="B621" s="2"/>
      <c r="C621" s="2"/>
      <c r="AZ621" s="3"/>
      <c r="BA621" s="3"/>
      <c r="BB621" s="3"/>
      <c r="BC621" s="3"/>
    </row>
    <row r="622" spans="1:55" ht="12.95" customHeight="1">
      <c r="C622" s="2" t="s">
        <v>2100</v>
      </c>
      <c r="AZ622" s="3"/>
      <c r="BA622" s="3"/>
      <c r="BB622" s="3"/>
      <c r="BC622" s="3"/>
    </row>
    <row r="623" spans="1:55" ht="12.95" customHeight="1">
      <c r="B623" s="512"/>
      <c r="C623" s="2"/>
      <c r="AU623" s="3"/>
      <c r="AZ623" s="3"/>
      <c r="BA623" s="3"/>
      <c r="BB623" s="3"/>
      <c r="BC623" s="3"/>
    </row>
    <row r="624" spans="1:55" ht="12.95" customHeight="1">
      <c r="B624" s="1599" t="s">
        <v>2102</v>
      </c>
      <c r="C624" s="1599"/>
      <c r="D624" s="1599"/>
      <c r="E624" s="1599"/>
      <c r="F624" s="1599"/>
      <c r="G624" s="1599"/>
      <c r="H624" s="1599"/>
      <c r="I624" s="1599"/>
      <c r="J624" s="1599"/>
      <c r="K624" s="1599"/>
      <c r="L624" s="1599"/>
      <c r="M624" s="1692" t="s">
        <v>2103</v>
      </c>
      <c r="N624" s="1692"/>
      <c r="O624" s="1692"/>
      <c r="P624" s="1692"/>
      <c r="Q624" s="1692" t="s">
        <v>1852</v>
      </c>
      <c r="R624" s="1692"/>
      <c r="S624" s="1692"/>
      <c r="T624" s="1692" t="s">
        <v>1850</v>
      </c>
      <c r="U624" s="1692"/>
      <c r="V624" s="1692"/>
      <c r="W624" s="1666" t="s">
        <v>452</v>
      </c>
      <c r="X624" s="1666"/>
      <c r="Y624" s="1666"/>
      <c r="Z624" s="1354" t="s">
        <v>2132</v>
      </c>
      <c r="AA624" s="1354"/>
      <c r="AB624" s="1355"/>
      <c r="AC624" s="1678" t="s">
        <v>1676</v>
      </c>
      <c r="AD624" s="1679"/>
      <c r="AE624" s="1680"/>
      <c r="AF624" s="1353" t="s">
        <v>1930</v>
      </c>
      <c r="AG624" s="1354"/>
      <c r="AH624" s="1354"/>
      <c r="AI624" s="1354"/>
      <c r="AJ624" s="1355"/>
      <c r="AK624" s="1667" t="s">
        <v>1931</v>
      </c>
      <c r="AL624" s="1668"/>
      <c r="AM624" s="1668"/>
      <c r="AN624" s="1669"/>
      <c r="AO624" s="1692" t="s">
        <v>453</v>
      </c>
      <c r="AP624" s="1692"/>
      <c r="AQ624" s="1692"/>
      <c r="AR624" s="1692"/>
      <c r="AS624" s="1692"/>
      <c r="AU624" s="3"/>
      <c r="AZ624" s="3"/>
      <c r="BA624" s="3"/>
      <c r="BB624" s="3"/>
      <c r="BC624" s="3"/>
    </row>
    <row r="625" spans="2:157" ht="12.95" customHeight="1">
      <c r="B625" s="1599"/>
      <c r="C625" s="1599"/>
      <c r="D625" s="1599"/>
      <c r="E625" s="1599"/>
      <c r="F625" s="1599"/>
      <c r="G625" s="1599"/>
      <c r="H625" s="1599"/>
      <c r="I625" s="1599"/>
      <c r="J625" s="1599"/>
      <c r="K625" s="1599"/>
      <c r="L625" s="1599"/>
      <c r="M625" s="1692"/>
      <c r="N625" s="1692"/>
      <c r="O625" s="1692"/>
      <c r="P625" s="1692"/>
      <c r="Q625" s="1692"/>
      <c r="R625" s="1692"/>
      <c r="S625" s="1692"/>
      <c r="T625" s="1692"/>
      <c r="U625" s="1692"/>
      <c r="V625" s="1692"/>
      <c r="W625" s="1666"/>
      <c r="X625" s="1666"/>
      <c r="Y625" s="1666"/>
      <c r="Z625" s="1357"/>
      <c r="AA625" s="1357"/>
      <c r="AB625" s="1358"/>
      <c r="AC625" s="1681"/>
      <c r="AD625" s="1682"/>
      <c r="AE625" s="1683"/>
      <c r="AF625" s="1356"/>
      <c r="AG625" s="1357"/>
      <c r="AH625" s="1357"/>
      <c r="AI625" s="1357"/>
      <c r="AJ625" s="1358"/>
      <c r="AK625" s="1670"/>
      <c r="AL625" s="1671"/>
      <c r="AM625" s="1671"/>
      <c r="AN625" s="1672"/>
      <c r="AO625" s="1692"/>
      <c r="AP625" s="1692"/>
      <c r="AQ625" s="1692"/>
      <c r="AR625" s="1692"/>
      <c r="AS625" s="1692"/>
      <c r="AU625" s="3"/>
      <c r="AZ625" s="3"/>
      <c r="BA625" s="3"/>
      <c r="BB625" s="3"/>
      <c r="BC625" s="3"/>
      <c r="BD625" s="3"/>
    </row>
    <row r="626" spans="2:157" ht="12.95" customHeight="1">
      <c r="B626" s="1599"/>
      <c r="C626" s="1599"/>
      <c r="D626" s="1599"/>
      <c r="E626" s="1599"/>
      <c r="F626" s="1599"/>
      <c r="G626" s="1599"/>
      <c r="H626" s="1599"/>
      <c r="I626" s="1599"/>
      <c r="J626" s="1599"/>
      <c r="K626" s="1599"/>
      <c r="L626" s="1599"/>
      <c r="M626" s="1692"/>
      <c r="N626" s="1692"/>
      <c r="O626" s="1692"/>
      <c r="P626" s="1692"/>
      <c r="Q626" s="1692"/>
      <c r="R626" s="1692"/>
      <c r="S626" s="1692"/>
      <c r="T626" s="1692"/>
      <c r="U626" s="1692"/>
      <c r="V626" s="1692"/>
      <c r="W626" s="1666"/>
      <c r="X626" s="1666"/>
      <c r="Y626" s="1666"/>
      <c r="Z626" s="1360"/>
      <c r="AA626" s="1360"/>
      <c r="AB626" s="1361"/>
      <c r="AC626" s="1684"/>
      <c r="AD626" s="1685"/>
      <c r="AE626" s="1686"/>
      <c r="AF626" s="1359"/>
      <c r="AG626" s="1360"/>
      <c r="AH626" s="1360"/>
      <c r="AI626" s="1360"/>
      <c r="AJ626" s="1361"/>
      <c r="AK626" s="1673"/>
      <c r="AL626" s="1674"/>
      <c r="AM626" s="1674"/>
      <c r="AN626" s="1675"/>
      <c r="AO626" s="1692"/>
      <c r="AP626" s="1692"/>
      <c r="AQ626" s="1692"/>
      <c r="AR626" s="1692"/>
      <c r="AS626" s="1692"/>
      <c r="AT626" s="3"/>
      <c r="AU626" s="3"/>
      <c r="AZ626" s="3"/>
      <c r="BA626" s="3"/>
      <c r="BB626" s="3"/>
      <c r="BC626" s="3"/>
      <c r="BD626" s="3"/>
    </row>
    <row r="627" spans="2:157" ht="12.95" customHeight="1">
      <c r="B627" s="51" t="s">
        <v>112</v>
      </c>
      <c r="C627" s="1447" t="s">
        <v>2711</v>
      </c>
      <c r="D627" s="1447"/>
      <c r="E627" s="1447"/>
      <c r="F627" s="1447"/>
      <c r="G627" s="1447"/>
      <c r="H627" s="1447"/>
      <c r="I627" s="1447"/>
      <c r="J627" s="1447"/>
      <c r="K627" s="1447"/>
      <c r="L627" s="1447"/>
      <c r="M627" s="1484" t="s">
        <v>2119</v>
      </c>
      <c r="N627" s="1484"/>
      <c r="O627" s="1484"/>
      <c r="P627" s="1484"/>
      <c r="Q627" s="1509">
        <v>204</v>
      </c>
      <c r="R627" s="1509"/>
      <c r="S627" s="1510"/>
      <c r="T627" s="1508">
        <v>480</v>
      </c>
      <c r="U627" s="1509"/>
      <c r="V627" s="1510"/>
      <c r="W627" s="1472">
        <v>6.2549999999999994E-2</v>
      </c>
      <c r="X627" s="1473"/>
      <c r="Y627" s="1474"/>
      <c r="Z627" s="1469" t="s">
        <v>2131</v>
      </c>
      <c r="AA627" s="1470"/>
      <c r="AB627" s="1471"/>
      <c r="AC627" s="1408">
        <v>1</v>
      </c>
      <c r="AD627" s="1409"/>
      <c r="AE627" s="1410"/>
      <c r="AF627" s="1481">
        <v>1705288</v>
      </c>
      <c r="AG627" s="1482"/>
      <c r="AH627" s="1482"/>
      <c r="AI627" s="1482"/>
      <c r="AJ627" s="1483"/>
      <c r="AK627" s="1476"/>
      <c r="AL627" s="1477"/>
      <c r="AM627" s="1477"/>
      <c r="AN627" s="1478"/>
      <c r="AO627" s="1639">
        <v>25014844</v>
      </c>
      <c r="AP627" s="1639"/>
      <c r="AQ627" s="1639"/>
      <c r="AR627" s="1639"/>
      <c r="AS627" s="1639"/>
      <c r="AT627" s="3"/>
      <c r="AU627" s="3"/>
      <c r="AZ627" s="3"/>
      <c r="BA627" s="3"/>
      <c r="BB627" s="3"/>
      <c r="BC627" s="3"/>
      <c r="BD627" s="3"/>
    </row>
    <row r="628" spans="2:157" ht="12.95" customHeight="1">
      <c r="B628" s="52" t="s">
        <v>113</v>
      </c>
      <c r="C628" s="1447" t="s">
        <v>2712</v>
      </c>
      <c r="D628" s="1447"/>
      <c r="E628" s="1447"/>
      <c r="F628" s="1447"/>
      <c r="G628" s="1447"/>
      <c r="H628" s="1447"/>
      <c r="I628" s="1447"/>
      <c r="J628" s="1447"/>
      <c r="K628" s="1447"/>
      <c r="L628" s="1447"/>
      <c r="M628" s="1484" t="s">
        <v>2106</v>
      </c>
      <c r="N628" s="1484"/>
      <c r="O628" s="1484"/>
      <c r="P628" s="1484"/>
      <c r="Q628" s="1508"/>
      <c r="R628" s="1509"/>
      <c r="S628" s="1510"/>
      <c r="T628" s="1508"/>
      <c r="U628" s="1509"/>
      <c r="V628" s="1510"/>
      <c r="W628" s="1472"/>
      <c r="X628" s="1473"/>
      <c r="Y628" s="1474"/>
      <c r="Z628" s="1469" t="s">
        <v>1183</v>
      </c>
      <c r="AA628" s="1470"/>
      <c r="AB628" s="1471"/>
      <c r="AC628" s="1408"/>
      <c r="AD628" s="1409"/>
      <c r="AE628" s="1410"/>
      <c r="AF628" s="1481"/>
      <c r="AG628" s="1482"/>
      <c r="AH628" s="1482"/>
      <c r="AI628" s="1482"/>
      <c r="AJ628" s="1483"/>
      <c r="AK628" s="1476"/>
      <c r="AL628" s="1477"/>
      <c r="AM628" s="1477"/>
      <c r="AN628" s="1478"/>
      <c r="AO628" s="1468">
        <v>6405477</v>
      </c>
      <c r="AP628" s="1368"/>
      <c r="AQ628" s="1368"/>
      <c r="AR628" s="1368"/>
      <c r="AS628" s="1369"/>
      <c r="AT628" s="1148" t="str">
        <f>IF(AND(NOT(C627=""),C628="",NOT(C629="")),"!","")</f>
        <v/>
      </c>
      <c r="AU628" s="3"/>
      <c r="AZ628" s="3"/>
      <c r="BA628" s="3"/>
      <c r="BB628" s="3"/>
      <c r="BC628" s="3"/>
      <c r="BD628" s="3"/>
    </row>
    <row r="629" spans="2:157" ht="12.95" customHeight="1">
      <c r="B629" s="52" t="s">
        <v>119</v>
      </c>
      <c r="C629" s="1447"/>
      <c r="D629" s="1447"/>
      <c r="E629" s="1447"/>
      <c r="F629" s="1447"/>
      <c r="G629" s="1447"/>
      <c r="H629" s="1447"/>
      <c r="I629" s="1447"/>
      <c r="J629" s="1447"/>
      <c r="K629" s="1447"/>
      <c r="L629" s="1447"/>
      <c r="M629" s="1484" t="s">
        <v>1183</v>
      </c>
      <c r="N629" s="1484"/>
      <c r="O629" s="1484"/>
      <c r="P629" s="1484"/>
      <c r="Q629" s="1508"/>
      <c r="R629" s="1509"/>
      <c r="S629" s="1510"/>
      <c r="T629" s="1508"/>
      <c r="U629" s="1509"/>
      <c r="V629" s="1510"/>
      <c r="W629" s="1472"/>
      <c r="X629" s="1473"/>
      <c r="Y629" s="1474"/>
      <c r="Z629" s="1469" t="s">
        <v>1183</v>
      </c>
      <c r="AA629" s="1470"/>
      <c r="AB629" s="1471"/>
      <c r="AC629" s="1408"/>
      <c r="AD629" s="1409"/>
      <c r="AE629" s="1410"/>
      <c r="AF629" s="1481"/>
      <c r="AG629" s="1482"/>
      <c r="AH629" s="1482"/>
      <c r="AI629" s="1482"/>
      <c r="AJ629" s="1483"/>
      <c r="AK629" s="1476"/>
      <c r="AL629" s="1477"/>
      <c r="AM629" s="1477"/>
      <c r="AN629" s="1478"/>
      <c r="AO629" s="1468"/>
      <c r="AP629" s="1368"/>
      <c r="AQ629" s="1368"/>
      <c r="AR629" s="1368"/>
      <c r="AS629" s="1369"/>
      <c r="AT629" s="1148" t="str">
        <f t="shared" ref="AT629:AT638" si="1">IF(AND(NOT(C628=""),C629="",NOT(C630="")),"!","")</f>
        <v/>
      </c>
      <c r="AU629" s="3"/>
      <c r="AZ629" s="3"/>
      <c r="BA629" s="3"/>
      <c r="BB629" s="3"/>
      <c r="BC629" s="3"/>
      <c r="BD629" s="3"/>
    </row>
    <row r="630" spans="2:157" ht="12.95" customHeight="1">
      <c r="B630" s="52" t="s">
        <v>580</v>
      </c>
      <c r="C630" s="1449"/>
      <c r="D630" s="1449"/>
      <c r="E630" s="1449"/>
      <c r="F630" s="1449"/>
      <c r="G630" s="1449"/>
      <c r="H630" s="1449"/>
      <c r="I630" s="1449"/>
      <c r="J630" s="1449"/>
      <c r="K630" s="1449"/>
      <c r="L630" s="1449"/>
      <c r="M630" s="1484" t="s">
        <v>1183</v>
      </c>
      <c r="N630" s="1484"/>
      <c r="O630" s="1484"/>
      <c r="P630" s="1484"/>
      <c r="Q630" s="1508"/>
      <c r="R630" s="1509"/>
      <c r="S630" s="1510"/>
      <c r="T630" s="1508"/>
      <c r="U630" s="1509"/>
      <c r="V630" s="1510"/>
      <c r="W630" s="1472"/>
      <c r="X630" s="1473"/>
      <c r="Y630" s="1474"/>
      <c r="Z630" s="1469" t="s">
        <v>1183</v>
      </c>
      <c r="AA630" s="1470"/>
      <c r="AB630" s="1471"/>
      <c r="AC630" s="1408"/>
      <c r="AD630" s="1409"/>
      <c r="AE630" s="1410"/>
      <c r="AF630" s="1481"/>
      <c r="AG630" s="1482"/>
      <c r="AH630" s="1482"/>
      <c r="AI630" s="1482"/>
      <c r="AJ630" s="1483"/>
      <c r="AK630" s="1476"/>
      <c r="AL630" s="1477"/>
      <c r="AM630" s="1477"/>
      <c r="AN630" s="1478"/>
      <c r="AO630" s="1468"/>
      <c r="AP630" s="1368"/>
      <c r="AQ630" s="1368"/>
      <c r="AR630" s="1368"/>
      <c r="AS630" s="1369"/>
      <c r="AT630" s="1148" t="str">
        <f t="shared" si="1"/>
        <v/>
      </c>
      <c r="AU630" s="3"/>
      <c r="AZ630" s="3"/>
      <c r="BA630" s="3"/>
      <c r="BB630" s="3"/>
      <c r="BC630" s="3"/>
      <c r="BD630" s="3"/>
    </row>
    <row r="631" spans="2:157" ht="12.95" customHeight="1">
      <c r="B631" s="52" t="s">
        <v>762</v>
      </c>
      <c r="C631" s="1449"/>
      <c r="D631" s="1449"/>
      <c r="E631" s="1449"/>
      <c r="F631" s="1449"/>
      <c r="G631" s="1449"/>
      <c r="H631" s="1449"/>
      <c r="I631" s="1449"/>
      <c r="J631" s="1449"/>
      <c r="K631" s="1449"/>
      <c r="L631" s="1449"/>
      <c r="M631" s="1484" t="s">
        <v>1183</v>
      </c>
      <c r="N631" s="1484"/>
      <c r="O631" s="1484"/>
      <c r="P631" s="1484"/>
      <c r="Q631" s="1508"/>
      <c r="R631" s="1509"/>
      <c r="S631" s="1510"/>
      <c r="T631" s="1508"/>
      <c r="U631" s="1509"/>
      <c r="V631" s="1510"/>
      <c r="W631" s="1472"/>
      <c r="X631" s="1473"/>
      <c r="Y631" s="1474"/>
      <c r="Z631" s="1469" t="s">
        <v>1183</v>
      </c>
      <c r="AA631" s="1470"/>
      <c r="AB631" s="1471"/>
      <c r="AC631" s="1408"/>
      <c r="AD631" s="1409"/>
      <c r="AE631" s="1410"/>
      <c r="AF631" s="1481"/>
      <c r="AG631" s="1482"/>
      <c r="AH631" s="1482"/>
      <c r="AI631" s="1482"/>
      <c r="AJ631" s="1483"/>
      <c r="AK631" s="1476"/>
      <c r="AL631" s="1477"/>
      <c r="AM631" s="1477"/>
      <c r="AN631" s="1478"/>
      <c r="AO631" s="1468"/>
      <c r="AP631" s="1368"/>
      <c r="AQ631" s="1368"/>
      <c r="AR631" s="1368"/>
      <c r="AS631" s="1369"/>
      <c r="AT631" s="1148" t="str">
        <f t="shared" si="1"/>
        <v/>
      </c>
      <c r="AU631" s="3"/>
      <c r="AZ631" s="3"/>
      <c r="BA631" s="3"/>
      <c r="BB631" s="3"/>
      <c r="BC631" s="3"/>
      <c r="BD631" s="3"/>
    </row>
    <row r="632" spans="2:157" ht="12.95" customHeight="1">
      <c r="B632" s="52" t="s">
        <v>583</v>
      </c>
      <c r="C632" s="1449"/>
      <c r="D632" s="1449"/>
      <c r="E632" s="1449"/>
      <c r="F632" s="1449"/>
      <c r="G632" s="1449"/>
      <c r="H632" s="1449"/>
      <c r="I632" s="1449"/>
      <c r="J632" s="1449"/>
      <c r="K632" s="1449"/>
      <c r="L632" s="1449"/>
      <c r="M632" s="1484" t="s">
        <v>1183</v>
      </c>
      <c r="N632" s="1484"/>
      <c r="O632" s="1484"/>
      <c r="P632" s="1484"/>
      <c r="Q632" s="1508"/>
      <c r="R632" s="1509"/>
      <c r="S632" s="1510"/>
      <c r="T632" s="1508"/>
      <c r="U632" s="1509"/>
      <c r="V632" s="1510"/>
      <c r="W632" s="1472"/>
      <c r="X632" s="1473"/>
      <c r="Y632" s="1474"/>
      <c r="Z632" s="1469" t="s">
        <v>1183</v>
      </c>
      <c r="AA632" s="1470"/>
      <c r="AB632" s="1471"/>
      <c r="AC632" s="1408"/>
      <c r="AD632" s="1409"/>
      <c r="AE632" s="1410"/>
      <c r="AF632" s="1481"/>
      <c r="AG632" s="1482"/>
      <c r="AH632" s="1482"/>
      <c r="AI632" s="1482"/>
      <c r="AJ632" s="1483"/>
      <c r="AK632" s="1476"/>
      <c r="AL632" s="1477"/>
      <c r="AM632" s="1477"/>
      <c r="AN632" s="1478"/>
      <c r="AO632" s="1468"/>
      <c r="AP632" s="1368"/>
      <c r="AQ632" s="1368"/>
      <c r="AR632" s="1368"/>
      <c r="AS632" s="1369"/>
      <c r="AT632" s="1148" t="str">
        <f t="shared" si="1"/>
        <v/>
      </c>
      <c r="AU632" s="3"/>
      <c r="AZ632" s="3"/>
      <c r="BA632" s="3"/>
      <c r="BB632" s="3"/>
      <c r="BC632" s="3"/>
      <c r="BD632" s="3"/>
    </row>
    <row r="633" spans="2:157" ht="12.95" customHeight="1">
      <c r="B633" s="52" t="s">
        <v>454</v>
      </c>
      <c r="C633" s="1449"/>
      <c r="D633" s="1449"/>
      <c r="E633" s="1449"/>
      <c r="F633" s="1449"/>
      <c r="G633" s="1449"/>
      <c r="H633" s="1449"/>
      <c r="I633" s="1449"/>
      <c r="J633" s="1449"/>
      <c r="K633" s="1449"/>
      <c r="L633" s="1449"/>
      <c r="M633" s="1484" t="s">
        <v>1183</v>
      </c>
      <c r="N633" s="1484"/>
      <c r="O633" s="1484"/>
      <c r="P633" s="1484"/>
      <c r="Q633" s="1508"/>
      <c r="R633" s="1509"/>
      <c r="S633" s="1510"/>
      <c r="T633" s="1508"/>
      <c r="U633" s="1509"/>
      <c r="V633" s="1510"/>
      <c r="W633" s="1472"/>
      <c r="X633" s="1473"/>
      <c r="Y633" s="1474"/>
      <c r="Z633" s="1469" t="s">
        <v>1183</v>
      </c>
      <c r="AA633" s="1470"/>
      <c r="AB633" s="1471"/>
      <c r="AC633" s="1408"/>
      <c r="AD633" s="1409"/>
      <c r="AE633" s="1410"/>
      <c r="AF633" s="1481"/>
      <c r="AG633" s="1482"/>
      <c r="AH633" s="1482"/>
      <c r="AI633" s="1482"/>
      <c r="AJ633" s="1483"/>
      <c r="AK633" s="1476"/>
      <c r="AL633" s="1477"/>
      <c r="AM633" s="1477"/>
      <c r="AN633" s="1478"/>
      <c r="AO633" s="1468"/>
      <c r="AP633" s="1368"/>
      <c r="AQ633" s="1368"/>
      <c r="AR633" s="1368"/>
      <c r="AS633" s="1369"/>
      <c r="AT633" s="1148" t="str">
        <f t="shared" si="1"/>
        <v/>
      </c>
      <c r="AU633" s="3"/>
      <c r="AV633" s="3"/>
      <c r="AW633" s="3"/>
      <c r="AX633" s="3"/>
      <c r="AY633" s="3"/>
      <c r="AZ633" s="3"/>
      <c r="BA633" s="3"/>
      <c r="BB633" s="3"/>
      <c r="BC633" s="3"/>
      <c r="BD633" s="3"/>
    </row>
    <row r="634" spans="2:157" ht="12.95" customHeight="1">
      <c r="B634" s="52" t="s">
        <v>455</v>
      </c>
      <c r="C634" s="1449"/>
      <c r="D634" s="1449"/>
      <c r="E634" s="1449"/>
      <c r="F634" s="1449"/>
      <c r="G634" s="1449"/>
      <c r="H634" s="1449"/>
      <c r="I634" s="1449"/>
      <c r="J634" s="1449"/>
      <c r="K634" s="1449"/>
      <c r="L634" s="1449"/>
      <c r="M634" s="1484" t="s">
        <v>1183</v>
      </c>
      <c r="N634" s="1484"/>
      <c r="O634" s="1484"/>
      <c r="P634" s="1484"/>
      <c r="Q634" s="1508"/>
      <c r="R634" s="1509"/>
      <c r="S634" s="1510"/>
      <c r="T634" s="1508"/>
      <c r="U634" s="1509"/>
      <c r="V634" s="1510"/>
      <c r="W634" s="1472"/>
      <c r="X634" s="1473"/>
      <c r="Y634" s="1474"/>
      <c r="Z634" s="1469" t="s">
        <v>1183</v>
      </c>
      <c r="AA634" s="1470"/>
      <c r="AB634" s="1471"/>
      <c r="AC634" s="1408"/>
      <c r="AD634" s="1409"/>
      <c r="AE634" s="1410"/>
      <c r="AF634" s="1481"/>
      <c r="AG634" s="1482"/>
      <c r="AH634" s="1482"/>
      <c r="AI634" s="1482"/>
      <c r="AJ634" s="1483"/>
      <c r="AK634" s="1476"/>
      <c r="AL634" s="1477"/>
      <c r="AM634" s="1477"/>
      <c r="AN634" s="1478"/>
      <c r="AO634" s="1468"/>
      <c r="AP634" s="1368"/>
      <c r="AQ634" s="1368"/>
      <c r="AR634" s="1368"/>
      <c r="AS634" s="1369"/>
      <c r="AT634" s="1148" t="str">
        <f t="shared" si="1"/>
        <v/>
      </c>
      <c r="AU634" s="3"/>
      <c r="AV634" s="3"/>
      <c r="AW634" s="3"/>
      <c r="AX634" s="3"/>
      <c r="AY634" s="3"/>
      <c r="AZ634" s="3"/>
      <c r="BA634" s="3" t="s">
        <v>1183</v>
      </c>
      <c r="BB634" s="3"/>
      <c r="BC634" s="3"/>
      <c r="BD634" s="3"/>
    </row>
    <row r="635" spans="2:157" ht="12.95" customHeight="1">
      <c r="B635" s="52" t="s">
        <v>460</v>
      </c>
      <c r="C635" s="1449"/>
      <c r="D635" s="1449"/>
      <c r="E635" s="1449"/>
      <c r="F635" s="1449"/>
      <c r="G635" s="1449"/>
      <c r="H635" s="1449"/>
      <c r="I635" s="1449"/>
      <c r="J635" s="1449"/>
      <c r="K635" s="1449"/>
      <c r="L635" s="1449"/>
      <c r="M635" s="1484" t="s">
        <v>1183</v>
      </c>
      <c r="N635" s="1484"/>
      <c r="O635" s="1484"/>
      <c r="P635" s="1484"/>
      <c r="Q635" s="1508"/>
      <c r="R635" s="1509"/>
      <c r="S635" s="1510"/>
      <c r="T635" s="1508"/>
      <c r="U635" s="1509"/>
      <c r="V635" s="1510"/>
      <c r="W635" s="1472"/>
      <c r="X635" s="1473"/>
      <c r="Y635" s="1474"/>
      <c r="Z635" s="1469" t="s">
        <v>1183</v>
      </c>
      <c r="AA635" s="1470"/>
      <c r="AB635" s="1471"/>
      <c r="AC635" s="1408"/>
      <c r="AD635" s="1409"/>
      <c r="AE635" s="1410"/>
      <c r="AF635" s="1481"/>
      <c r="AG635" s="1482"/>
      <c r="AH635" s="1482"/>
      <c r="AI635" s="1482"/>
      <c r="AJ635" s="1483"/>
      <c r="AK635" s="1476"/>
      <c r="AL635" s="1477"/>
      <c r="AM635" s="1477"/>
      <c r="AN635" s="1478"/>
      <c r="AO635" s="1468"/>
      <c r="AP635" s="1368"/>
      <c r="AQ635" s="1368"/>
      <c r="AR635" s="1368"/>
      <c r="AS635" s="1369"/>
      <c r="AT635" s="1148" t="str">
        <f t="shared" si="1"/>
        <v/>
      </c>
      <c r="AU635" s="3"/>
      <c r="AV635" s="3"/>
      <c r="AW635" s="3"/>
      <c r="AX635" s="3"/>
      <c r="AY635" s="3"/>
      <c r="AZ635" s="34"/>
      <c r="BA635" s="3" t="s">
        <v>457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99" t="e">
        <f t="shared" ref="DX635:DX669" si="2">EZ718*(CP718/$CP$753)</f>
        <v>#VALUE!</v>
      </c>
      <c r="DY635" s="1399"/>
      <c r="DZ635" s="1399"/>
      <c r="EA635" s="1399"/>
      <c r="EB635" s="1399"/>
      <c r="EC635" s="1399">
        <f t="shared" ref="EC635:EC669" si="3">FE718*(CU718/$CU$753)</f>
        <v>93.260869565217391</v>
      </c>
      <c r="ED635" s="1399"/>
      <c r="EE635" s="1399"/>
      <c r="EF635" s="1399"/>
      <c r="EG635" s="1399"/>
      <c r="EH635" s="1399" t="e">
        <f t="shared" ref="EH635:EH669" si="4">FJ718*(CZ718/$CZ$753)</f>
        <v>#VALUE!</v>
      </c>
      <c r="EI635" s="1399"/>
      <c r="EJ635" s="1399"/>
      <c r="EK635" s="1399"/>
      <c r="EL635" s="1399"/>
      <c r="EM635" s="1399" t="e">
        <f t="shared" ref="EM635:EM669" si="5">FO718*(DE718/$DE$753)</f>
        <v>#VALUE!</v>
      </c>
      <c r="EN635" s="1399"/>
      <c r="EO635" s="1399"/>
      <c r="EP635" s="1399"/>
      <c r="EQ635" s="1399"/>
      <c r="ER635" s="1399" t="e">
        <f t="shared" ref="ER635:ER669" si="6">FT718*(DJ718/$DJ$753)</f>
        <v>#VALUE!</v>
      </c>
      <c r="ES635" s="1399"/>
      <c r="ET635" s="1399"/>
      <c r="EU635" s="1399"/>
      <c r="EV635" s="1399"/>
      <c r="EW635" s="1399" t="e">
        <f t="shared" ref="EW635:EW669" si="7">FY718*(DO718/$DO$753)</f>
        <v>#VALUE!</v>
      </c>
      <c r="EX635" s="1399"/>
      <c r="EY635" s="1399"/>
      <c r="EZ635" s="1399"/>
      <c r="FA635" s="1399"/>
    </row>
    <row r="636" spans="2:157" ht="12.95" customHeight="1">
      <c r="B636" s="52" t="s">
        <v>645</v>
      </c>
      <c r="C636" s="1449"/>
      <c r="D636" s="1449"/>
      <c r="E636" s="1449"/>
      <c r="F636" s="1449"/>
      <c r="G636" s="1449"/>
      <c r="H636" s="1449"/>
      <c r="I636" s="1449"/>
      <c r="J636" s="1449"/>
      <c r="K636" s="1449"/>
      <c r="L636" s="1449"/>
      <c r="M636" s="1484" t="s">
        <v>1183</v>
      </c>
      <c r="N636" s="1484"/>
      <c r="O636" s="1484"/>
      <c r="P636" s="1484"/>
      <c r="Q636" s="1508"/>
      <c r="R636" s="1509"/>
      <c r="S636" s="1510"/>
      <c r="T636" s="1508"/>
      <c r="U636" s="1509"/>
      <c r="V636" s="1510"/>
      <c r="W636" s="1472"/>
      <c r="X636" s="1473"/>
      <c r="Y636" s="1474"/>
      <c r="Z636" s="1469" t="s">
        <v>1183</v>
      </c>
      <c r="AA636" s="1470"/>
      <c r="AB636" s="1471"/>
      <c r="AC636" s="1408"/>
      <c r="AD636" s="1409"/>
      <c r="AE636" s="1410"/>
      <c r="AF636" s="1481"/>
      <c r="AG636" s="1482"/>
      <c r="AH636" s="1482"/>
      <c r="AI636" s="1482"/>
      <c r="AJ636" s="1483"/>
      <c r="AK636" s="1476"/>
      <c r="AL636" s="1477"/>
      <c r="AM636" s="1477"/>
      <c r="AN636" s="1478"/>
      <c r="AO636" s="1468"/>
      <c r="AP636" s="1368"/>
      <c r="AQ636" s="1368"/>
      <c r="AR636" s="1368"/>
      <c r="AS636" s="1369"/>
      <c r="AT636" s="1148" t="str">
        <f t="shared" si="1"/>
        <v/>
      </c>
      <c r="AV636" s="3"/>
      <c r="AW636" s="3"/>
      <c r="AX636" s="3"/>
      <c r="AY636" s="3"/>
      <c r="AZ636" s="34"/>
      <c r="BA636" s="3" t="s">
        <v>456</v>
      </c>
      <c r="BB636" s="34"/>
      <c r="BC636" s="34"/>
      <c r="BD636" s="34"/>
      <c r="BE636" s="34"/>
      <c r="BF636" s="34"/>
      <c r="BG636" s="34"/>
      <c r="BH636" s="34"/>
      <c r="BI636" s="34"/>
      <c r="BJ636" s="34"/>
      <c r="BK636" s="34"/>
      <c r="BL636" s="34"/>
      <c r="BM636" s="34"/>
      <c r="DA636" s="3"/>
      <c r="DB636" s="3"/>
      <c r="DC636" s="3"/>
      <c r="DD636" s="3"/>
      <c r="DE636" s="3"/>
      <c r="DF636" s="3"/>
      <c r="DX636" s="1399" t="e">
        <f t="shared" si="2"/>
        <v>#VALUE!</v>
      </c>
      <c r="DY636" s="1399"/>
      <c r="DZ636" s="1399"/>
      <c r="EA636" s="1399"/>
      <c r="EB636" s="1399"/>
      <c r="EC636" s="1399">
        <f t="shared" si="3"/>
        <v>253.56521739130434</v>
      </c>
      <c r="ED636" s="1399"/>
      <c r="EE636" s="1399"/>
      <c r="EF636" s="1399"/>
      <c r="EG636" s="1399"/>
      <c r="EH636" s="1399" t="e">
        <f t="shared" si="4"/>
        <v>#VALUE!</v>
      </c>
      <c r="EI636" s="1399"/>
      <c r="EJ636" s="1399"/>
      <c r="EK636" s="1399"/>
      <c r="EL636" s="1399"/>
      <c r="EM636" s="1399" t="e">
        <f t="shared" si="5"/>
        <v>#VALUE!</v>
      </c>
      <c r="EN636" s="1399"/>
      <c r="EO636" s="1399"/>
      <c r="EP636" s="1399"/>
      <c r="EQ636" s="1399"/>
      <c r="ER636" s="1399" t="e">
        <f t="shared" si="6"/>
        <v>#VALUE!</v>
      </c>
      <c r="ES636" s="1399"/>
      <c r="ET636" s="1399"/>
      <c r="EU636" s="1399"/>
      <c r="EV636" s="1399"/>
      <c r="EW636" s="1399" t="e">
        <f t="shared" si="7"/>
        <v>#VALUE!</v>
      </c>
      <c r="EX636" s="1399"/>
      <c r="EY636" s="1399"/>
      <c r="EZ636" s="1399"/>
      <c r="FA636" s="1399"/>
    </row>
    <row r="637" spans="2:157" ht="12.95" customHeight="1">
      <c r="B637" s="52" t="s">
        <v>361</v>
      </c>
      <c r="C637" s="1449"/>
      <c r="D637" s="1449"/>
      <c r="E637" s="1449"/>
      <c r="F637" s="1449"/>
      <c r="G637" s="1449"/>
      <c r="H637" s="1449"/>
      <c r="I637" s="1449"/>
      <c r="J637" s="1449"/>
      <c r="K637" s="1449"/>
      <c r="L637" s="1449"/>
      <c r="M637" s="1484" t="s">
        <v>1183</v>
      </c>
      <c r="N637" s="1484"/>
      <c r="O637" s="1484"/>
      <c r="P637" s="1484"/>
      <c r="Q637" s="1508"/>
      <c r="R637" s="1509"/>
      <c r="S637" s="1510"/>
      <c r="T637" s="1508"/>
      <c r="U637" s="1509"/>
      <c r="V637" s="1510"/>
      <c r="W637" s="1472"/>
      <c r="X637" s="1473"/>
      <c r="Y637" s="1474"/>
      <c r="Z637" s="1469" t="s">
        <v>1183</v>
      </c>
      <c r="AA637" s="1470"/>
      <c r="AB637" s="1471"/>
      <c r="AC637" s="1408"/>
      <c r="AD637" s="1409"/>
      <c r="AE637" s="1410"/>
      <c r="AF637" s="1481"/>
      <c r="AG637" s="1482"/>
      <c r="AH637" s="1482"/>
      <c r="AI637" s="1482"/>
      <c r="AJ637" s="1483"/>
      <c r="AK637" s="1476"/>
      <c r="AL637" s="1477"/>
      <c r="AM637" s="1477"/>
      <c r="AN637" s="1478"/>
      <c r="AO637" s="1468"/>
      <c r="AP637" s="1368"/>
      <c r="AQ637" s="1368"/>
      <c r="AR637" s="1368"/>
      <c r="AS637" s="1369"/>
      <c r="AT637" s="1148" t="str">
        <f t="shared" si="1"/>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399" t="e">
        <f t="shared" si="2"/>
        <v>#VALUE!</v>
      </c>
      <c r="DY637" s="1399"/>
      <c r="DZ637" s="1399"/>
      <c r="EA637" s="1399"/>
      <c r="EB637" s="1399"/>
      <c r="EC637" s="1399">
        <f t="shared" si="3"/>
        <v>458.3478260869565</v>
      </c>
      <c r="ED637" s="1399"/>
      <c r="EE637" s="1399"/>
      <c r="EF637" s="1399"/>
      <c r="EG637" s="1399"/>
      <c r="EH637" s="1399" t="e">
        <f t="shared" si="4"/>
        <v>#VALUE!</v>
      </c>
      <c r="EI637" s="1399"/>
      <c r="EJ637" s="1399"/>
      <c r="EK637" s="1399"/>
      <c r="EL637" s="1399"/>
      <c r="EM637" s="1399" t="e">
        <f t="shared" si="5"/>
        <v>#VALUE!</v>
      </c>
      <c r="EN637" s="1399"/>
      <c r="EO637" s="1399"/>
      <c r="EP637" s="1399"/>
      <c r="EQ637" s="1399"/>
      <c r="ER637" s="1399" t="e">
        <f t="shared" si="6"/>
        <v>#VALUE!</v>
      </c>
      <c r="ES637" s="1399"/>
      <c r="ET637" s="1399"/>
      <c r="EU637" s="1399"/>
      <c r="EV637" s="1399"/>
      <c r="EW637" s="1399" t="e">
        <f t="shared" si="7"/>
        <v>#VALUE!</v>
      </c>
      <c r="EX637" s="1399"/>
      <c r="EY637" s="1399"/>
      <c r="EZ637" s="1399"/>
      <c r="FA637" s="1399"/>
    </row>
    <row r="638" spans="2:157" ht="12.95" customHeight="1">
      <c r="B638" s="52" t="s">
        <v>362</v>
      </c>
      <c r="C638" s="1449"/>
      <c r="D638" s="1449"/>
      <c r="E638" s="1449"/>
      <c r="F638" s="1449"/>
      <c r="G638" s="1449"/>
      <c r="H638" s="1449"/>
      <c r="I638" s="1449"/>
      <c r="J638" s="1449"/>
      <c r="K638" s="1449"/>
      <c r="L638" s="1449"/>
      <c r="M638" s="1484" t="s">
        <v>1183</v>
      </c>
      <c r="N638" s="1484"/>
      <c r="O638" s="1484"/>
      <c r="P638" s="1484"/>
      <c r="Q638" s="1508"/>
      <c r="R638" s="1509"/>
      <c r="S638" s="1510"/>
      <c r="T638" s="1508"/>
      <c r="U638" s="1509"/>
      <c r="V638" s="1510"/>
      <c r="W638" s="1472"/>
      <c r="X638" s="1473"/>
      <c r="Y638" s="1474"/>
      <c r="Z638" s="1469" t="s">
        <v>1183</v>
      </c>
      <c r="AA638" s="1470"/>
      <c r="AB638" s="1471"/>
      <c r="AC638" s="1408"/>
      <c r="AD638" s="1409"/>
      <c r="AE638" s="1410"/>
      <c r="AF638" s="1481"/>
      <c r="AG638" s="1482"/>
      <c r="AH638" s="1482"/>
      <c r="AI638" s="1482"/>
      <c r="AJ638" s="1483"/>
      <c r="AK638" s="1476"/>
      <c r="AL638" s="1477"/>
      <c r="AM638" s="1477"/>
      <c r="AN638" s="1478"/>
      <c r="AO638" s="1468"/>
      <c r="AP638" s="1368"/>
      <c r="AQ638" s="1368"/>
      <c r="AR638" s="1368"/>
      <c r="AS638" s="1369"/>
      <c r="AT638" s="1148"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399" t="e">
        <f t="shared" si="2"/>
        <v>#VALUE!</v>
      </c>
      <c r="DY638" s="1399"/>
      <c r="DZ638" s="1399"/>
      <c r="EA638" s="1399"/>
      <c r="EB638" s="1399"/>
      <c r="EC638" s="1399">
        <f t="shared" si="3"/>
        <v>1075.5652173913043</v>
      </c>
      <c r="ED638" s="1399"/>
      <c r="EE638" s="1399"/>
      <c r="EF638" s="1399"/>
      <c r="EG638" s="1399"/>
      <c r="EH638" s="1399" t="e">
        <f t="shared" si="4"/>
        <v>#VALUE!</v>
      </c>
      <c r="EI638" s="1399"/>
      <c r="EJ638" s="1399"/>
      <c r="EK638" s="1399"/>
      <c r="EL638" s="1399"/>
      <c r="EM638" s="1399" t="e">
        <f t="shared" si="5"/>
        <v>#VALUE!</v>
      </c>
      <c r="EN638" s="1399"/>
      <c r="EO638" s="1399"/>
      <c r="EP638" s="1399"/>
      <c r="EQ638" s="1399"/>
      <c r="ER638" s="1399" t="e">
        <f t="shared" si="6"/>
        <v>#VALUE!</v>
      </c>
      <c r="ES638" s="1399"/>
      <c r="ET638" s="1399"/>
      <c r="EU638" s="1399"/>
      <c r="EV638" s="1399"/>
      <c r="EW638" s="1399" t="e">
        <f t="shared" si="7"/>
        <v>#VALUE!</v>
      </c>
      <c r="EX638" s="1399"/>
      <c r="EY638" s="1399"/>
      <c r="EZ638" s="1399"/>
      <c r="FA638" s="1399"/>
    </row>
    <row r="639" spans="2:157" ht="12.95" customHeight="1">
      <c r="B639" s="1345" t="s">
        <v>128</v>
      </c>
      <c r="C639" s="1346"/>
      <c r="D639" s="1346"/>
      <c r="E639" s="1346"/>
      <c r="F639" s="1346"/>
      <c r="G639" s="1346"/>
      <c r="H639" s="1346"/>
      <c r="I639" s="1346"/>
      <c r="J639" s="1346"/>
      <c r="K639" s="1346"/>
      <c r="L639" s="1346"/>
      <c r="M639" s="1346"/>
      <c r="N639" s="1346"/>
      <c r="O639" s="1346"/>
      <c r="P639" s="1346"/>
      <c r="Q639" s="1346"/>
      <c r="R639" s="1346"/>
      <c r="S639" s="1346"/>
      <c r="T639" s="1346"/>
      <c r="U639" s="1346"/>
      <c r="V639" s="1346"/>
      <c r="W639" s="1346"/>
      <c r="X639" s="1346"/>
      <c r="Y639" s="1346"/>
      <c r="Z639" s="1346"/>
      <c r="AA639" s="1346"/>
      <c r="AB639" s="1346"/>
      <c r="AC639" s="1346"/>
      <c r="AD639" s="1346"/>
      <c r="AE639" s="1346"/>
      <c r="AF639" s="1346"/>
      <c r="AG639" s="1346"/>
      <c r="AH639" s="1346"/>
      <c r="AI639" s="1346"/>
      <c r="AJ639" s="1346"/>
      <c r="AK639" s="1346"/>
      <c r="AL639" s="1346"/>
      <c r="AM639" s="1346"/>
      <c r="AN639" s="1348"/>
      <c r="AO639" s="1465">
        <f>SUM(AO627:AR638)</f>
        <v>31420321</v>
      </c>
      <c r="AP639" s="1466"/>
      <c r="AQ639" s="1466"/>
      <c r="AR639" s="1466"/>
      <c r="AS639" s="146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99" t="e">
        <f t="shared" si="2"/>
        <v>#VALUE!</v>
      </c>
      <c r="DY639" s="1399"/>
      <c r="DZ639" s="1399"/>
      <c r="EA639" s="1399"/>
      <c r="EB639" s="1399"/>
      <c r="EC639" s="1399" t="e">
        <f t="shared" si="3"/>
        <v>#VALUE!</v>
      </c>
      <c r="ED639" s="1399"/>
      <c r="EE639" s="1399"/>
      <c r="EF639" s="1399"/>
      <c r="EG639" s="1399"/>
      <c r="EH639" s="1399">
        <f t="shared" si="4"/>
        <v>173.66666666666666</v>
      </c>
      <c r="EI639" s="1399"/>
      <c r="EJ639" s="1399"/>
      <c r="EK639" s="1399"/>
      <c r="EL639" s="1399"/>
      <c r="EM639" s="1399" t="e">
        <f t="shared" si="5"/>
        <v>#VALUE!</v>
      </c>
      <c r="EN639" s="1399"/>
      <c r="EO639" s="1399"/>
      <c r="EP639" s="1399"/>
      <c r="EQ639" s="1399"/>
      <c r="ER639" s="1399" t="e">
        <f t="shared" si="6"/>
        <v>#VALUE!</v>
      </c>
      <c r="ES639" s="1399"/>
      <c r="ET639" s="1399"/>
      <c r="EU639" s="1399"/>
      <c r="EV639" s="1399"/>
      <c r="EW639" s="1399" t="e">
        <f t="shared" si="7"/>
        <v>#VALUE!</v>
      </c>
      <c r="EX639" s="1399"/>
      <c r="EY639" s="1399"/>
      <c r="EZ639" s="1399"/>
      <c r="FA639" s="1399"/>
    </row>
    <row r="640" spans="2:157" ht="12.95" customHeight="1">
      <c r="B640" s="1345" t="s">
        <v>266</v>
      </c>
      <c r="C640" s="1346"/>
      <c r="D640" s="1346"/>
      <c r="E640" s="1346"/>
      <c r="F640" s="1346"/>
      <c r="G640" s="1346"/>
      <c r="H640" s="1346"/>
      <c r="I640" s="1346"/>
      <c r="J640" s="1346"/>
      <c r="K640" s="1346"/>
      <c r="L640" s="1346"/>
      <c r="M640" s="1346"/>
      <c r="N640" s="1346"/>
      <c r="O640" s="1346"/>
      <c r="P640" s="1346"/>
      <c r="Q640" s="1346"/>
      <c r="R640" s="1346"/>
      <c r="S640" s="1346"/>
      <c r="T640" s="1346"/>
      <c r="U640" s="1346"/>
      <c r="V640" s="1346"/>
      <c r="W640" s="1346"/>
      <c r="X640" s="1346"/>
      <c r="Y640" s="1346"/>
      <c r="Z640" s="1346"/>
      <c r="AA640" s="1346"/>
      <c r="AB640" s="1346"/>
      <c r="AC640" s="1346"/>
      <c r="AD640" s="1346"/>
      <c r="AE640" s="1346"/>
      <c r="AF640" s="1346"/>
      <c r="AG640" s="1346"/>
      <c r="AH640" s="1346"/>
      <c r="AI640" s="1346"/>
      <c r="AJ640" s="1346"/>
      <c r="AK640" s="1346"/>
      <c r="AL640" s="1346"/>
      <c r="AM640" s="1346"/>
      <c r="AN640" s="1348"/>
      <c r="AO640" s="1468">
        <v>37191018</v>
      </c>
      <c r="AP640" s="1368"/>
      <c r="AQ640" s="1368"/>
      <c r="AR640" s="1368"/>
      <c r="AS640" s="136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99" t="e">
        <f t="shared" si="2"/>
        <v>#VALUE!</v>
      </c>
      <c r="DY640" s="1399"/>
      <c r="DZ640" s="1399"/>
      <c r="EA640" s="1399"/>
      <c r="EB640" s="1399"/>
      <c r="EC640" s="1399" t="e">
        <f t="shared" si="3"/>
        <v>#VALUE!</v>
      </c>
      <c r="ED640" s="1399"/>
      <c r="EE640" s="1399"/>
      <c r="EF640" s="1399"/>
      <c r="EG640" s="1399"/>
      <c r="EH640" s="1399">
        <f t="shared" si="4"/>
        <v>377.57142857142856</v>
      </c>
      <c r="EI640" s="1399"/>
      <c r="EJ640" s="1399"/>
      <c r="EK640" s="1399"/>
      <c r="EL640" s="1399"/>
      <c r="EM640" s="1399" t="e">
        <f t="shared" si="5"/>
        <v>#VALUE!</v>
      </c>
      <c r="EN640" s="1399"/>
      <c r="EO640" s="1399"/>
      <c r="EP640" s="1399"/>
      <c r="EQ640" s="1399"/>
      <c r="ER640" s="1399" t="e">
        <f t="shared" si="6"/>
        <v>#VALUE!</v>
      </c>
      <c r="ES640" s="1399"/>
      <c r="ET640" s="1399"/>
      <c r="EU640" s="1399"/>
      <c r="EV640" s="1399"/>
      <c r="EW640" s="1399" t="e">
        <f t="shared" si="7"/>
        <v>#VALUE!</v>
      </c>
      <c r="EX640" s="1399"/>
      <c r="EY640" s="1399"/>
      <c r="EZ640" s="1399"/>
      <c r="FA640" s="1399"/>
    </row>
    <row r="641" spans="1:157" ht="12.95" customHeight="1">
      <c r="B641" s="1690" t="s">
        <v>267</v>
      </c>
      <c r="C641" s="1347"/>
      <c r="D641" s="1347"/>
      <c r="E641" s="1347"/>
      <c r="F641" s="1347"/>
      <c r="G641" s="1347"/>
      <c r="H641" s="1347"/>
      <c r="I641" s="1347"/>
      <c r="J641" s="1347"/>
      <c r="K641" s="1347"/>
      <c r="L641" s="1347"/>
      <c r="M641" s="1347"/>
      <c r="N641" s="1347"/>
      <c r="O641" s="1347"/>
      <c r="P641" s="1347"/>
      <c r="Q641" s="1347"/>
      <c r="R641" s="1347"/>
      <c r="S641" s="1347"/>
      <c r="T641" s="1347"/>
      <c r="U641" s="1347"/>
      <c r="V641" s="1347"/>
      <c r="W641" s="1347"/>
      <c r="X641" s="1347"/>
      <c r="Y641" s="1347"/>
      <c r="Z641" s="1347"/>
      <c r="AA641" s="1347"/>
      <c r="AB641" s="1347"/>
      <c r="AC641" s="1347"/>
      <c r="AD641" s="1347"/>
      <c r="AE641" s="1347"/>
      <c r="AF641" s="1347"/>
      <c r="AG641" s="1347"/>
      <c r="AH641" s="1347"/>
      <c r="AI641" s="1347"/>
      <c r="AJ641" s="1347"/>
      <c r="AK641" s="1347"/>
      <c r="AL641" s="1347"/>
      <c r="AM641" s="1347"/>
      <c r="AN641" s="1691"/>
      <c r="AO641" s="1465">
        <f>AO639+AO640</f>
        <v>68611339</v>
      </c>
      <c r="AP641" s="1466"/>
      <c r="AQ641" s="1466"/>
      <c r="AR641" s="1466"/>
      <c r="AS641" s="146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99" t="e">
        <f t="shared" si="2"/>
        <v>#VALUE!</v>
      </c>
      <c r="DY641" s="1399"/>
      <c r="DZ641" s="1399"/>
      <c r="EA641" s="1399"/>
      <c r="EB641" s="1399"/>
      <c r="EC641" s="1399" t="e">
        <f t="shared" si="3"/>
        <v>#VALUE!</v>
      </c>
      <c r="ED641" s="1399"/>
      <c r="EE641" s="1399"/>
      <c r="EF641" s="1399"/>
      <c r="EG641" s="1399"/>
      <c r="EH641" s="1399">
        <f t="shared" si="4"/>
        <v>656.5</v>
      </c>
      <c r="EI641" s="1399"/>
      <c r="EJ641" s="1399"/>
      <c r="EK641" s="1399"/>
      <c r="EL641" s="1399"/>
      <c r="EM641" s="1399" t="e">
        <f t="shared" si="5"/>
        <v>#VALUE!</v>
      </c>
      <c r="EN641" s="1399"/>
      <c r="EO641" s="1399"/>
      <c r="EP641" s="1399"/>
      <c r="EQ641" s="1399"/>
      <c r="ER641" s="1399" t="e">
        <f t="shared" si="6"/>
        <v>#VALUE!</v>
      </c>
      <c r="ES641" s="1399"/>
      <c r="ET641" s="1399"/>
      <c r="EU641" s="1399"/>
      <c r="EV641" s="1399"/>
      <c r="EW641" s="1399" t="e">
        <f t="shared" si="7"/>
        <v>#VALUE!</v>
      </c>
      <c r="EX641" s="1399"/>
      <c r="EY641" s="1399"/>
      <c r="EZ641" s="1399"/>
      <c r="FA641" s="1399"/>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99" t="e">
        <f t="shared" si="2"/>
        <v>#VALUE!</v>
      </c>
      <c r="DY642" s="1399"/>
      <c r="DZ642" s="1399"/>
      <c r="EA642" s="1399"/>
      <c r="EB642" s="1399"/>
      <c r="EC642" s="1399" t="e">
        <f t="shared" si="3"/>
        <v>#VALUE!</v>
      </c>
      <c r="ED642" s="1399"/>
      <c r="EE642" s="1399"/>
      <c r="EF642" s="1399"/>
      <c r="EG642" s="1399"/>
      <c r="EH642" s="1399">
        <f t="shared" si="4"/>
        <v>810.64285714285722</v>
      </c>
      <c r="EI642" s="1399"/>
      <c r="EJ642" s="1399"/>
      <c r="EK642" s="1399"/>
      <c r="EL642" s="1399"/>
      <c r="EM642" s="1399" t="e">
        <f t="shared" si="5"/>
        <v>#VALUE!</v>
      </c>
      <c r="EN642" s="1399"/>
      <c r="EO642" s="1399"/>
      <c r="EP642" s="1399"/>
      <c r="EQ642" s="1399"/>
      <c r="ER642" s="1399" t="e">
        <f t="shared" si="6"/>
        <v>#VALUE!</v>
      </c>
      <c r="ES642" s="1399"/>
      <c r="ET642" s="1399"/>
      <c r="EU642" s="1399"/>
      <c r="EV642" s="1399"/>
      <c r="EW642" s="1399" t="e">
        <f t="shared" si="7"/>
        <v>#VALUE!</v>
      </c>
      <c r="EX642" s="1399"/>
      <c r="EY642" s="1399"/>
      <c r="EZ642" s="1399"/>
      <c r="FA642" s="1399"/>
    </row>
    <row r="643" spans="1:157" ht="12.95" customHeight="1">
      <c r="A643" s="55" t="s">
        <v>112</v>
      </c>
      <c r="B643" t="s">
        <v>462</v>
      </c>
      <c r="G643" s="1475" t="str">
        <f>C627</f>
        <v>Citibank, N.A.</v>
      </c>
      <c r="H643" s="1475"/>
      <c r="I643" s="1475"/>
      <c r="J643" s="1475"/>
      <c r="K643" s="1475"/>
      <c r="L643" s="1475"/>
      <c r="M643" s="1475"/>
      <c r="N643" s="1475"/>
      <c r="O643" s="1475"/>
      <c r="P643" s="1475"/>
      <c r="Q643" s="1475"/>
      <c r="R643" s="1475"/>
      <c r="S643" s="8"/>
      <c r="T643" s="55" t="s">
        <v>113</v>
      </c>
      <c r="U643" t="s">
        <v>462</v>
      </c>
      <c r="Z643" s="1475" t="str">
        <f>C628</f>
        <v>LIHTC Advisors, LLC</v>
      </c>
      <c r="AA643" s="1475"/>
      <c r="AB643" s="1475"/>
      <c r="AC643" s="1475"/>
      <c r="AD643" s="1475"/>
      <c r="AE643" s="1475"/>
      <c r="AF643" s="1475"/>
      <c r="AG643" s="1475"/>
      <c r="AH643" s="1475"/>
      <c r="AI643" s="1475"/>
      <c r="AJ643" s="1475"/>
      <c r="AK643" s="1475"/>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99" t="e">
        <f t="shared" si="2"/>
        <v>#VALUE!</v>
      </c>
      <c r="DY643" s="1399"/>
      <c r="DZ643" s="1399"/>
      <c r="EA643" s="1399"/>
      <c r="EB643" s="1399"/>
      <c r="EC643" s="1399" t="e">
        <f t="shared" si="3"/>
        <v>#VALUE!</v>
      </c>
      <c r="ED643" s="1399"/>
      <c r="EE643" s="1399"/>
      <c r="EF643" s="1399"/>
      <c r="EG643" s="1399"/>
      <c r="EH643" s="1399" t="e">
        <f t="shared" si="4"/>
        <v>#VALUE!</v>
      </c>
      <c r="EI643" s="1399"/>
      <c r="EJ643" s="1399"/>
      <c r="EK643" s="1399"/>
      <c r="EL643" s="1399"/>
      <c r="EM643" s="1399">
        <f t="shared" si="5"/>
        <v>314.80952380952385</v>
      </c>
      <c r="EN643" s="1399"/>
      <c r="EO643" s="1399"/>
      <c r="EP643" s="1399"/>
      <c r="EQ643" s="1399"/>
      <c r="ER643" s="1399" t="e">
        <f t="shared" si="6"/>
        <v>#VALUE!</v>
      </c>
      <c r="ES643" s="1399"/>
      <c r="ET643" s="1399"/>
      <c r="EU643" s="1399"/>
      <c r="EV643" s="1399"/>
      <c r="EW643" s="1399" t="e">
        <f t="shared" si="7"/>
        <v>#VALUE!</v>
      </c>
      <c r="EX643" s="1399"/>
      <c r="EY643" s="1399"/>
      <c r="EZ643" s="1399"/>
      <c r="FA643" s="1399"/>
    </row>
    <row r="644" spans="1:157" ht="12.95" customHeight="1">
      <c r="A644" s="22"/>
      <c r="B644" t="s">
        <v>85</v>
      </c>
      <c r="G644" s="1344" t="s">
        <v>2724</v>
      </c>
      <c r="H644" s="1344"/>
      <c r="I644" s="1344"/>
      <c r="J644" s="1344"/>
      <c r="K644" s="1344"/>
      <c r="L644" s="1344"/>
      <c r="M644" s="1344"/>
      <c r="N644" s="1344"/>
      <c r="O644" s="1344"/>
      <c r="P644" s="1344"/>
      <c r="Q644" s="1344"/>
      <c r="R644" s="1344"/>
      <c r="S644" s="8"/>
      <c r="T644" s="22"/>
      <c r="U644" t="s">
        <v>85</v>
      </c>
      <c r="Z644" s="1344" t="s">
        <v>2730</v>
      </c>
      <c r="AA644" s="1344"/>
      <c r="AB644" s="1344"/>
      <c r="AC644" s="1344"/>
      <c r="AD644" s="1344"/>
      <c r="AE644" s="1344"/>
      <c r="AF644" s="1344"/>
      <c r="AG644" s="1344"/>
      <c r="AH644" s="1344"/>
      <c r="AI644" s="1344"/>
      <c r="AJ644" s="1344"/>
      <c r="AK644" s="1344"/>
      <c r="AV644" s="3"/>
      <c r="AW644" s="3"/>
      <c r="AX644" s="3"/>
      <c r="AY644" s="3"/>
      <c r="AZ644" s="3"/>
      <c r="BA644" s="3"/>
      <c r="BB644" s="3"/>
      <c r="BC644" s="3"/>
      <c r="BD644" s="3"/>
      <c r="BE644" s="3"/>
      <c r="BF644" s="3"/>
      <c r="BG644" s="3"/>
      <c r="BH644" s="3"/>
      <c r="BI644" s="3"/>
      <c r="BJ644" s="3"/>
      <c r="BK644" s="3"/>
      <c r="BL644" s="3"/>
      <c r="BM644" s="3"/>
      <c r="DX644" s="1399" t="e">
        <f t="shared" si="2"/>
        <v>#VALUE!</v>
      </c>
      <c r="DY644" s="1399"/>
      <c r="DZ644" s="1399"/>
      <c r="EA644" s="1399"/>
      <c r="EB644" s="1399"/>
      <c r="EC644" s="1399" t="e">
        <f t="shared" si="3"/>
        <v>#VALUE!</v>
      </c>
      <c r="ED644" s="1399"/>
      <c r="EE644" s="1399"/>
      <c r="EF644" s="1399"/>
      <c r="EG644" s="1399"/>
      <c r="EH644" s="1399" t="e">
        <f t="shared" si="4"/>
        <v>#VALUE!</v>
      </c>
      <c r="EI644" s="1399"/>
      <c r="EJ644" s="1399"/>
      <c r="EK644" s="1399"/>
      <c r="EL644" s="1399"/>
      <c r="EM644" s="1399">
        <f t="shared" si="5"/>
        <v>484.04761904761904</v>
      </c>
      <c r="EN644" s="1399"/>
      <c r="EO644" s="1399"/>
      <c r="EP644" s="1399"/>
      <c r="EQ644" s="1399"/>
      <c r="ER644" s="1399" t="e">
        <f t="shared" si="6"/>
        <v>#VALUE!</v>
      </c>
      <c r="ES644" s="1399"/>
      <c r="ET644" s="1399"/>
      <c r="EU644" s="1399"/>
      <c r="EV644" s="1399"/>
      <c r="EW644" s="1399" t="e">
        <f t="shared" si="7"/>
        <v>#VALUE!</v>
      </c>
      <c r="EX644" s="1399"/>
      <c r="EY644" s="1399"/>
      <c r="EZ644" s="1399"/>
      <c r="FA644" s="1399"/>
    </row>
    <row r="645" spans="1:157" ht="12.95" customHeight="1">
      <c r="A645" s="22"/>
      <c r="B645" t="s">
        <v>579</v>
      </c>
      <c r="G645" s="1344" t="s">
        <v>2725</v>
      </c>
      <c r="H645" s="1344"/>
      <c r="I645" s="1344"/>
      <c r="J645" s="1344"/>
      <c r="K645" s="1344"/>
      <c r="L645" s="1344"/>
      <c r="M645" s="1344"/>
      <c r="N645" s="1344"/>
      <c r="O645" s="1344"/>
      <c r="P645" s="1344"/>
      <c r="Q645" s="1344"/>
      <c r="R645" s="1344"/>
      <c r="T645" s="22"/>
      <c r="U645" t="s">
        <v>579</v>
      </c>
      <c r="Z645" s="1333" t="s">
        <v>2731</v>
      </c>
      <c r="AA645" s="1333"/>
      <c r="AB645" s="1333"/>
      <c r="AC645" s="1333"/>
      <c r="AD645" s="1333"/>
      <c r="AE645" s="1333"/>
      <c r="AF645" s="1333"/>
      <c r="AG645" s="1333"/>
      <c r="AH645" s="1333"/>
      <c r="AI645" s="1333"/>
      <c r="AJ645" s="1333"/>
      <c r="AK645" s="1333"/>
      <c r="AV645" s="3"/>
      <c r="AW645" s="3"/>
      <c r="AX645" s="3"/>
      <c r="AY645" s="3"/>
      <c r="AZ645" s="3"/>
      <c r="BA645" s="3"/>
      <c r="BB645" s="3"/>
      <c r="BC645" s="3"/>
      <c r="BD645" s="3"/>
      <c r="BE645" s="3"/>
      <c r="BF645" s="3"/>
      <c r="BG645" s="3"/>
      <c r="BH645" s="3"/>
      <c r="BI645" s="3"/>
      <c r="BJ645" s="3"/>
      <c r="BK645" s="3"/>
      <c r="BL645" s="3"/>
      <c r="BM645" s="3"/>
      <c r="DX645" s="1399" t="e">
        <f t="shared" si="2"/>
        <v>#VALUE!</v>
      </c>
      <c r="DY645" s="1399"/>
      <c r="DZ645" s="1399"/>
      <c r="EA645" s="1399"/>
      <c r="EB645" s="1399"/>
      <c r="EC645" s="1399" t="e">
        <f t="shared" si="3"/>
        <v>#VALUE!</v>
      </c>
      <c r="ED645" s="1399"/>
      <c r="EE645" s="1399"/>
      <c r="EF645" s="1399"/>
      <c r="EG645" s="1399"/>
      <c r="EH645" s="1399" t="e">
        <f t="shared" si="4"/>
        <v>#VALUE!</v>
      </c>
      <c r="EI645" s="1399"/>
      <c r="EJ645" s="1399"/>
      <c r="EK645" s="1399"/>
      <c r="EL645" s="1399"/>
      <c r="EM645" s="1399">
        <f t="shared" si="5"/>
        <v>524.57142857142856</v>
      </c>
      <c r="EN645" s="1399"/>
      <c r="EO645" s="1399"/>
      <c r="EP645" s="1399"/>
      <c r="EQ645" s="1399"/>
      <c r="ER645" s="1399" t="e">
        <f t="shared" si="6"/>
        <v>#VALUE!</v>
      </c>
      <c r="ES645" s="1399"/>
      <c r="ET645" s="1399"/>
      <c r="EU645" s="1399"/>
      <c r="EV645" s="1399"/>
      <c r="EW645" s="1399" t="e">
        <f t="shared" si="7"/>
        <v>#VALUE!</v>
      </c>
      <c r="EX645" s="1399"/>
      <c r="EY645" s="1399"/>
      <c r="EZ645" s="1399"/>
      <c r="FA645" s="1399"/>
    </row>
    <row r="646" spans="1:157" ht="12.95" customHeight="1">
      <c r="A646" s="22"/>
      <c r="B646" t="s">
        <v>17</v>
      </c>
      <c r="G646" s="1344" t="s">
        <v>2726</v>
      </c>
      <c r="H646" s="1344"/>
      <c r="I646" s="1344"/>
      <c r="J646" s="1344"/>
      <c r="K646" s="1344"/>
      <c r="L646" s="1344"/>
      <c r="M646" s="1344"/>
      <c r="N646" s="1344"/>
      <c r="O646" s="1344"/>
      <c r="P646" s="1344"/>
      <c r="Q646" s="1344"/>
      <c r="R646" s="1344"/>
      <c r="S646" s="8"/>
      <c r="T646" s="22"/>
      <c r="U646" t="s">
        <v>17</v>
      </c>
      <c r="Z646" s="1333" t="s">
        <v>2663</v>
      </c>
      <c r="AA646" s="1333"/>
      <c r="AB646" s="1333"/>
      <c r="AC646" s="1333"/>
      <c r="AD646" s="1333"/>
      <c r="AE646" s="1333"/>
      <c r="AF646" s="1333"/>
      <c r="AG646" s="1333"/>
      <c r="AH646" s="1333"/>
      <c r="AI646" s="1333"/>
      <c r="AJ646" s="1333"/>
      <c r="AK646" s="1333"/>
      <c r="AZ646" s="3"/>
      <c r="BA646" s="3"/>
      <c r="BB646" s="3"/>
      <c r="BC646" s="3"/>
      <c r="BD646" s="3"/>
      <c r="BE646" s="3"/>
      <c r="BF646" s="3"/>
      <c r="BG646" s="3"/>
      <c r="BH646" s="3"/>
      <c r="BI646" s="3"/>
      <c r="BJ646" s="3"/>
      <c r="BK646" s="3"/>
      <c r="BL646" s="3"/>
      <c r="BM646" s="3"/>
      <c r="DX646" s="1399" t="e">
        <f t="shared" si="2"/>
        <v>#VALUE!</v>
      </c>
      <c r="DY646" s="1399"/>
      <c r="DZ646" s="1399"/>
      <c r="EA646" s="1399"/>
      <c r="EB646" s="1399"/>
      <c r="EC646" s="1399" t="e">
        <f t="shared" si="3"/>
        <v>#VALUE!</v>
      </c>
      <c r="ED646" s="1399"/>
      <c r="EE646" s="1399"/>
      <c r="EF646" s="1399"/>
      <c r="EG646" s="1399"/>
      <c r="EH646" s="1399" t="e">
        <f t="shared" si="4"/>
        <v>#VALUE!</v>
      </c>
      <c r="EI646" s="1399"/>
      <c r="EJ646" s="1399"/>
      <c r="EK646" s="1399"/>
      <c r="EL646" s="1399"/>
      <c r="EM646" s="1399">
        <f t="shared" si="5"/>
        <v>884.57142857142856</v>
      </c>
      <c r="EN646" s="1399"/>
      <c r="EO646" s="1399"/>
      <c r="EP646" s="1399"/>
      <c r="EQ646" s="1399"/>
      <c r="ER646" s="1399" t="e">
        <f t="shared" si="6"/>
        <v>#VALUE!</v>
      </c>
      <c r="ES646" s="1399"/>
      <c r="ET646" s="1399"/>
      <c r="EU646" s="1399"/>
      <c r="EV646" s="1399"/>
      <c r="EW646" s="1399" t="e">
        <f t="shared" si="7"/>
        <v>#VALUE!</v>
      </c>
      <c r="EX646" s="1399"/>
      <c r="EY646" s="1399"/>
      <c r="EZ646" s="1399"/>
      <c r="FA646" s="1399"/>
    </row>
    <row r="647" spans="1:157" ht="12.95" customHeight="1">
      <c r="A647" s="22"/>
      <c r="B647" t="s">
        <v>315</v>
      </c>
      <c r="G647" s="1479">
        <v>8055570930</v>
      </c>
      <c r="H647" s="1479"/>
      <c r="I647" s="1479"/>
      <c r="J647" s="1479"/>
      <c r="K647" s="1479"/>
      <c r="L647" s="1479"/>
      <c r="O647" s="33" t="s">
        <v>205</v>
      </c>
      <c r="P647" s="1448"/>
      <c r="Q647" s="1448"/>
      <c r="R647" s="1448"/>
      <c r="S647" s="10"/>
      <c r="T647" s="22"/>
      <c r="U647" t="s">
        <v>315</v>
      </c>
      <c r="Z647" s="1479">
        <v>8058047778</v>
      </c>
      <c r="AA647" s="1479"/>
      <c r="AB647" s="1479"/>
      <c r="AC647" s="1479"/>
      <c r="AD647" s="1479"/>
      <c r="AE647" s="1479"/>
      <c r="AH647" s="33" t="s">
        <v>205</v>
      </c>
      <c r="AI647" s="1448"/>
      <c r="AJ647" s="1448"/>
      <c r="AK647" s="1448"/>
      <c r="AZ647" s="34"/>
      <c r="BA647" s="34"/>
      <c r="BB647" s="34"/>
      <c r="BC647" s="34"/>
      <c r="BD647" s="34"/>
      <c r="BE647" s="34"/>
      <c r="BF647" s="34"/>
      <c r="BG647" s="34"/>
      <c r="BH647" s="34"/>
      <c r="BI647" s="34"/>
      <c r="BJ647" s="34"/>
      <c r="BK647" s="34"/>
      <c r="BL647" s="34"/>
      <c r="BM647" s="34"/>
      <c r="DX647" s="1399" t="e">
        <f t="shared" si="2"/>
        <v>#VALUE!</v>
      </c>
      <c r="DY647" s="1399"/>
      <c r="DZ647" s="1399"/>
      <c r="EA647" s="1399"/>
      <c r="EB647" s="1399"/>
      <c r="EC647" s="1399" t="e">
        <f t="shared" si="3"/>
        <v>#VALUE!</v>
      </c>
      <c r="ED647" s="1399"/>
      <c r="EE647" s="1399"/>
      <c r="EF647" s="1399"/>
      <c r="EG647" s="1399"/>
      <c r="EH647" s="1399" t="e">
        <f t="shared" si="4"/>
        <v>#VALUE!</v>
      </c>
      <c r="EI647" s="1399"/>
      <c r="EJ647" s="1399"/>
      <c r="EK647" s="1399"/>
      <c r="EL647" s="1399"/>
      <c r="EM647" s="1399" t="e">
        <f t="shared" si="5"/>
        <v>#VALUE!</v>
      </c>
      <c r="EN647" s="1399"/>
      <c r="EO647" s="1399"/>
      <c r="EP647" s="1399"/>
      <c r="EQ647" s="1399"/>
      <c r="ER647" s="1399" t="e">
        <f t="shared" si="6"/>
        <v>#VALUE!</v>
      </c>
      <c r="ES647" s="1399"/>
      <c r="ET647" s="1399"/>
      <c r="EU647" s="1399"/>
      <c r="EV647" s="1399"/>
      <c r="EW647" s="1399" t="e">
        <f t="shared" si="7"/>
        <v>#VALUE!</v>
      </c>
      <c r="EX647" s="1399"/>
      <c r="EY647" s="1399"/>
      <c r="EZ647" s="1399"/>
      <c r="FA647" s="1399"/>
    </row>
    <row r="648" spans="1:157" ht="12.95" customHeight="1">
      <c r="A648" s="22"/>
      <c r="B648" t="s">
        <v>18</v>
      </c>
      <c r="H648" s="1344" t="s">
        <v>2735</v>
      </c>
      <c r="I648" s="1344"/>
      <c r="J648" s="1344"/>
      <c r="K648" s="1344"/>
      <c r="L648" s="1344"/>
      <c r="M648" s="1344"/>
      <c r="N648" s="1344"/>
      <c r="O648" s="1344"/>
      <c r="P648" s="1344"/>
      <c r="Q648" s="1344"/>
      <c r="R648" s="1344"/>
      <c r="S648" s="8"/>
      <c r="T648" s="22"/>
      <c r="U648" t="s">
        <v>18</v>
      </c>
      <c r="AA648" s="1344" t="s">
        <v>2320</v>
      </c>
      <c r="AB648" s="1344"/>
      <c r="AC648" s="1344"/>
      <c r="AD648" s="1344"/>
      <c r="AE648" s="1344"/>
      <c r="AF648" s="1344"/>
      <c r="AG648" s="1344"/>
      <c r="AH648" s="1344"/>
      <c r="AI648" s="1344"/>
      <c r="AJ648" s="1344"/>
      <c r="AK648" s="1344"/>
      <c r="AZ648" s="34"/>
      <c r="BA648" s="34"/>
      <c r="BB648" s="34"/>
      <c r="BC648" s="34"/>
      <c r="BD648" s="34"/>
      <c r="BE648" s="34"/>
      <c r="BF648" s="34"/>
      <c r="BG648" s="34"/>
      <c r="BH648" s="34"/>
      <c r="BI648" s="34"/>
      <c r="BJ648" s="34"/>
      <c r="BK648" s="34"/>
      <c r="BL648" s="34"/>
      <c r="BM648" s="34"/>
      <c r="DX648" s="1399" t="e">
        <f t="shared" si="2"/>
        <v>#VALUE!</v>
      </c>
      <c r="DY648" s="1399"/>
      <c r="DZ648" s="1399"/>
      <c r="EA648" s="1399"/>
      <c r="EB648" s="1399"/>
      <c r="EC648" s="1399" t="e">
        <f t="shared" si="3"/>
        <v>#VALUE!</v>
      </c>
      <c r="ED648" s="1399"/>
      <c r="EE648" s="1399"/>
      <c r="EF648" s="1399"/>
      <c r="EG648" s="1399"/>
      <c r="EH648" s="1399" t="e">
        <f t="shared" si="4"/>
        <v>#VALUE!</v>
      </c>
      <c r="EI648" s="1399"/>
      <c r="EJ648" s="1399"/>
      <c r="EK648" s="1399"/>
      <c r="EL648" s="1399"/>
      <c r="EM648" s="1399" t="e">
        <f t="shared" si="5"/>
        <v>#VALUE!</v>
      </c>
      <c r="EN648" s="1399"/>
      <c r="EO648" s="1399"/>
      <c r="EP648" s="1399"/>
      <c r="EQ648" s="1399"/>
      <c r="ER648" s="1399" t="e">
        <f t="shared" si="6"/>
        <v>#VALUE!</v>
      </c>
      <c r="ES648" s="1399"/>
      <c r="ET648" s="1399"/>
      <c r="EU648" s="1399"/>
      <c r="EV648" s="1399"/>
      <c r="EW648" s="1399" t="e">
        <f t="shared" si="7"/>
        <v>#VALUE!</v>
      </c>
      <c r="EX648" s="1399"/>
      <c r="EY648" s="1399"/>
      <c r="EZ648" s="1399"/>
      <c r="FA648" s="1399"/>
    </row>
    <row r="649" spans="1:157" ht="12.95" customHeight="1">
      <c r="A649" s="22"/>
      <c r="B649" t="s">
        <v>20</v>
      </c>
      <c r="N649" s="1352" t="s">
        <v>544</v>
      </c>
      <c r="O649" s="1352"/>
      <c r="T649" s="22"/>
      <c r="U649" t="s">
        <v>20</v>
      </c>
      <c r="AG649" s="1352" t="s">
        <v>544</v>
      </c>
      <c r="AH649" s="1352"/>
      <c r="AZ649" s="34"/>
      <c r="BA649" s="34"/>
      <c r="BB649" s="34"/>
      <c r="BC649" s="34"/>
      <c r="BD649" s="34"/>
      <c r="BE649" s="34"/>
      <c r="BF649" s="34"/>
      <c r="BG649" s="34"/>
      <c r="BH649" s="34"/>
      <c r="BI649" s="34"/>
      <c r="BJ649" s="34"/>
      <c r="BK649" s="34"/>
      <c r="BL649" s="34"/>
      <c r="BM649" s="34"/>
      <c r="DX649" s="1399" t="e">
        <f t="shared" si="2"/>
        <v>#VALUE!</v>
      </c>
      <c r="DY649" s="1399"/>
      <c r="DZ649" s="1399"/>
      <c r="EA649" s="1399"/>
      <c r="EB649" s="1399"/>
      <c r="EC649" s="1399" t="e">
        <f t="shared" si="3"/>
        <v>#VALUE!</v>
      </c>
      <c r="ED649" s="1399"/>
      <c r="EE649" s="1399"/>
      <c r="EF649" s="1399"/>
      <c r="EG649" s="1399"/>
      <c r="EH649" s="1399" t="e">
        <f t="shared" si="4"/>
        <v>#VALUE!</v>
      </c>
      <c r="EI649" s="1399"/>
      <c r="EJ649" s="1399"/>
      <c r="EK649" s="1399"/>
      <c r="EL649" s="1399"/>
      <c r="EM649" s="1399" t="e">
        <f t="shared" si="5"/>
        <v>#VALUE!</v>
      </c>
      <c r="EN649" s="1399"/>
      <c r="EO649" s="1399"/>
      <c r="EP649" s="1399"/>
      <c r="EQ649" s="1399"/>
      <c r="ER649" s="1399" t="e">
        <f t="shared" si="6"/>
        <v>#VALUE!</v>
      </c>
      <c r="ES649" s="1399"/>
      <c r="ET649" s="1399"/>
      <c r="EU649" s="1399"/>
      <c r="EV649" s="1399"/>
      <c r="EW649" s="1399" t="e">
        <f t="shared" si="7"/>
        <v>#VALUE!</v>
      </c>
      <c r="EX649" s="1399"/>
      <c r="EY649" s="1399"/>
      <c r="EZ649" s="1399"/>
      <c r="FA649" s="1399"/>
    </row>
    <row r="650" spans="1:157" ht="12.95" customHeight="1">
      <c r="A650" s="22"/>
      <c r="T650" s="22"/>
      <c r="AZ650" s="34"/>
      <c r="BA650" s="34"/>
      <c r="BB650" s="34"/>
      <c r="BC650" s="34"/>
      <c r="BD650" s="34"/>
      <c r="BE650" s="34"/>
      <c r="BF650" s="34"/>
      <c r="BG650" s="34"/>
      <c r="BH650" s="34"/>
      <c r="BI650" s="34"/>
      <c r="BJ650" s="34"/>
      <c r="BK650" s="34"/>
      <c r="BL650" s="34"/>
      <c r="BM650" s="34"/>
      <c r="DX650" s="1399" t="e">
        <f t="shared" si="2"/>
        <v>#VALUE!</v>
      </c>
      <c r="DY650" s="1399"/>
      <c r="DZ650" s="1399"/>
      <c r="EA650" s="1399"/>
      <c r="EB650" s="1399"/>
      <c r="EC650" s="1399" t="e">
        <f t="shared" si="3"/>
        <v>#VALUE!</v>
      </c>
      <c r="ED650" s="1399"/>
      <c r="EE650" s="1399"/>
      <c r="EF650" s="1399"/>
      <c r="EG650" s="1399"/>
      <c r="EH650" s="1399" t="e">
        <f t="shared" si="4"/>
        <v>#VALUE!</v>
      </c>
      <c r="EI650" s="1399"/>
      <c r="EJ650" s="1399"/>
      <c r="EK650" s="1399"/>
      <c r="EL650" s="1399"/>
      <c r="EM650" s="1399" t="e">
        <f t="shared" si="5"/>
        <v>#VALUE!</v>
      </c>
      <c r="EN650" s="1399"/>
      <c r="EO650" s="1399"/>
      <c r="EP650" s="1399"/>
      <c r="EQ650" s="1399"/>
      <c r="ER650" s="1399" t="e">
        <f t="shared" si="6"/>
        <v>#VALUE!</v>
      </c>
      <c r="ES650" s="1399"/>
      <c r="ET650" s="1399"/>
      <c r="EU650" s="1399"/>
      <c r="EV650" s="1399"/>
      <c r="EW650" s="1399" t="e">
        <f t="shared" si="7"/>
        <v>#VALUE!</v>
      </c>
      <c r="EX650" s="1399"/>
      <c r="EY650" s="1399"/>
      <c r="EZ650" s="1399"/>
      <c r="FA650" s="1399"/>
    </row>
    <row r="651" spans="1:157" ht="12.95" customHeight="1">
      <c r="A651" s="55" t="s">
        <v>119</v>
      </c>
      <c r="B651" t="s">
        <v>462</v>
      </c>
      <c r="G651" s="1475">
        <f>C629</f>
        <v>0</v>
      </c>
      <c r="H651" s="1475"/>
      <c r="I651" s="1475"/>
      <c r="J651" s="1475"/>
      <c r="K651" s="1475"/>
      <c r="L651" s="1475"/>
      <c r="M651" s="1475"/>
      <c r="N651" s="1475"/>
      <c r="O651" s="1475"/>
      <c r="P651" s="1475"/>
      <c r="Q651" s="1475"/>
      <c r="R651" s="1475"/>
      <c r="T651" s="55" t="s">
        <v>580</v>
      </c>
      <c r="U651" t="s">
        <v>462</v>
      </c>
      <c r="Z651" s="1475">
        <f>C630</f>
        <v>0</v>
      </c>
      <c r="AA651" s="1475"/>
      <c r="AB651" s="1475"/>
      <c r="AC651" s="1475"/>
      <c r="AD651" s="1475"/>
      <c r="AE651" s="1475"/>
      <c r="AF651" s="1475"/>
      <c r="AG651" s="1475"/>
      <c r="AH651" s="1475"/>
      <c r="AI651" s="1475"/>
      <c r="AJ651" s="1475"/>
      <c r="AK651" s="1475"/>
      <c r="AZ651" s="34"/>
      <c r="BA651" s="34"/>
      <c r="BB651" s="34"/>
      <c r="BC651" s="34"/>
      <c r="BD651" s="34"/>
      <c r="BE651" s="34"/>
      <c r="BF651" s="34"/>
      <c r="BG651" s="34"/>
      <c r="BH651" s="34"/>
      <c r="BI651" s="34"/>
      <c r="BJ651" s="34"/>
      <c r="BK651" s="34"/>
      <c r="BL651" s="34"/>
      <c r="BM651" s="34"/>
      <c r="DX651" s="1399" t="e">
        <f t="shared" si="2"/>
        <v>#VALUE!</v>
      </c>
      <c r="DY651" s="1399"/>
      <c r="DZ651" s="1399"/>
      <c r="EA651" s="1399"/>
      <c r="EB651" s="1399"/>
      <c r="EC651" s="1399" t="e">
        <f t="shared" si="3"/>
        <v>#VALUE!</v>
      </c>
      <c r="ED651" s="1399"/>
      <c r="EE651" s="1399"/>
      <c r="EF651" s="1399"/>
      <c r="EG651" s="1399"/>
      <c r="EH651" s="1399" t="e">
        <f t="shared" si="4"/>
        <v>#VALUE!</v>
      </c>
      <c r="EI651" s="1399"/>
      <c r="EJ651" s="1399"/>
      <c r="EK651" s="1399"/>
      <c r="EL651" s="1399"/>
      <c r="EM651" s="1399" t="e">
        <f t="shared" si="5"/>
        <v>#VALUE!</v>
      </c>
      <c r="EN651" s="1399"/>
      <c r="EO651" s="1399"/>
      <c r="EP651" s="1399"/>
      <c r="EQ651" s="1399"/>
      <c r="ER651" s="1399" t="e">
        <f t="shared" si="6"/>
        <v>#VALUE!</v>
      </c>
      <c r="ES651" s="1399"/>
      <c r="ET651" s="1399"/>
      <c r="EU651" s="1399"/>
      <c r="EV651" s="1399"/>
      <c r="EW651" s="1399" t="e">
        <f t="shared" si="7"/>
        <v>#VALUE!</v>
      </c>
      <c r="EX651" s="1399"/>
      <c r="EY651" s="1399"/>
      <c r="EZ651" s="1399"/>
      <c r="FA651" s="1399"/>
    </row>
    <row r="652" spans="1:157" ht="12.95" customHeight="1">
      <c r="A652" s="22"/>
      <c r="B652" t="s">
        <v>85</v>
      </c>
      <c r="G652" s="1344"/>
      <c r="H652" s="1344"/>
      <c r="I652" s="1344"/>
      <c r="J652" s="1344"/>
      <c r="K652" s="1344"/>
      <c r="L652" s="1344"/>
      <c r="M652" s="1344"/>
      <c r="N652" s="1344"/>
      <c r="O652" s="1344"/>
      <c r="P652" s="1344"/>
      <c r="Q652" s="1344"/>
      <c r="R652" s="1344"/>
      <c r="T652" s="22"/>
      <c r="U652" t="s">
        <v>85</v>
      </c>
      <c r="Z652" s="1344"/>
      <c r="AA652" s="1344"/>
      <c r="AB652" s="1344"/>
      <c r="AC652" s="1344"/>
      <c r="AD652" s="1344"/>
      <c r="AE652" s="1344"/>
      <c r="AF652" s="1344"/>
      <c r="AG652" s="1344"/>
      <c r="AH652" s="1344"/>
      <c r="AI652" s="1344"/>
      <c r="AJ652" s="1344"/>
      <c r="AK652" s="1344"/>
      <c r="AZ652" s="34"/>
      <c r="BA652" s="34"/>
      <c r="BB652" s="34"/>
      <c r="BC652" s="34"/>
      <c r="BD652" s="34"/>
      <c r="BE652" s="34"/>
      <c r="BF652" s="34"/>
      <c r="BG652" s="34"/>
      <c r="BH652" s="34"/>
      <c r="BI652" s="34"/>
      <c r="BJ652" s="34"/>
      <c r="BK652" s="34"/>
      <c r="BL652" s="34"/>
      <c r="BM652" s="34"/>
      <c r="DX652" s="1399" t="e">
        <f t="shared" si="2"/>
        <v>#VALUE!</v>
      </c>
      <c r="DY652" s="1399"/>
      <c r="DZ652" s="1399"/>
      <c r="EA652" s="1399"/>
      <c r="EB652" s="1399"/>
      <c r="EC652" s="1399" t="e">
        <f t="shared" si="3"/>
        <v>#VALUE!</v>
      </c>
      <c r="ED652" s="1399"/>
      <c r="EE652" s="1399"/>
      <c r="EF652" s="1399"/>
      <c r="EG652" s="1399"/>
      <c r="EH652" s="1399" t="e">
        <f t="shared" si="4"/>
        <v>#VALUE!</v>
      </c>
      <c r="EI652" s="1399"/>
      <c r="EJ652" s="1399"/>
      <c r="EK652" s="1399"/>
      <c r="EL652" s="1399"/>
      <c r="EM652" s="1399" t="e">
        <f t="shared" si="5"/>
        <v>#VALUE!</v>
      </c>
      <c r="EN652" s="1399"/>
      <c r="EO652" s="1399"/>
      <c r="EP652" s="1399"/>
      <c r="EQ652" s="1399"/>
      <c r="ER652" s="1399" t="e">
        <f t="shared" si="6"/>
        <v>#VALUE!</v>
      </c>
      <c r="ES652" s="1399"/>
      <c r="ET652" s="1399"/>
      <c r="EU652" s="1399"/>
      <c r="EV652" s="1399"/>
      <c r="EW652" s="1399" t="e">
        <f t="shared" si="7"/>
        <v>#VALUE!</v>
      </c>
      <c r="EX652" s="1399"/>
      <c r="EY652" s="1399"/>
      <c r="EZ652" s="1399"/>
      <c r="FA652" s="1399"/>
    </row>
    <row r="653" spans="1:157" ht="12.95" customHeight="1">
      <c r="A653" s="22"/>
      <c r="B653" t="s">
        <v>579</v>
      </c>
      <c r="G653" s="1333"/>
      <c r="H653" s="1333"/>
      <c r="I653" s="1333"/>
      <c r="J653" s="1333"/>
      <c r="K653" s="1333"/>
      <c r="L653" s="1333"/>
      <c r="M653" s="1333"/>
      <c r="N653" s="1333"/>
      <c r="O653" s="1333"/>
      <c r="P653" s="1333"/>
      <c r="Q653" s="1333"/>
      <c r="R653" s="1333"/>
      <c r="T653" s="22"/>
      <c r="U653" t="s">
        <v>579</v>
      </c>
      <c r="Z653" s="1333"/>
      <c r="AA653" s="1333"/>
      <c r="AB653" s="1333"/>
      <c r="AC653" s="1333"/>
      <c r="AD653" s="1333"/>
      <c r="AE653" s="1333"/>
      <c r="AF653" s="1333"/>
      <c r="AG653" s="1333"/>
      <c r="AH653" s="1333"/>
      <c r="AI653" s="1333"/>
      <c r="AJ653" s="1333"/>
      <c r="AK653" s="1333"/>
      <c r="AZ653" s="34"/>
      <c r="BA653" s="34"/>
      <c r="BB653" s="34"/>
      <c r="BC653" s="34"/>
      <c r="BD653" s="34"/>
      <c r="BE653" s="34"/>
      <c r="BF653" s="34"/>
      <c r="BG653" s="34"/>
      <c r="BH653" s="34"/>
      <c r="BI653" s="34"/>
      <c r="BJ653" s="34"/>
      <c r="BK653" s="34"/>
      <c r="BL653" s="34"/>
      <c r="BM653" s="34"/>
      <c r="DX653" s="1399" t="e">
        <f t="shared" si="2"/>
        <v>#VALUE!</v>
      </c>
      <c r="DY653" s="1399"/>
      <c r="DZ653" s="1399"/>
      <c r="EA653" s="1399"/>
      <c r="EB653" s="1399"/>
      <c r="EC653" s="1399" t="e">
        <f t="shared" si="3"/>
        <v>#VALUE!</v>
      </c>
      <c r="ED653" s="1399"/>
      <c r="EE653" s="1399"/>
      <c r="EF653" s="1399"/>
      <c r="EG653" s="1399"/>
      <c r="EH653" s="1399" t="e">
        <f t="shared" si="4"/>
        <v>#VALUE!</v>
      </c>
      <c r="EI653" s="1399"/>
      <c r="EJ653" s="1399"/>
      <c r="EK653" s="1399"/>
      <c r="EL653" s="1399"/>
      <c r="EM653" s="1399" t="e">
        <f t="shared" si="5"/>
        <v>#VALUE!</v>
      </c>
      <c r="EN653" s="1399"/>
      <c r="EO653" s="1399"/>
      <c r="EP653" s="1399"/>
      <c r="EQ653" s="1399"/>
      <c r="ER653" s="1399" t="e">
        <f t="shared" si="6"/>
        <v>#VALUE!</v>
      </c>
      <c r="ES653" s="1399"/>
      <c r="ET653" s="1399"/>
      <c r="EU653" s="1399"/>
      <c r="EV653" s="1399"/>
      <c r="EW653" s="1399" t="e">
        <f t="shared" si="7"/>
        <v>#VALUE!</v>
      </c>
      <c r="EX653" s="1399"/>
      <c r="EY653" s="1399"/>
      <c r="EZ653" s="1399"/>
      <c r="FA653" s="1399"/>
    </row>
    <row r="654" spans="1:157" ht="12.95" customHeight="1">
      <c r="A654" s="22"/>
      <c r="B654" t="s">
        <v>17</v>
      </c>
      <c r="G654" s="1333"/>
      <c r="H654" s="1333"/>
      <c r="I654" s="1333"/>
      <c r="J654" s="1333"/>
      <c r="K654" s="1333"/>
      <c r="L654" s="1333"/>
      <c r="M654" s="1333"/>
      <c r="N654" s="1333"/>
      <c r="O654" s="1333"/>
      <c r="P654" s="1333"/>
      <c r="Q654" s="1333"/>
      <c r="R654" s="1333"/>
      <c r="T654" s="22"/>
      <c r="U654" t="s">
        <v>17</v>
      </c>
      <c r="Z654" s="1333"/>
      <c r="AA654" s="1333"/>
      <c r="AB654" s="1333"/>
      <c r="AC654" s="1333"/>
      <c r="AD654" s="1333"/>
      <c r="AE654" s="1333"/>
      <c r="AF654" s="1333"/>
      <c r="AG654" s="1333"/>
      <c r="AH654" s="1333"/>
      <c r="AI654" s="1333"/>
      <c r="AJ654" s="1333"/>
      <c r="AK654" s="1333"/>
      <c r="AZ654" s="34"/>
      <c r="BA654" s="34"/>
      <c r="BB654" s="34"/>
      <c r="BC654" s="34"/>
      <c r="BD654" s="34"/>
      <c r="BE654" s="34"/>
      <c r="BF654" s="34"/>
      <c r="BG654" s="34"/>
      <c r="BH654" s="34"/>
      <c r="BI654" s="34"/>
      <c r="BJ654" s="34"/>
      <c r="BK654" s="34"/>
      <c r="BL654" s="34"/>
      <c r="BM654" s="34"/>
      <c r="DX654" s="1399" t="e">
        <f t="shared" si="2"/>
        <v>#VALUE!</v>
      </c>
      <c r="DY654" s="1399"/>
      <c r="DZ654" s="1399"/>
      <c r="EA654" s="1399"/>
      <c r="EB654" s="1399"/>
      <c r="EC654" s="1399" t="e">
        <f t="shared" si="3"/>
        <v>#VALUE!</v>
      </c>
      <c r="ED654" s="1399"/>
      <c r="EE654" s="1399"/>
      <c r="EF654" s="1399"/>
      <c r="EG654" s="1399"/>
      <c r="EH654" s="1399" t="e">
        <f t="shared" si="4"/>
        <v>#VALUE!</v>
      </c>
      <c r="EI654" s="1399"/>
      <c r="EJ654" s="1399"/>
      <c r="EK654" s="1399"/>
      <c r="EL654" s="1399"/>
      <c r="EM654" s="1399" t="e">
        <f t="shared" si="5"/>
        <v>#VALUE!</v>
      </c>
      <c r="EN654" s="1399"/>
      <c r="EO654" s="1399"/>
      <c r="EP654" s="1399"/>
      <c r="EQ654" s="1399"/>
      <c r="ER654" s="1399" t="e">
        <f t="shared" si="6"/>
        <v>#VALUE!</v>
      </c>
      <c r="ES654" s="1399"/>
      <c r="ET654" s="1399"/>
      <c r="EU654" s="1399"/>
      <c r="EV654" s="1399"/>
      <c r="EW654" s="1399" t="e">
        <f t="shared" si="7"/>
        <v>#VALUE!</v>
      </c>
      <c r="EX654" s="1399"/>
      <c r="EY654" s="1399"/>
      <c r="EZ654" s="1399"/>
      <c r="FA654" s="1399"/>
    </row>
    <row r="655" spans="1:157" ht="12.95" customHeight="1">
      <c r="A655" s="22"/>
      <c r="B655" t="s">
        <v>315</v>
      </c>
      <c r="G655" s="1479"/>
      <c r="H655" s="1479"/>
      <c r="I655" s="1479"/>
      <c r="J655" s="1479"/>
      <c r="K655" s="1479"/>
      <c r="L655" s="1479"/>
      <c r="O655" s="33" t="s">
        <v>205</v>
      </c>
      <c r="P655" s="1448"/>
      <c r="Q655" s="1448"/>
      <c r="R655" s="1448"/>
      <c r="T655" s="22"/>
      <c r="U655" t="s">
        <v>315</v>
      </c>
      <c r="Z655" s="1479"/>
      <c r="AA655" s="1479"/>
      <c r="AB655" s="1479"/>
      <c r="AC655" s="1479"/>
      <c r="AD655" s="1479"/>
      <c r="AE655" s="1479"/>
      <c r="AH655" s="33" t="s">
        <v>205</v>
      </c>
      <c r="AI655" s="1448"/>
      <c r="AJ655" s="1448"/>
      <c r="AK655" s="1448"/>
      <c r="AZ655" s="34"/>
      <c r="BA655" s="34"/>
      <c r="BB655" s="34"/>
      <c r="BC655" s="34"/>
      <c r="BD655" s="34"/>
      <c r="BE655" s="34"/>
      <c r="BF655" s="34"/>
      <c r="BG655" s="34"/>
      <c r="BH655" s="34"/>
      <c r="BI655" s="34"/>
      <c r="BJ655" s="34"/>
      <c r="BK655" s="34"/>
      <c r="BL655" s="34"/>
      <c r="BM655" s="34"/>
      <c r="DX655" s="1399" t="e">
        <f t="shared" si="2"/>
        <v>#VALUE!</v>
      </c>
      <c r="DY655" s="1399"/>
      <c r="DZ655" s="1399"/>
      <c r="EA655" s="1399"/>
      <c r="EB655" s="1399"/>
      <c r="EC655" s="1399" t="e">
        <f t="shared" si="3"/>
        <v>#VALUE!</v>
      </c>
      <c r="ED655" s="1399"/>
      <c r="EE655" s="1399"/>
      <c r="EF655" s="1399"/>
      <c r="EG655" s="1399"/>
      <c r="EH655" s="1399" t="e">
        <f t="shared" si="4"/>
        <v>#VALUE!</v>
      </c>
      <c r="EI655" s="1399"/>
      <c r="EJ655" s="1399"/>
      <c r="EK655" s="1399"/>
      <c r="EL655" s="1399"/>
      <c r="EM655" s="1399" t="e">
        <f t="shared" si="5"/>
        <v>#VALUE!</v>
      </c>
      <c r="EN655" s="1399"/>
      <c r="EO655" s="1399"/>
      <c r="EP655" s="1399"/>
      <c r="EQ655" s="1399"/>
      <c r="ER655" s="1399" t="e">
        <f t="shared" si="6"/>
        <v>#VALUE!</v>
      </c>
      <c r="ES655" s="1399"/>
      <c r="ET655" s="1399"/>
      <c r="EU655" s="1399"/>
      <c r="EV655" s="1399"/>
      <c r="EW655" s="1399" t="e">
        <f t="shared" si="7"/>
        <v>#VALUE!</v>
      </c>
      <c r="EX655" s="1399"/>
      <c r="EY655" s="1399"/>
      <c r="EZ655" s="1399"/>
      <c r="FA655" s="1399"/>
    </row>
    <row r="656" spans="1:157" ht="12.95" customHeight="1">
      <c r="A656" s="22"/>
      <c r="B656" t="s">
        <v>18</v>
      </c>
      <c r="H656" s="1344"/>
      <c r="I656" s="1344"/>
      <c r="J656" s="1344"/>
      <c r="K656" s="1344"/>
      <c r="L656" s="1344"/>
      <c r="M656" s="1344"/>
      <c r="N656" s="1344"/>
      <c r="O656" s="1344"/>
      <c r="P656" s="1344"/>
      <c r="Q656" s="1344"/>
      <c r="R656" s="1344"/>
      <c r="T656" s="22"/>
      <c r="U656" t="s">
        <v>18</v>
      </c>
      <c r="AA656" s="1344"/>
      <c r="AB656" s="1344"/>
      <c r="AC656" s="1344"/>
      <c r="AD656" s="1344"/>
      <c r="AE656" s="1344"/>
      <c r="AF656" s="1344"/>
      <c r="AG656" s="1344"/>
      <c r="AH656" s="1344"/>
      <c r="AI656" s="1344"/>
      <c r="AJ656" s="1344"/>
      <c r="AK656" s="1344"/>
      <c r="AZ656" s="34"/>
      <c r="BA656" s="34"/>
      <c r="BB656" s="34"/>
      <c r="BC656" s="34"/>
      <c r="BD656" s="34"/>
      <c r="BE656" s="34"/>
      <c r="BF656" s="34"/>
      <c r="BG656" s="34"/>
      <c r="BH656" s="34"/>
      <c r="BI656" s="34"/>
      <c r="BJ656" s="34"/>
      <c r="BK656" s="34"/>
      <c r="BL656" s="34"/>
      <c r="BM656" s="34"/>
      <c r="DX656" s="1399" t="e">
        <f t="shared" si="2"/>
        <v>#VALUE!</v>
      </c>
      <c r="DY656" s="1399"/>
      <c r="DZ656" s="1399"/>
      <c r="EA656" s="1399"/>
      <c r="EB656" s="1399"/>
      <c r="EC656" s="1399" t="e">
        <f t="shared" si="3"/>
        <v>#VALUE!</v>
      </c>
      <c r="ED656" s="1399"/>
      <c r="EE656" s="1399"/>
      <c r="EF656" s="1399"/>
      <c r="EG656" s="1399"/>
      <c r="EH656" s="1399" t="e">
        <f t="shared" si="4"/>
        <v>#VALUE!</v>
      </c>
      <c r="EI656" s="1399"/>
      <c r="EJ656" s="1399"/>
      <c r="EK656" s="1399"/>
      <c r="EL656" s="1399"/>
      <c r="EM656" s="1399" t="e">
        <f t="shared" si="5"/>
        <v>#VALUE!</v>
      </c>
      <c r="EN656" s="1399"/>
      <c r="EO656" s="1399"/>
      <c r="EP656" s="1399"/>
      <c r="EQ656" s="1399"/>
      <c r="ER656" s="1399" t="e">
        <f t="shared" si="6"/>
        <v>#VALUE!</v>
      </c>
      <c r="ES656" s="1399"/>
      <c r="ET656" s="1399"/>
      <c r="EU656" s="1399"/>
      <c r="EV656" s="1399"/>
      <c r="EW656" s="1399" t="e">
        <f t="shared" si="7"/>
        <v>#VALUE!</v>
      </c>
      <c r="EX656" s="1399"/>
      <c r="EY656" s="1399"/>
      <c r="EZ656" s="1399"/>
      <c r="FA656" s="1399"/>
    </row>
    <row r="657" spans="1:157" ht="12.95" customHeight="1">
      <c r="A657" s="22"/>
      <c r="B657" t="s">
        <v>20</v>
      </c>
      <c r="N657" s="1352" t="s">
        <v>668</v>
      </c>
      <c r="O657" s="1352"/>
      <c r="T657" s="22"/>
      <c r="U657" t="s">
        <v>20</v>
      </c>
      <c r="AG657" s="1352" t="s">
        <v>668</v>
      </c>
      <c r="AH657" s="1352"/>
      <c r="AZ657" s="34"/>
      <c r="BA657" s="34"/>
      <c r="BB657" s="34"/>
      <c r="BC657" s="34"/>
      <c r="BD657" s="34"/>
      <c r="BE657" s="34"/>
      <c r="BF657" s="34"/>
      <c r="BG657" s="34"/>
      <c r="BH657" s="34"/>
      <c r="BI657" s="34"/>
      <c r="BJ657" s="34"/>
      <c r="BK657" s="34"/>
      <c r="BL657" s="34"/>
      <c r="BM657" s="34"/>
      <c r="DX657" s="1399" t="e">
        <f t="shared" si="2"/>
        <v>#VALUE!</v>
      </c>
      <c r="DY657" s="1399"/>
      <c r="DZ657" s="1399"/>
      <c r="EA657" s="1399"/>
      <c r="EB657" s="1399"/>
      <c r="EC657" s="1399" t="e">
        <f t="shared" si="3"/>
        <v>#VALUE!</v>
      </c>
      <c r="ED657" s="1399"/>
      <c r="EE657" s="1399"/>
      <c r="EF657" s="1399"/>
      <c r="EG657" s="1399"/>
      <c r="EH657" s="1399" t="e">
        <f t="shared" si="4"/>
        <v>#VALUE!</v>
      </c>
      <c r="EI657" s="1399"/>
      <c r="EJ657" s="1399"/>
      <c r="EK657" s="1399"/>
      <c r="EL657" s="1399"/>
      <c r="EM657" s="1399" t="e">
        <f t="shared" si="5"/>
        <v>#VALUE!</v>
      </c>
      <c r="EN657" s="1399"/>
      <c r="EO657" s="1399"/>
      <c r="EP657" s="1399"/>
      <c r="EQ657" s="1399"/>
      <c r="ER657" s="1399" t="e">
        <f t="shared" si="6"/>
        <v>#VALUE!</v>
      </c>
      <c r="ES657" s="1399"/>
      <c r="ET657" s="1399"/>
      <c r="EU657" s="1399"/>
      <c r="EV657" s="1399"/>
      <c r="EW657" s="1399" t="e">
        <f t="shared" si="7"/>
        <v>#VALUE!</v>
      </c>
      <c r="EX657" s="1399"/>
      <c r="EY657" s="1399"/>
      <c r="EZ657" s="1399"/>
      <c r="FA657" s="1399"/>
    </row>
    <row r="658" spans="1:157" ht="12.95" customHeight="1">
      <c r="A658" s="22"/>
      <c r="T658" s="22"/>
      <c r="AZ658" s="34"/>
      <c r="BA658" s="34"/>
      <c r="BB658" s="34"/>
      <c r="BC658" s="34"/>
      <c r="BD658" s="34"/>
      <c r="BE658" s="34"/>
      <c r="BF658" s="34"/>
      <c r="BG658" s="34"/>
      <c r="BH658" s="34"/>
      <c r="BI658" s="34"/>
      <c r="BJ658" s="34"/>
      <c r="BK658" s="34"/>
      <c r="BL658" s="34"/>
      <c r="BM658" s="34"/>
      <c r="DX658" s="1399" t="e">
        <f t="shared" si="2"/>
        <v>#VALUE!</v>
      </c>
      <c r="DY658" s="1399"/>
      <c r="DZ658" s="1399"/>
      <c r="EA658" s="1399"/>
      <c r="EB658" s="1399"/>
      <c r="EC658" s="1399" t="e">
        <f t="shared" si="3"/>
        <v>#VALUE!</v>
      </c>
      <c r="ED658" s="1399"/>
      <c r="EE658" s="1399"/>
      <c r="EF658" s="1399"/>
      <c r="EG658" s="1399"/>
      <c r="EH658" s="1399" t="e">
        <f t="shared" si="4"/>
        <v>#VALUE!</v>
      </c>
      <c r="EI658" s="1399"/>
      <c r="EJ658" s="1399"/>
      <c r="EK658" s="1399"/>
      <c r="EL658" s="1399"/>
      <c r="EM658" s="1399" t="e">
        <f t="shared" si="5"/>
        <v>#VALUE!</v>
      </c>
      <c r="EN658" s="1399"/>
      <c r="EO658" s="1399"/>
      <c r="EP658" s="1399"/>
      <c r="EQ658" s="1399"/>
      <c r="ER658" s="1399" t="e">
        <f t="shared" si="6"/>
        <v>#VALUE!</v>
      </c>
      <c r="ES658" s="1399"/>
      <c r="ET658" s="1399"/>
      <c r="EU658" s="1399"/>
      <c r="EV658" s="1399"/>
      <c r="EW658" s="1399" t="e">
        <f t="shared" si="7"/>
        <v>#VALUE!</v>
      </c>
      <c r="EX658" s="1399"/>
      <c r="EY658" s="1399"/>
      <c r="EZ658" s="1399"/>
      <c r="FA658" s="1399"/>
    </row>
    <row r="659" spans="1:157" ht="12.95" customHeight="1">
      <c r="A659" s="55" t="s">
        <v>762</v>
      </c>
      <c r="B659" t="s">
        <v>462</v>
      </c>
      <c r="G659" s="1475">
        <f>C631</f>
        <v>0</v>
      </c>
      <c r="H659" s="1475"/>
      <c r="I659" s="1475"/>
      <c r="J659" s="1475"/>
      <c r="K659" s="1475"/>
      <c r="L659" s="1475"/>
      <c r="M659" s="1475"/>
      <c r="N659" s="1475"/>
      <c r="O659" s="1475"/>
      <c r="P659" s="1475"/>
      <c r="Q659" s="1475"/>
      <c r="R659" s="1475"/>
      <c r="T659" s="55" t="s">
        <v>583</v>
      </c>
      <c r="U659" t="s">
        <v>462</v>
      </c>
      <c r="Z659" s="1475">
        <f>C632</f>
        <v>0</v>
      </c>
      <c r="AA659" s="1475"/>
      <c r="AB659" s="1475"/>
      <c r="AC659" s="1475"/>
      <c r="AD659" s="1475"/>
      <c r="AE659" s="1475"/>
      <c r="AF659" s="1475"/>
      <c r="AG659" s="1475"/>
      <c r="AH659" s="1475"/>
      <c r="AI659" s="1475"/>
      <c r="AJ659" s="1475"/>
      <c r="AK659" s="1475"/>
      <c r="AZ659" s="34"/>
      <c r="BA659" s="34"/>
      <c r="BB659" s="34"/>
      <c r="BC659" s="34"/>
      <c r="BD659" s="34"/>
      <c r="BE659" s="34"/>
      <c r="BF659" s="34"/>
      <c r="BG659" s="34"/>
      <c r="BH659" s="34"/>
      <c r="BI659" s="34"/>
      <c r="BJ659" s="34"/>
      <c r="BK659" s="34"/>
      <c r="BL659" s="34"/>
      <c r="BM659" s="34"/>
      <c r="DX659" s="1399" t="e">
        <f t="shared" si="2"/>
        <v>#VALUE!</v>
      </c>
      <c r="DY659" s="1399"/>
      <c r="DZ659" s="1399"/>
      <c r="EA659" s="1399"/>
      <c r="EB659" s="1399"/>
      <c r="EC659" s="1399" t="e">
        <f t="shared" si="3"/>
        <v>#VALUE!</v>
      </c>
      <c r="ED659" s="1399"/>
      <c r="EE659" s="1399"/>
      <c r="EF659" s="1399"/>
      <c r="EG659" s="1399"/>
      <c r="EH659" s="1399" t="e">
        <f t="shared" si="4"/>
        <v>#VALUE!</v>
      </c>
      <c r="EI659" s="1399"/>
      <c r="EJ659" s="1399"/>
      <c r="EK659" s="1399"/>
      <c r="EL659" s="1399"/>
      <c r="EM659" s="1399" t="e">
        <f t="shared" si="5"/>
        <v>#VALUE!</v>
      </c>
      <c r="EN659" s="1399"/>
      <c r="EO659" s="1399"/>
      <c r="EP659" s="1399"/>
      <c r="EQ659" s="1399"/>
      <c r="ER659" s="1399" t="e">
        <f t="shared" si="6"/>
        <v>#VALUE!</v>
      </c>
      <c r="ES659" s="1399"/>
      <c r="ET659" s="1399"/>
      <c r="EU659" s="1399"/>
      <c r="EV659" s="1399"/>
      <c r="EW659" s="1399" t="e">
        <f t="shared" si="7"/>
        <v>#VALUE!</v>
      </c>
      <c r="EX659" s="1399"/>
      <c r="EY659" s="1399"/>
      <c r="EZ659" s="1399"/>
      <c r="FA659" s="1399"/>
    </row>
    <row r="660" spans="1:157" ht="12.95" customHeight="1">
      <c r="A660" s="22"/>
      <c r="B660" t="s">
        <v>85</v>
      </c>
      <c r="G660" s="1344"/>
      <c r="H660" s="1344"/>
      <c r="I660" s="1344"/>
      <c r="J660" s="1344"/>
      <c r="K660" s="1344"/>
      <c r="L660" s="1344"/>
      <c r="M660" s="1344"/>
      <c r="N660" s="1344"/>
      <c r="O660" s="1344"/>
      <c r="P660" s="1344"/>
      <c r="Q660" s="1344"/>
      <c r="R660" s="1344"/>
      <c r="T660" s="22"/>
      <c r="U660" t="s">
        <v>85</v>
      </c>
      <c r="Z660" s="1344"/>
      <c r="AA660" s="1344"/>
      <c r="AB660" s="1344"/>
      <c r="AC660" s="1344"/>
      <c r="AD660" s="1344"/>
      <c r="AE660" s="1344"/>
      <c r="AF660" s="1344"/>
      <c r="AG660" s="1344"/>
      <c r="AH660" s="1344"/>
      <c r="AI660" s="1344"/>
      <c r="AJ660" s="1344"/>
      <c r="AK660" s="1344"/>
      <c r="AZ660" s="34"/>
      <c r="BA660" s="34"/>
      <c r="BB660" s="34"/>
      <c r="BC660" s="34"/>
      <c r="BD660" s="34"/>
      <c r="BE660" s="34"/>
      <c r="BF660" s="34"/>
      <c r="BG660" s="34"/>
      <c r="BH660" s="34"/>
      <c r="BI660" s="34"/>
      <c r="BJ660" s="34"/>
      <c r="BK660" s="34"/>
      <c r="BL660" s="34"/>
      <c r="BM660" s="34"/>
      <c r="DX660" s="1399" t="e">
        <f t="shared" si="2"/>
        <v>#VALUE!</v>
      </c>
      <c r="DY660" s="1399"/>
      <c r="DZ660" s="1399"/>
      <c r="EA660" s="1399"/>
      <c r="EB660" s="1399"/>
      <c r="EC660" s="1399" t="e">
        <f t="shared" si="3"/>
        <v>#VALUE!</v>
      </c>
      <c r="ED660" s="1399"/>
      <c r="EE660" s="1399"/>
      <c r="EF660" s="1399"/>
      <c r="EG660" s="1399"/>
      <c r="EH660" s="1399" t="e">
        <f t="shared" si="4"/>
        <v>#VALUE!</v>
      </c>
      <c r="EI660" s="1399"/>
      <c r="EJ660" s="1399"/>
      <c r="EK660" s="1399"/>
      <c r="EL660" s="1399"/>
      <c r="EM660" s="1399" t="e">
        <f t="shared" si="5"/>
        <v>#VALUE!</v>
      </c>
      <c r="EN660" s="1399"/>
      <c r="EO660" s="1399"/>
      <c r="EP660" s="1399"/>
      <c r="EQ660" s="1399"/>
      <c r="ER660" s="1399" t="e">
        <f t="shared" si="6"/>
        <v>#VALUE!</v>
      </c>
      <c r="ES660" s="1399"/>
      <c r="ET660" s="1399"/>
      <c r="EU660" s="1399"/>
      <c r="EV660" s="1399"/>
      <c r="EW660" s="1399" t="e">
        <f t="shared" si="7"/>
        <v>#VALUE!</v>
      </c>
      <c r="EX660" s="1399"/>
      <c r="EY660" s="1399"/>
      <c r="EZ660" s="1399"/>
      <c r="FA660" s="1399"/>
    </row>
    <row r="661" spans="1:157" ht="12.95" customHeight="1">
      <c r="A661" s="22"/>
      <c r="B661" t="s">
        <v>579</v>
      </c>
      <c r="G661" s="1344"/>
      <c r="H661" s="1344"/>
      <c r="I661" s="1344"/>
      <c r="J661" s="1344"/>
      <c r="K661" s="1344"/>
      <c r="L661" s="1344"/>
      <c r="M661" s="1344"/>
      <c r="N661" s="1344"/>
      <c r="O661" s="1344"/>
      <c r="P661" s="1344"/>
      <c r="Q661" s="1344"/>
      <c r="R661" s="1344"/>
      <c r="T661" s="22"/>
      <c r="U661" t="s">
        <v>579</v>
      </c>
      <c r="Z661" s="1333"/>
      <c r="AA661" s="1333"/>
      <c r="AB661" s="1333"/>
      <c r="AC661" s="1333"/>
      <c r="AD661" s="1333"/>
      <c r="AE661" s="1333"/>
      <c r="AF661" s="1333"/>
      <c r="AG661" s="1333"/>
      <c r="AH661" s="1333"/>
      <c r="AI661" s="1333"/>
      <c r="AJ661" s="1333"/>
      <c r="AK661" s="1333"/>
      <c r="AZ661" s="34"/>
      <c r="BA661" s="34"/>
      <c r="BB661" s="34"/>
      <c r="BC661" s="34"/>
      <c r="BD661" s="34"/>
      <c r="BE661" s="34"/>
      <c r="BF661" s="34"/>
      <c r="BG661" s="34"/>
      <c r="BH661" s="34"/>
      <c r="BI661" s="34"/>
      <c r="BJ661" s="34"/>
      <c r="BK661" s="34"/>
      <c r="BL661" s="34"/>
      <c r="BM661" s="34"/>
      <c r="DX661" s="1399" t="e">
        <f t="shared" si="2"/>
        <v>#VALUE!</v>
      </c>
      <c r="DY661" s="1399"/>
      <c r="DZ661" s="1399"/>
      <c r="EA661" s="1399"/>
      <c r="EB661" s="1399"/>
      <c r="EC661" s="1399" t="e">
        <f t="shared" si="3"/>
        <v>#VALUE!</v>
      </c>
      <c r="ED661" s="1399"/>
      <c r="EE661" s="1399"/>
      <c r="EF661" s="1399"/>
      <c r="EG661" s="1399"/>
      <c r="EH661" s="1399" t="e">
        <f t="shared" si="4"/>
        <v>#VALUE!</v>
      </c>
      <c r="EI661" s="1399"/>
      <c r="EJ661" s="1399"/>
      <c r="EK661" s="1399"/>
      <c r="EL661" s="1399"/>
      <c r="EM661" s="1399" t="e">
        <f t="shared" si="5"/>
        <v>#VALUE!</v>
      </c>
      <c r="EN661" s="1399"/>
      <c r="EO661" s="1399"/>
      <c r="EP661" s="1399"/>
      <c r="EQ661" s="1399"/>
      <c r="ER661" s="1399" t="e">
        <f t="shared" si="6"/>
        <v>#VALUE!</v>
      </c>
      <c r="ES661" s="1399"/>
      <c r="ET661" s="1399"/>
      <c r="EU661" s="1399"/>
      <c r="EV661" s="1399"/>
      <c r="EW661" s="1399" t="e">
        <f t="shared" si="7"/>
        <v>#VALUE!</v>
      </c>
      <c r="EX661" s="1399"/>
      <c r="EY661" s="1399"/>
      <c r="EZ661" s="1399"/>
      <c r="FA661" s="1399"/>
    </row>
    <row r="662" spans="1:157" ht="12.95" customHeight="1">
      <c r="A662" s="22"/>
      <c r="B662" t="s">
        <v>17</v>
      </c>
      <c r="G662" s="1344"/>
      <c r="H662" s="1344"/>
      <c r="I662" s="1344"/>
      <c r="J662" s="1344"/>
      <c r="K662" s="1344"/>
      <c r="L662" s="1344"/>
      <c r="M662" s="1344"/>
      <c r="N662" s="1344"/>
      <c r="O662" s="1344"/>
      <c r="P662" s="1344"/>
      <c r="Q662" s="1344"/>
      <c r="R662" s="1344"/>
      <c r="T662" s="22"/>
      <c r="U662" t="s">
        <v>17</v>
      </c>
      <c r="Z662" s="1333"/>
      <c r="AA662" s="1333"/>
      <c r="AB662" s="1333"/>
      <c r="AC662" s="1333"/>
      <c r="AD662" s="1333"/>
      <c r="AE662" s="1333"/>
      <c r="AF662" s="1333"/>
      <c r="AG662" s="1333"/>
      <c r="AH662" s="1333"/>
      <c r="AI662" s="1333"/>
      <c r="AJ662" s="1333"/>
      <c r="AK662" s="133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99" t="e">
        <f t="shared" si="2"/>
        <v>#VALUE!</v>
      </c>
      <c r="DY662" s="1399"/>
      <c r="DZ662" s="1399"/>
      <c r="EA662" s="1399"/>
      <c r="EB662" s="1399"/>
      <c r="EC662" s="1399" t="e">
        <f t="shared" si="3"/>
        <v>#VALUE!</v>
      </c>
      <c r="ED662" s="1399"/>
      <c r="EE662" s="1399"/>
      <c r="EF662" s="1399"/>
      <c r="EG662" s="1399"/>
      <c r="EH662" s="1399" t="e">
        <f t="shared" si="4"/>
        <v>#VALUE!</v>
      </c>
      <c r="EI662" s="1399"/>
      <c r="EJ662" s="1399"/>
      <c r="EK662" s="1399"/>
      <c r="EL662" s="1399"/>
      <c r="EM662" s="1399" t="e">
        <f t="shared" si="5"/>
        <v>#VALUE!</v>
      </c>
      <c r="EN662" s="1399"/>
      <c r="EO662" s="1399"/>
      <c r="EP662" s="1399"/>
      <c r="EQ662" s="1399"/>
      <c r="ER662" s="1399" t="e">
        <f t="shared" si="6"/>
        <v>#VALUE!</v>
      </c>
      <c r="ES662" s="1399"/>
      <c r="ET662" s="1399"/>
      <c r="EU662" s="1399"/>
      <c r="EV662" s="1399"/>
      <c r="EW662" s="1399" t="e">
        <f t="shared" si="7"/>
        <v>#VALUE!</v>
      </c>
      <c r="EX662" s="1399"/>
      <c r="EY662" s="1399"/>
      <c r="EZ662" s="1399"/>
      <c r="FA662" s="1399"/>
    </row>
    <row r="663" spans="1:157" ht="12.95" customHeight="1">
      <c r="A663" s="22"/>
      <c r="B663" t="s">
        <v>315</v>
      </c>
      <c r="G663" s="1479"/>
      <c r="H663" s="1479"/>
      <c r="I663" s="1479"/>
      <c r="J663" s="1479"/>
      <c r="K663" s="1479"/>
      <c r="L663" s="1479"/>
      <c r="O663" s="33" t="s">
        <v>205</v>
      </c>
      <c r="P663" s="1448"/>
      <c r="Q663" s="1448"/>
      <c r="R663" s="1448"/>
      <c r="T663" s="22"/>
      <c r="U663" t="s">
        <v>315</v>
      </c>
      <c r="Z663" s="1479"/>
      <c r="AA663" s="1479"/>
      <c r="AB663" s="1479"/>
      <c r="AC663" s="1479"/>
      <c r="AD663" s="1479"/>
      <c r="AE663" s="1479"/>
      <c r="AH663" s="33" t="s">
        <v>205</v>
      </c>
      <c r="AI663" s="1448"/>
      <c r="AJ663" s="1448"/>
      <c r="AK663" s="144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99" t="e">
        <f t="shared" si="2"/>
        <v>#VALUE!</v>
      </c>
      <c r="DY663" s="1399"/>
      <c r="DZ663" s="1399"/>
      <c r="EA663" s="1399"/>
      <c r="EB663" s="1399"/>
      <c r="EC663" s="1399" t="e">
        <f t="shared" si="3"/>
        <v>#VALUE!</v>
      </c>
      <c r="ED663" s="1399"/>
      <c r="EE663" s="1399"/>
      <c r="EF663" s="1399"/>
      <c r="EG663" s="1399"/>
      <c r="EH663" s="1399" t="e">
        <f t="shared" si="4"/>
        <v>#VALUE!</v>
      </c>
      <c r="EI663" s="1399"/>
      <c r="EJ663" s="1399"/>
      <c r="EK663" s="1399"/>
      <c r="EL663" s="1399"/>
      <c r="EM663" s="1399" t="e">
        <f t="shared" si="5"/>
        <v>#VALUE!</v>
      </c>
      <c r="EN663" s="1399"/>
      <c r="EO663" s="1399"/>
      <c r="EP663" s="1399"/>
      <c r="EQ663" s="1399"/>
      <c r="ER663" s="1399" t="e">
        <f t="shared" si="6"/>
        <v>#VALUE!</v>
      </c>
      <c r="ES663" s="1399"/>
      <c r="ET663" s="1399"/>
      <c r="EU663" s="1399"/>
      <c r="EV663" s="1399"/>
      <c r="EW663" s="1399" t="e">
        <f t="shared" si="7"/>
        <v>#VALUE!</v>
      </c>
      <c r="EX663" s="1399"/>
      <c r="EY663" s="1399"/>
      <c r="EZ663" s="1399"/>
      <c r="FA663" s="1399"/>
    </row>
    <row r="664" spans="1:157" ht="12.95" customHeight="1">
      <c r="A664" s="22"/>
      <c r="B664" t="s">
        <v>18</v>
      </c>
      <c r="H664" s="1344"/>
      <c r="I664" s="1344"/>
      <c r="J664" s="1344"/>
      <c r="K664" s="1344"/>
      <c r="L664" s="1344"/>
      <c r="M664" s="1344"/>
      <c r="N664" s="1344"/>
      <c r="O664" s="1344"/>
      <c r="P664" s="1344"/>
      <c r="Q664" s="1344"/>
      <c r="R664" s="1344"/>
      <c r="T664" s="22"/>
      <c r="U664" t="s">
        <v>18</v>
      </c>
      <c r="AA664" s="1344"/>
      <c r="AB664" s="1344"/>
      <c r="AC664" s="1344"/>
      <c r="AD664" s="1344"/>
      <c r="AE664" s="1344"/>
      <c r="AF664" s="1344"/>
      <c r="AG664" s="1344"/>
      <c r="AH664" s="1344"/>
      <c r="AI664" s="1344"/>
      <c r="AJ664" s="1344"/>
      <c r="AK664" s="134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99" t="e">
        <f t="shared" si="2"/>
        <v>#VALUE!</v>
      </c>
      <c r="DY664" s="1399"/>
      <c r="DZ664" s="1399"/>
      <c r="EA664" s="1399"/>
      <c r="EB664" s="1399"/>
      <c r="EC664" s="1399" t="e">
        <f t="shared" si="3"/>
        <v>#VALUE!</v>
      </c>
      <c r="ED664" s="1399"/>
      <c r="EE664" s="1399"/>
      <c r="EF664" s="1399"/>
      <c r="EG664" s="1399"/>
      <c r="EH664" s="1399" t="e">
        <f t="shared" si="4"/>
        <v>#VALUE!</v>
      </c>
      <c r="EI664" s="1399"/>
      <c r="EJ664" s="1399"/>
      <c r="EK664" s="1399"/>
      <c r="EL664" s="1399"/>
      <c r="EM664" s="1399" t="e">
        <f t="shared" si="5"/>
        <v>#VALUE!</v>
      </c>
      <c r="EN664" s="1399"/>
      <c r="EO664" s="1399"/>
      <c r="EP664" s="1399"/>
      <c r="EQ664" s="1399"/>
      <c r="ER664" s="1399" t="e">
        <f t="shared" si="6"/>
        <v>#VALUE!</v>
      </c>
      <c r="ES664" s="1399"/>
      <c r="ET664" s="1399"/>
      <c r="EU664" s="1399"/>
      <c r="EV664" s="1399"/>
      <c r="EW664" s="1399" t="e">
        <f t="shared" si="7"/>
        <v>#VALUE!</v>
      </c>
      <c r="EX664" s="1399"/>
      <c r="EY664" s="1399"/>
      <c r="EZ664" s="1399"/>
      <c r="FA664" s="1399"/>
    </row>
    <row r="665" spans="1:157" ht="12.95" customHeight="1">
      <c r="A665" s="22"/>
      <c r="B665" t="s">
        <v>20</v>
      </c>
      <c r="N665" s="1352" t="s">
        <v>668</v>
      </c>
      <c r="O665" s="1352"/>
      <c r="T665" s="22"/>
      <c r="U665" t="s">
        <v>20</v>
      </c>
      <c r="AG665" s="1352" t="s">
        <v>668</v>
      </c>
      <c r="AH665" s="135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99" t="e">
        <f t="shared" si="2"/>
        <v>#VALUE!</v>
      </c>
      <c r="DY665" s="1399"/>
      <c r="DZ665" s="1399"/>
      <c r="EA665" s="1399"/>
      <c r="EB665" s="1399"/>
      <c r="EC665" s="1399" t="e">
        <f t="shared" si="3"/>
        <v>#VALUE!</v>
      </c>
      <c r="ED665" s="1399"/>
      <c r="EE665" s="1399"/>
      <c r="EF665" s="1399"/>
      <c r="EG665" s="1399"/>
      <c r="EH665" s="1399" t="e">
        <f t="shared" si="4"/>
        <v>#VALUE!</v>
      </c>
      <c r="EI665" s="1399"/>
      <c r="EJ665" s="1399"/>
      <c r="EK665" s="1399"/>
      <c r="EL665" s="1399"/>
      <c r="EM665" s="1399" t="e">
        <f t="shared" si="5"/>
        <v>#VALUE!</v>
      </c>
      <c r="EN665" s="1399"/>
      <c r="EO665" s="1399"/>
      <c r="EP665" s="1399"/>
      <c r="EQ665" s="1399"/>
      <c r="ER665" s="1399" t="e">
        <f t="shared" si="6"/>
        <v>#VALUE!</v>
      </c>
      <c r="ES665" s="1399"/>
      <c r="ET665" s="1399"/>
      <c r="EU665" s="1399"/>
      <c r="EV665" s="1399"/>
      <c r="EW665" s="1399" t="e">
        <f t="shared" si="7"/>
        <v>#VALUE!</v>
      </c>
      <c r="EX665" s="1399"/>
      <c r="EY665" s="1399"/>
      <c r="EZ665" s="1399"/>
      <c r="FA665" s="1399"/>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99" t="e">
        <f t="shared" si="2"/>
        <v>#VALUE!</v>
      </c>
      <c r="DY666" s="1399"/>
      <c r="DZ666" s="1399"/>
      <c r="EA666" s="1399"/>
      <c r="EB666" s="1399"/>
      <c r="EC666" s="1399" t="e">
        <f t="shared" si="3"/>
        <v>#VALUE!</v>
      </c>
      <c r="ED666" s="1399"/>
      <c r="EE666" s="1399"/>
      <c r="EF666" s="1399"/>
      <c r="EG666" s="1399"/>
      <c r="EH666" s="1399" t="e">
        <f t="shared" si="4"/>
        <v>#VALUE!</v>
      </c>
      <c r="EI666" s="1399"/>
      <c r="EJ666" s="1399"/>
      <c r="EK666" s="1399"/>
      <c r="EL666" s="1399"/>
      <c r="EM666" s="1399" t="e">
        <f t="shared" si="5"/>
        <v>#VALUE!</v>
      </c>
      <c r="EN666" s="1399"/>
      <c r="EO666" s="1399"/>
      <c r="EP666" s="1399"/>
      <c r="EQ666" s="1399"/>
      <c r="ER666" s="1399" t="e">
        <f t="shared" si="6"/>
        <v>#VALUE!</v>
      </c>
      <c r="ES666" s="1399"/>
      <c r="ET666" s="1399"/>
      <c r="EU666" s="1399"/>
      <c r="EV666" s="1399"/>
      <c r="EW666" s="1399" t="e">
        <f t="shared" si="7"/>
        <v>#VALUE!</v>
      </c>
      <c r="EX666" s="1399"/>
      <c r="EY666" s="1399"/>
      <c r="EZ666" s="1399"/>
      <c r="FA666" s="1399"/>
    </row>
    <row r="667" spans="1:157" ht="12.95" customHeight="1">
      <c r="A667" s="55" t="s">
        <v>454</v>
      </c>
      <c r="B667" t="s">
        <v>462</v>
      </c>
      <c r="G667" s="1475">
        <f>C633</f>
        <v>0</v>
      </c>
      <c r="H667" s="1475"/>
      <c r="I667" s="1475"/>
      <c r="J667" s="1475"/>
      <c r="K667" s="1475"/>
      <c r="L667" s="1475"/>
      <c r="M667" s="1475"/>
      <c r="N667" s="1475"/>
      <c r="O667" s="1475"/>
      <c r="P667" s="1475"/>
      <c r="Q667" s="1475"/>
      <c r="R667" s="1475"/>
      <c r="T667" s="55" t="s">
        <v>455</v>
      </c>
      <c r="U667" t="s">
        <v>462</v>
      </c>
      <c r="Z667" s="1475">
        <f>C634</f>
        <v>0</v>
      </c>
      <c r="AA667" s="1475"/>
      <c r="AB667" s="1475"/>
      <c r="AC667" s="1475"/>
      <c r="AD667" s="1475"/>
      <c r="AE667" s="1475"/>
      <c r="AF667" s="1475"/>
      <c r="AG667" s="1475"/>
      <c r="AH667" s="1475"/>
      <c r="AI667" s="1475"/>
      <c r="AJ667" s="1475"/>
      <c r="AK667" s="1475"/>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99" t="e">
        <f t="shared" si="2"/>
        <v>#VALUE!</v>
      </c>
      <c r="DY667" s="1399"/>
      <c r="DZ667" s="1399"/>
      <c r="EA667" s="1399"/>
      <c r="EB667" s="1399"/>
      <c r="EC667" s="1399" t="e">
        <f t="shared" si="3"/>
        <v>#VALUE!</v>
      </c>
      <c r="ED667" s="1399"/>
      <c r="EE667" s="1399"/>
      <c r="EF667" s="1399"/>
      <c r="EG667" s="1399"/>
      <c r="EH667" s="1399" t="e">
        <f t="shared" si="4"/>
        <v>#VALUE!</v>
      </c>
      <c r="EI667" s="1399"/>
      <c r="EJ667" s="1399"/>
      <c r="EK667" s="1399"/>
      <c r="EL667" s="1399"/>
      <c r="EM667" s="1399" t="e">
        <f t="shared" si="5"/>
        <v>#VALUE!</v>
      </c>
      <c r="EN667" s="1399"/>
      <c r="EO667" s="1399"/>
      <c r="EP667" s="1399"/>
      <c r="EQ667" s="1399"/>
      <c r="ER667" s="1399" t="e">
        <f t="shared" si="6"/>
        <v>#VALUE!</v>
      </c>
      <c r="ES667" s="1399"/>
      <c r="ET667" s="1399"/>
      <c r="EU667" s="1399"/>
      <c r="EV667" s="1399"/>
      <c r="EW667" s="1399" t="e">
        <f t="shared" si="7"/>
        <v>#VALUE!</v>
      </c>
      <c r="EX667" s="1399"/>
      <c r="EY667" s="1399"/>
      <c r="EZ667" s="1399"/>
      <c r="FA667" s="1399"/>
    </row>
    <row r="668" spans="1:157" ht="12.95" customHeight="1">
      <c r="A668" s="22"/>
      <c r="B668" t="s">
        <v>85</v>
      </c>
      <c r="G668" s="1344"/>
      <c r="H668" s="1344"/>
      <c r="I668" s="1344"/>
      <c r="J668" s="1344"/>
      <c r="K668" s="1344"/>
      <c r="L668" s="1344"/>
      <c r="M668" s="1344"/>
      <c r="N668" s="1344"/>
      <c r="O668" s="1344"/>
      <c r="P668" s="1344"/>
      <c r="Q668" s="1344"/>
      <c r="R668" s="1344"/>
      <c r="T668" s="22"/>
      <c r="U668" t="s">
        <v>85</v>
      </c>
      <c r="Z668" s="1344"/>
      <c r="AA668" s="1344"/>
      <c r="AB668" s="1344"/>
      <c r="AC668" s="1344"/>
      <c r="AD668" s="1344"/>
      <c r="AE668" s="1344"/>
      <c r="AF668" s="1344"/>
      <c r="AG668" s="1344"/>
      <c r="AH668" s="1344"/>
      <c r="AI668" s="1344"/>
      <c r="AJ668" s="1344"/>
      <c r="AK668" s="1344"/>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99" t="e">
        <f t="shared" si="2"/>
        <v>#VALUE!</v>
      </c>
      <c r="DY668" s="1399"/>
      <c r="DZ668" s="1399"/>
      <c r="EA668" s="1399"/>
      <c r="EB668" s="1399"/>
      <c r="EC668" s="1399" t="e">
        <f t="shared" si="3"/>
        <v>#VALUE!</v>
      </c>
      <c r="ED668" s="1399"/>
      <c r="EE668" s="1399"/>
      <c r="EF668" s="1399"/>
      <c r="EG668" s="1399"/>
      <c r="EH668" s="1399" t="e">
        <f t="shared" si="4"/>
        <v>#VALUE!</v>
      </c>
      <c r="EI668" s="1399"/>
      <c r="EJ668" s="1399"/>
      <c r="EK668" s="1399"/>
      <c r="EL668" s="1399"/>
      <c r="EM668" s="1399" t="e">
        <f t="shared" si="5"/>
        <v>#VALUE!</v>
      </c>
      <c r="EN668" s="1399"/>
      <c r="EO668" s="1399"/>
      <c r="EP668" s="1399"/>
      <c r="EQ668" s="1399"/>
      <c r="ER668" s="1399" t="e">
        <f t="shared" si="6"/>
        <v>#VALUE!</v>
      </c>
      <c r="ES668" s="1399"/>
      <c r="ET668" s="1399"/>
      <c r="EU668" s="1399"/>
      <c r="EV668" s="1399"/>
      <c r="EW668" s="1399" t="e">
        <f t="shared" si="7"/>
        <v>#VALUE!</v>
      </c>
      <c r="EX668" s="1399"/>
      <c r="EY668" s="1399"/>
      <c r="EZ668" s="1399"/>
      <c r="FA668" s="1399"/>
    </row>
    <row r="669" spans="1:157" ht="12.95" customHeight="1">
      <c r="A669" s="22"/>
      <c r="B669" t="s">
        <v>579</v>
      </c>
      <c r="G669" s="1344"/>
      <c r="H669" s="1344"/>
      <c r="I669" s="1344"/>
      <c r="J669" s="1344"/>
      <c r="K669" s="1344"/>
      <c r="L669" s="1344"/>
      <c r="M669" s="1344"/>
      <c r="N669" s="1344"/>
      <c r="O669" s="1344"/>
      <c r="P669" s="1344"/>
      <c r="Q669" s="1344"/>
      <c r="R669" s="1344"/>
      <c r="T669" s="22"/>
      <c r="U669" t="s">
        <v>579</v>
      </c>
      <c r="Z669" s="1333"/>
      <c r="AA669" s="1333"/>
      <c r="AB669" s="1333"/>
      <c r="AC669" s="1333"/>
      <c r="AD669" s="1333"/>
      <c r="AE669" s="1333"/>
      <c r="AF669" s="1333"/>
      <c r="AG669" s="1333"/>
      <c r="AH669" s="1333"/>
      <c r="AI669" s="1333"/>
      <c r="AJ669" s="1333"/>
      <c r="AK669" s="1333"/>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99" t="e">
        <f t="shared" si="2"/>
        <v>#VALUE!</v>
      </c>
      <c r="DY669" s="1399"/>
      <c r="DZ669" s="1399"/>
      <c r="EA669" s="1399"/>
      <c r="EB669" s="1399"/>
      <c r="EC669" s="1399" t="e">
        <f t="shared" si="3"/>
        <v>#VALUE!</v>
      </c>
      <c r="ED669" s="1399"/>
      <c r="EE669" s="1399"/>
      <c r="EF669" s="1399"/>
      <c r="EG669" s="1399"/>
      <c r="EH669" s="1399" t="e">
        <f t="shared" si="4"/>
        <v>#VALUE!</v>
      </c>
      <c r="EI669" s="1399"/>
      <c r="EJ669" s="1399"/>
      <c r="EK669" s="1399"/>
      <c r="EL669" s="1399"/>
      <c r="EM669" s="1399" t="e">
        <f t="shared" si="5"/>
        <v>#VALUE!</v>
      </c>
      <c r="EN669" s="1399"/>
      <c r="EO669" s="1399"/>
      <c r="EP669" s="1399"/>
      <c r="EQ669" s="1399"/>
      <c r="ER669" s="1399" t="e">
        <f t="shared" si="6"/>
        <v>#VALUE!</v>
      </c>
      <c r="ES669" s="1399"/>
      <c r="ET669" s="1399"/>
      <c r="EU669" s="1399"/>
      <c r="EV669" s="1399"/>
      <c r="EW669" s="1399" t="e">
        <f t="shared" si="7"/>
        <v>#VALUE!</v>
      </c>
      <c r="EX669" s="1399"/>
      <c r="EY669" s="1399"/>
      <c r="EZ669" s="1399"/>
      <c r="FA669" s="1399"/>
    </row>
    <row r="670" spans="1:157" ht="12.95" customHeight="1">
      <c r="A670" s="22"/>
      <c r="B670" t="s">
        <v>17</v>
      </c>
      <c r="G670" s="1344"/>
      <c r="H670" s="1344"/>
      <c r="I670" s="1344"/>
      <c r="J670" s="1344"/>
      <c r="K670" s="1344"/>
      <c r="L670" s="1344"/>
      <c r="M670" s="1344"/>
      <c r="N670" s="1344"/>
      <c r="O670" s="1344"/>
      <c r="P670" s="1344"/>
      <c r="Q670" s="1344"/>
      <c r="R670" s="1344"/>
      <c r="T670" s="22"/>
      <c r="U670" t="s">
        <v>17</v>
      </c>
      <c r="Z670" s="1333"/>
      <c r="AA670" s="1333"/>
      <c r="AB670" s="1333"/>
      <c r="AC670" s="1333"/>
      <c r="AD670" s="1333"/>
      <c r="AE670" s="1333"/>
      <c r="AF670" s="1333"/>
      <c r="AG670" s="1333"/>
      <c r="AH670" s="1333"/>
      <c r="AI670" s="1333"/>
      <c r="AJ670" s="1333"/>
      <c r="AK670" s="1333"/>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99">
        <f>SUMIF(DX635:EB669,"&gt;0")</f>
        <v>0</v>
      </c>
      <c r="DY670" s="1399"/>
      <c r="DZ670" s="1399"/>
      <c r="EA670" s="1399"/>
      <c r="EB670" s="1399"/>
      <c r="EC670" s="1399">
        <f>SUMIF(EC635:EG669,"&gt;0")</f>
        <v>1880.7391304347825</v>
      </c>
      <c r="ED670" s="1399"/>
      <c r="EE670" s="1399"/>
      <c r="EF670" s="1399"/>
      <c r="EG670" s="1399"/>
      <c r="EH670" s="1399">
        <f>SUMIF(EH635:EL669,"&gt;0")</f>
        <v>2018.3809523809523</v>
      </c>
      <c r="EI670" s="1399"/>
      <c r="EJ670" s="1399"/>
      <c r="EK670" s="1399"/>
      <c r="EL670" s="1399"/>
      <c r="EM670" s="1399">
        <f>SUMIF(EM635:EQ669,"&gt;0")</f>
        <v>2208</v>
      </c>
      <c r="EN670" s="1399"/>
      <c r="EO670" s="1399"/>
      <c r="EP670" s="1399"/>
      <c r="EQ670" s="1399"/>
      <c r="ER670" s="1399">
        <f>SUMIF(ER635:EV669,"&gt;0")</f>
        <v>0</v>
      </c>
      <c r="ES670" s="1399"/>
      <c r="ET670" s="1399"/>
      <c r="EU670" s="1399"/>
      <c r="EV670" s="1399"/>
      <c r="EW670" s="1399">
        <f>SUMIF(EW635:FA669,"&gt;0")</f>
        <v>0</v>
      </c>
      <c r="EX670" s="1399"/>
      <c r="EY670" s="1399"/>
      <c r="EZ670" s="1399"/>
      <c r="FA670" s="1399"/>
    </row>
    <row r="671" spans="1:157" ht="12.95" customHeight="1">
      <c r="A671" s="22"/>
      <c r="B671" t="s">
        <v>315</v>
      </c>
      <c r="G671" s="1479"/>
      <c r="H671" s="1479"/>
      <c r="I671" s="1479"/>
      <c r="J671" s="1479"/>
      <c r="K671" s="1479"/>
      <c r="L671" s="1479"/>
      <c r="O671" s="33" t="s">
        <v>205</v>
      </c>
      <c r="P671" s="1448"/>
      <c r="Q671" s="1448"/>
      <c r="R671" s="1448"/>
      <c r="T671" s="22"/>
      <c r="U671" t="s">
        <v>315</v>
      </c>
      <c r="Z671" s="1479"/>
      <c r="AA671" s="1479"/>
      <c r="AB671" s="1479"/>
      <c r="AC671" s="1479"/>
      <c r="AD671" s="1479"/>
      <c r="AE671" s="1479"/>
      <c r="AH671" s="33" t="s">
        <v>205</v>
      </c>
      <c r="AI671" s="1448"/>
      <c r="AJ671" s="1448"/>
      <c r="AK671" s="1448"/>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44"/>
      <c r="I672" s="1344"/>
      <c r="J672" s="1344"/>
      <c r="K672" s="1344"/>
      <c r="L672" s="1344"/>
      <c r="M672" s="1344"/>
      <c r="N672" s="1344"/>
      <c r="O672" s="1344"/>
      <c r="P672" s="1344"/>
      <c r="Q672" s="1344"/>
      <c r="R672" s="1344"/>
      <c r="T672" s="22"/>
      <c r="U672" t="s">
        <v>18</v>
      </c>
      <c r="AA672" s="1344"/>
      <c r="AB672" s="1344"/>
      <c r="AC672" s="1344"/>
      <c r="AD672" s="1344"/>
      <c r="AE672" s="1344"/>
      <c r="AF672" s="1344"/>
      <c r="AG672" s="1344"/>
      <c r="AH672" s="1344"/>
      <c r="AI672" s="1344"/>
      <c r="AJ672" s="1344"/>
      <c r="AK672" s="1344"/>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52" t="s">
        <v>668</v>
      </c>
      <c r="O673" s="1352"/>
      <c r="T673" s="22"/>
      <c r="U673" t="s">
        <v>20</v>
      </c>
      <c r="AG673" s="1352" t="s">
        <v>668</v>
      </c>
      <c r="AH673" s="1352"/>
      <c r="AZ673" s="3"/>
    </row>
    <row r="674" spans="1:52" ht="12.95" customHeight="1">
      <c r="A674" s="22"/>
      <c r="T674" s="22"/>
      <c r="AZ674" s="3"/>
    </row>
    <row r="675" spans="1:52" ht="12.95" customHeight="1">
      <c r="A675" s="55" t="s">
        <v>460</v>
      </c>
      <c r="B675" t="s">
        <v>462</v>
      </c>
      <c r="G675" s="1475">
        <f>C635</f>
        <v>0</v>
      </c>
      <c r="H675" s="1475"/>
      <c r="I675" s="1475"/>
      <c r="J675" s="1475"/>
      <c r="K675" s="1475"/>
      <c r="L675" s="1475"/>
      <c r="M675" s="1475"/>
      <c r="N675" s="1475"/>
      <c r="O675" s="1475"/>
      <c r="P675" s="1475"/>
      <c r="Q675" s="1475"/>
      <c r="R675" s="1475"/>
      <c r="T675" s="55" t="s">
        <v>645</v>
      </c>
      <c r="U675" t="s">
        <v>462</v>
      </c>
      <c r="Z675" s="1475">
        <f>C636</f>
        <v>0</v>
      </c>
      <c r="AA675" s="1475"/>
      <c r="AB675" s="1475"/>
      <c r="AC675" s="1475"/>
      <c r="AD675" s="1475"/>
      <c r="AE675" s="1475"/>
      <c r="AF675" s="1475"/>
      <c r="AG675" s="1475"/>
      <c r="AH675" s="1475"/>
      <c r="AI675" s="1475"/>
      <c r="AJ675" s="1475"/>
      <c r="AK675" s="1475"/>
      <c r="AZ675" s="3"/>
    </row>
    <row r="676" spans="1:52" ht="12.95" customHeight="1">
      <c r="A676" s="22"/>
      <c r="B676" t="s">
        <v>85</v>
      </c>
      <c r="G676" s="1344"/>
      <c r="H676" s="1344"/>
      <c r="I676" s="1344"/>
      <c r="J676" s="1344"/>
      <c r="K676" s="1344"/>
      <c r="L676" s="1344"/>
      <c r="M676" s="1344"/>
      <c r="N676" s="1344"/>
      <c r="O676" s="1344"/>
      <c r="P676" s="1344"/>
      <c r="Q676" s="1344"/>
      <c r="R676" s="1344"/>
      <c r="T676" s="22"/>
      <c r="U676" t="s">
        <v>85</v>
      </c>
      <c r="Z676" s="1344"/>
      <c r="AA676" s="1344"/>
      <c r="AB676" s="1344"/>
      <c r="AC676" s="1344"/>
      <c r="AD676" s="1344"/>
      <c r="AE676" s="1344"/>
      <c r="AF676" s="1344"/>
      <c r="AG676" s="1344"/>
      <c r="AH676" s="1344"/>
      <c r="AI676" s="1344"/>
      <c r="AJ676" s="1344"/>
      <c r="AK676" s="1344"/>
      <c r="AZ676" s="3"/>
    </row>
    <row r="677" spans="1:52" ht="12.95" customHeight="1">
      <c r="A677" s="22"/>
      <c r="B677" t="s">
        <v>579</v>
      </c>
      <c r="G677" s="1344"/>
      <c r="H677" s="1344"/>
      <c r="I677" s="1344"/>
      <c r="J677" s="1344"/>
      <c r="K677" s="1344"/>
      <c r="L677" s="1344"/>
      <c r="M677" s="1344"/>
      <c r="N677" s="1344"/>
      <c r="O677" s="1344"/>
      <c r="P677" s="1344"/>
      <c r="Q677" s="1344"/>
      <c r="R677" s="1344"/>
      <c r="T677" s="22"/>
      <c r="U677" t="s">
        <v>579</v>
      </c>
      <c r="Z677" s="1333"/>
      <c r="AA677" s="1333"/>
      <c r="AB677" s="1333"/>
      <c r="AC677" s="1333"/>
      <c r="AD677" s="1333"/>
      <c r="AE677" s="1333"/>
      <c r="AF677" s="1333"/>
      <c r="AG677" s="1333"/>
      <c r="AH677" s="1333"/>
      <c r="AI677" s="1333"/>
      <c r="AJ677" s="1333"/>
      <c r="AK677" s="1333"/>
      <c r="AZ677" s="3"/>
    </row>
    <row r="678" spans="1:52" ht="12.95" customHeight="1">
      <c r="A678" s="22"/>
      <c r="B678" t="s">
        <v>17</v>
      </c>
      <c r="G678" s="1344"/>
      <c r="H678" s="1344"/>
      <c r="I678" s="1344"/>
      <c r="J678" s="1344"/>
      <c r="K678" s="1344"/>
      <c r="L678" s="1344"/>
      <c r="M678" s="1344"/>
      <c r="N678" s="1344"/>
      <c r="O678" s="1344"/>
      <c r="P678" s="1344"/>
      <c r="Q678" s="1344"/>
      <c r="R678" s="1344"/>
      <c r="T678" s="22"/>
      <c r="U678" t="s">
        <v>17</v>
      </c>
      <c r="Z678" s="1333"/>
      <c r="AA678" s="1333"/>
      <c r="AB678" s="1333"/>
      <c r="AC678" s="1333"/>
      <c r="AD678" s="1333"/>
      <c r="AE678" s="1333"/>
      <c r="AF678" s="1333"/>
      <c r="AG678" s="1333"/>
      <c r="AH678" s="1333"/>
      <c r="AI678" s="1333"/>
      <c r="AJ678" s="1333"/>
      <c r="AK678" s="1333"/>
      <c r="AZ678" s="3"/>
    </row>
    <row r="679" spans="1:52" ht="12.95" customHeight="1">
      <c r="A679" s="22"/>
      <c r="B679" t="s">
        <v>315</v>
      </c>
      <c r="G679" s="1479"/>
      <c r="H679" s="1479"/>
      <c r="I679" s="1479"/>
      <c r="J679" s="1479"/>
      <c r="K679" s="1479"/>
      <c r="L679" s="1479"/>
      <c r="O679" s="33" t="s">
        <v>205</v>
      </c>
      <c r="P679" s="1448"/>
      <c r="Q679" s="1448"/>
      <c r="R679" s="1448"/>
      <c r="T679" s="22"/>
      <c r="U679" t="s">
        <v>315</v>
      </c>
      <c r="Z679" s="1479"/>
      <c r="AA679" s="1479"/>
      <c r="AB679" s="1479"/>
      <c r="AC679" s="1479"/>
      <c r="AD679" s="1479"/>
      <c r="AE679" s="1479"/>
      <c r="AH679" s="33" t="s">
        <v>205</v>
      </c>
      <c r="AI679" s="1448"/>
      <c r="AJ679" s="1448"/>
      <c r="AK679" s="1448"/>
      <c r="AZ679" s="3"/>
    </row>
    <row r="680" spans="1:52" ht="12.95" customHeight="1">
      <c r="A680" s="22"/>
      <c r="B680" t="s">
        <v>18</v>
      </c>
      <c r="H680" s="1344"/>
      <c r="I680" s="1344"/>
      <c r="J680" s="1344"/>
      <c r="K680" s="1344"/>
      <c r="L680" s="1344"/>
      <c r="M680" s="1344"/>
      <c r="N680" s="1344"/>
      <c r="O680" s="1344"/>
      <c r="P680" s="1344"/>
      <c r="Q680" s="1344"/>
      <c r="R680" s="1344"/>
      <c r="T680" s="22"/>
      <c r="U680" t="s">
        <v>18</v>
      </c>
      <c r="AA680" s="1344"/>
      <c r="AB680" s="1344"/>
      <c r="AC680" s="1344"/>
      <c r="AD680" s="1344"/>
      <c r="AE680" s="1344"/>
      <c r="AF680" s="1344"/>
      <c r="AG680" s="1344"/>
      <c r="AH680" s="1344"/>
      <c r="AI680" s="1344"/>
      <c r="AJ680" s="1344"/>
      <c r="AK680" s="1344"/>
      <c r="AZ680" s="3"/>
    </row>
    <row r="681" spans="1:52" ht="12.95" customHeight="1">
      <c r="A681" s="22"/>
      <c r="B681" t="s">
        <v>20</v>
      </c>
      <c r="N681" s="1352" t="s">
        <v>668</v>
      </c>
      <c r="O681" s="1352"/>
      <c r="T681" s="22"/>
      <c r="U681" t="s">
        <v>20</v>
      </c>
      <c r="AG681" s="1352" t="s">
        <v>668</v>
      </c>
      <c r="AH681" s="1352"/>
      <c r="AZ681" s="3"/>
    </row>
    <row r="682" spans="1:52" ht="12.95" customHeight="1">
      <c r="A682" s="22"/>
      <c r="T682" s="22"/>
      <c r="AZ682" s="3"/>
    </row>
    <row r="683" spans="1:52" ht="12.95" customHeight="1">
      <c r="A683" s="55" t="s">
        <v>361</v>
      </c>
      <c r="B683" t="s">
        <v>462</v>
      </c>
      <c r="G683" s="1475">
        <f>C637</f>
        <v>0</v>
      </c>
      <c r="H683" s="1475"/>
      <c r="I683" s="1475"/>
      <c r="J683" s="1475"/>
      <c r="K683" s="1475"/>
      <c r="L683" s="1475"/>
      <c r="M683" s="1475"/>
      <c r="N683" s="1475"/>
      <c r="O683" s="1475"/>
      <c r="P683" s="1475"/>
      <c r="Q683" s="1475"/>
      <c r="R683" s="1475"/>
      <c r="T683" s="55" t="s">
        <v>362</v>
      </c>
      <c r="U683" t="s">
        <v>462</v>
      </c>
      <c r="Z683" s="1475">
        <f>C638</f>
        <v>0</v>
      </c>
      <c r="AA683" s="1475"/>
      <c r="AB683" s="1475"/>
      <c r="AC683" s="1475"/>
      <c r="AD683" s="1475"/>
      <c r="AE683" s="1475"/>
      <c r="AF683" s="1475"/>
      <c r="AG683" s="1475"/>
      <c r="AH683" s="1475"/>
      <c r="AI683" s="1475"/>
      <c r="AJ683" s="1475"/>
      <c r="AK683" s="1475"/>
      <c r="AZ683" s="3"/>
    </row>
    <row r="684" spans="1:52" ht="12.95" customHeight="1">
      <c r="B684" t="s">
        <v>85</v>
      </c>
      <c r="G684" s="1344"/>
      <c r="H684" s="1344"/>
      <c r="I684" s="1344"/>
      <c r="J684" s="1344"/>
      <c r="K684" s="1344"/>
      <c r="L684" s="1344"/>
      <c r="M684" s="1344"/>
      <c r="N684" s="1344"/>
      <c r="O684" s="1344"/>
      <c r="P684" s="1344"/>
      <c r="Q684" s="1344"/>
      <c r="R684" s="1344"/>
      <c r="T684" s="22"/>
      <c r="U684" t="s">
        <v>85</v>
      </c>
      <c r="Z684" s="1344"/>
      <c r="AA684" s="1344"/>
      <c r="AB684" s="1344"/>
      <c r="AC684" s="1344"/>
      <c r="AD684" s="1344"/>
      <c r="AE684" s="1344"/>
      <c r="AF684" s="1344"/>
      <c r="AG684" s="1344"/>
      <c r="AH684" s="1344"/>
      <c r="AI684" s="1344"/>
      <c r="AJ684" s="1344"/>
      <c r="AK684" s="1344"/>
      <c r="AZ684" s="3"/>
    </row>
    <row r="685" spans="1:52" ht="12.95" customHeight="1">
      <c r="B685" t="s">
        <v>579</v>
      </c>
      <c r="G685" s="1344"/>
      <c r="H685" s="1344"/>
      <c r="I685" s="1344"/>
      <c r="J685" s="1344"/>
      <c r="K685" s="1344"/>
      <c r="L685" s="1344"/>
      <c r="M685" s="1344"/>
      <c r="N685" s="1344"/>
      <c r="O685" s="1344"/>
      <c r="P685" s="1344"/>
      <c r="Q685" s="1344"/>
      <c r="R685" s="1344"/>
      <c r="U685" t="s">
        <v>579</v>
      </c>
      <c r="Z685" s="1333"/>
      <c r="AA685" s="1333"/>
      <c r="AB685" s="1333"/>
      <c r="AC685" s="1333"/>
      <c r="AD685" s="1333"/>
      <c r="AE685" s="1333"/>
      <c r="AF685" s="1333"/>
      <c r="AG685" s="1333"/>
      <c r="AH685" s="1333"/>
      <c r="AI685" s="1333"/>
      <c r="AJ685" s="1333"/>
      <c r="AK685" s="1333"/>
      <c r="AZ685" s="3"/>
    </row>
    <row r="686" spans="1:52" ht="12.95" customHeight="1">
      <c r="B686" t="s">
        <v>17</v>
      </c>
      <c r="G686" s="1344"/>
      <c r="H686" s="1344"/>
      <c r="I686" s="1344"/>
      <c r="J686" s="1344"/>
      <c r="K686" s="1344"/>
      <c r="L686" s="1344"/>
      <c r="M686" s="1344"/>
      <c r="N686" s="1344"/>
      <c r="O686" s="1344"/>
      <c r="P686" s="1344"/>
      <c r="Q686" s="1344"/>
      <c r="R686" s="1344"/>
      <c r="U686" t="s">
        <v>17</v>
      </c>
      <c r="Z686" s="1333"/>
      <c r="AA686" s="1333"/>
      <c r="AB686" s="1333"/>
      <c r="AC686" s="1333"/>
      <c r="AD686" s="1333"/>
      <c r="AE686" s="1333"/>
      <c r="AF686" s="1333"/>
      <c r="AG686" s="1333"/>
      <c r="AH686" s="1333"/>
      <c r="AI686" s="1333"/>
      <c r="AJ686" s="1333"/>
      <c r="AK686" s="1333"/>
      <c r="AZ686" s="3"/>
    </row>
    <row r="687" spans="1:52" ht="12.95" customHeight="1">
      <c r="B687" t="s">
        <v>315</v>
      </c>
      <c r="G687" s="1479"/>
      <c r="H687" s="1479"/>
      <c r="I687" s="1479"/>
      <c r="J687" s="1479"/>
      <c r="K687" s="1479"/>
      <c r="L687" s="1479"/>
      <c r="O687" s="33" t="s">
        <v>205</v>
      </c>
      <c r="P687" s="1448"/>
      <c r="Q687" s="1448"/>
      <c r="R687" s="1448"/>
      <c r="U687" t="s">
        <v>315</v>
      </c>
      <c r="Z687" s="1479"/>
      <c r="AA687" s="1479"/>
      <c r="AB687" s="1479"/>
      <c r="AC687" s="1479"/>
      <c r="AD687" s="1479"/>
      <c r="AE687" s="1479"/>
      <c r="AH687" s="33" t="s">
        <v>205</v>
      </c>
      <c r="AI687" s="1448"/>
      <c r="AJ687" s="1448"/>
      <c r="AK687" s="1448"/>
      <c r="AZ687" s="3"/>
    </row>
    <row r="688" spans="1:52" ht="12.95" customHeight="1">
      <c r="B688" t="s">
        <v>18</v>
      </c>
      <c r="H688" s="1344"/>
      <c r="I688" s="1344"/>
      <c r="J688" s="1344"/>
      <c r="K688" s="1344"/>
      <c r="L688" s="1344"/>
      <c r="M688" s="1344"/>
      <c r="N688" s="1344"/>
      <c r="O688" s="1344"/>
      <c r="P688" s="1344"/>
      <c r="Q688" s="1344"/>
      <c r="R688" s="1344"/>
      <c r="U688" t="s">
        <v>18</v>
      </c>
      <c r="AA688" s="1344"/>
      <c r="AB688" s="1344"/>
      <c r="AC688" s="1344"/>
      <c r="AD688" s="1344"/>
      <c r="AE688" s="1344"/>
      <c r="AF688" s="1344"/>
      <c r="AG688" s="1344"/>
      <c r="AH688" s="1344"/>
      <c r="AI688" s="1344"/>
      <c r="AJ688" s="1344"/>
      <c r="AK688" s="1344"/>
      <c r="AZ688" s="3"/>
    </row>
    <row r="689" spans="1:67" ht="12.95" customHeight="1">
      <c r="B689" t="s">
        <v>20</v>
      </c>
      <c r="N689" s="1352" t="s">
        <v>668</v>
      </c>
      <c r="O689" s="1352"/>
      <c r="U689" t="s">
        <v>20</v>
      </c>
      <c r="AG689" s="1352" t="s">
        <v>668</v>
      </c>
      <c r="AH689" s="1352"/>
      <c r="AZ689" s="3"/>
    </row>
    <row r="690" spans="1:67" ht="12.95" customHeight="1">
      <c r="AZ690" s="3"/>
    </row>
    <row r="691" spans="1:67" ht="12.95" customHeight="1">
      <c r="A691" s="2" t="s">
        <v>575</v>
      </c>
      <c r="C691" s="2" t="s">
        <v>326</v>
      </c>
      <c r="E691" s="130"/>
      <c r="F691" s="130"/>
      <c r="G691" s="130"/>
      <c r="H691" s="130"/>
      <c r="AZ691" s="3"/>
    </row>
    <row r="692" spans="1:67" ht="12.95" customHeight="1">
      <c r="B692" s="135"/>
      <c r="C692" s="135"/>
      <c r="D692" s="136" t="s">
        <v>433</v>
      </c>
      <c r="E692" s="135"/>
      <c r="F692" s="135"/>
      <c r="G692" s="135"/>
      <c r="H692" s="135"/>
      <c r="AZ692" s="3"/>
    </row>
    <row r="693" spans="1:67" ht="12.95" customHeight="1">
      <c r="B693" s="135"/>
      <c r="C693" s="135"/>
      <c r="E693" s="136" t="s">
        <v>434</v>
      </c>
      <c r="F693" s="135"/>
      <c r="G693" s="135"/>
      <c r="H693" s="135"/>
      <c r="AE693" s="1352" t="s">
        <v>544</v>
      </c>
      <c r="AF693" s="1352"/>
      <c r="AZ693" s="3"/>
    </row>
    <row r="694" spans="1:67" ht="12.95" customHeight="1">
      <c r="B694" s="135"/>
      <c r="C694" s="135"/>
      <c r="D694" s="136" t="s">
        <v>437</v>
      </c>
      <c r="E694" s="135"/>
      <c r="F694" s="135"/>
      <c r="G694" s="135"/>
      <c r="H694" s="135"/>
      <c r="AE694" s="1352" t="s">
        <v>668</v>
      </c>
      <c r="AF694" s="1352"/>
      <c r="AZ694" s="3"/>
    </row>
    <row r="695" spans="1:67" ht="12.95" customHeight="1">
      <c r="B695" s="135"/>
      <c r="C695" s="135"/>
      <c r="D695" s="136" t="s">
        <v>919</v>
      </c>
      <c r="E695" s="135"/>
      <c r="F695" s="135"/>
      <c r="G695" s="135"/>
      <c r="H695" s="135"/>
      <c r="AE695" s="1506">
        <v>45909</v>
      </c>
      <c r="AF695" s="1506"/>
      <c r="AG695" s="1506"/>
      <c r="AH695" s="1506"/>
      <c r="AI695" s="1506"/>
    </row>
    <row r="696" spans="1:67" ht="12.95" customHeight="1">
      <c r="B696" s="135"/>
      <c r="C696" s="135"/>
      <c r="D696" s="317" t="s">
        <v>982</v>
      </c>
      <c r="E696" s="135"/>
      <c r="F696" s="135"/>
      <c r="G696" s="135"/>
      <c r="H696" s="135"/>
      <c r="AE696" s="1664">
        <v>45980</v>
      </c>
      <c r="AF696" s="1664"/>
      <c r="AG696" s="1664"/>
      <c r="AH696" s="1664"/>
      <c r="AI696" s="1664"/>
    </row>
    <row r="697" spans="1:67" ht="12.95" customHeight="1">
      <c r="B697" s="135"/>
      <c r="C697" s="135"/>
    </row>
    <row r="698" spans="1:67" ht="12.95" customHeight="1">
      <c r="B698" s="135"/>
      <c r="C698" s="135"/>
      <c r="D698" s="136" t="s">
        <v>815</v>
      </c>
      <c r="E698" s="135"/>
      <c r="F698" s="135"/>
      <c r="G698" s="135"/>
      <c r="H698" s="135"/>
      <c r="AE698" s="1506">
        <v>46143</v>
      </c>
      <c r="AF698" s="1506"/>
      <c r="AG698" s="1506"/>
      <c r="AH698" s="1506"/>
      <c r="AI698" s="1506"/>
    </row>
    <row r="699" spans="1:67" ht="12.95" customHeight="1">
      <c r="B699" s="135"/>
      <c r="C699" s="135"/>
      <c r="D699" s="136" t="s">
        <v>435</v>
      </c>
      <c r="E699" s="135"/>
      <c r="F699" s="135"/>
      <c r="G699" s="135"/>
      <c r="H699" s="135"/>
      <c r="AE699" s="1665">
        <v>0.3</v>
      </c>
      <c r="AF699" s="1665"/>
      <c r="AG699" s="1665"/>
      <c r="AH699" s="1665"/>
      <c r="AI699" s="1665"/>
    </row>
    <row r="700" spans="1:67" ht="12.95" customHeight="1">
      <c r="B700" s="135"/>
      <c r="C700" s="135"/>
      <c r="D700" s="136" t="s">
        <v>436</v>
      </c>
      <c r="E700" s="135"/>
      <c r="F700" s="135"/>
      <c r="G700" s="135"/>
      <c r="H700" s="135"/>
      <c r="W700" s="1475" t="str">
        <f>H335</f>
        <v>California Municipal Finance Authority</v>
      </c>
      <c r="X700" s="1475"/>
      <c r="Y700" s="1475"/>
      <c r="Z700" s="1475"/>
      <c r="AA700" s="1475"/>
      <c r="AB700" s="1475"/>
      <c r="AC700" s="1475"/>
      <c r="AD700" s="1475"/>
      <c r="AE700" s="1475"/>
      <c r="AF700" s="1475"/>
      <c r="AG700" s="1475"/>
      <c r="AH700" s="1475"/>
      <c r="AI700" s="1475"/>
      <c r="AJ700" s="1475"/>
      <c r="AK700" s="1475"/>
    </row>
    <row r="701" spans="1:67" ht="12.95" customHeight="1">
      <c r="B701" s="135"/>
      <c r="C701" s="135"/>
      <c r="D701" s="136"/>
      <c r="E701" s="135"/>
      <c r="F701" s="135"/>
      <c r="G701" s="135"/>
      <c r="H701" s="135"/>
    </row>
    <row r="702" spans="1:67" ht="12.95" customHeight="1">
      <c r="B702" s="135"/>
      <c r="C702" s="135"/>
      <c r="D702" s="136" t="s">
        <v>438</v>
      </c>
      <c r="E702" s="135"/>
      <c r="F702" s="135"/>
      <c r="G702" s="135"/>
      <c r="H702" s="135"/>
      <c r="AE702" s="1352" t="s">
        <v>668</v>
      </c>
      <c r="AF702" s="1352"/>
      <c r="AZ702" s="4" t="s">
        <v>323</v>
      </c>
    </row>
    <row r="703" spans="1:67" ht="12.95" customHeight="1">
      <c r="B703" s="135"/>
      <c r="C703" s="135"/>
      <c r="D703" s="136" t="s">
        <v>441</v>
      </c>
      <c r="E703" s="135"/>
      <c r="F703" s="135"/>
      <c r="G703" s="135"/>
      <c r="H703" s="135"/>
      <c r="W703" s="1344"/>
      <c r="X703" s="1344"/>
      <c r="Y703" s="1344"/>
      <c r="Z703" s="1344"/>
      <c r="AA703" s="1344"/>
      <c r="AB703" s="1344"/>
      <c r="AC703" s="1344"/>
      <c r="AD703" s="1344"/>
      <c r="AE703" s="1344"/>
      <c r="AF703" s="1344"/>
      <c r="AG703" s="1344"/>
      <c r="AH703" s="1344"/>
      <c r="AI703" s="1344"/>
      <c r="AJ703" s="1344"/>
      <c r="AK703" s="1344"/>
      <c r="AZ703" s="4" t="s">
        <v>324</v>
      </c>
    </row>
    <row r="704" spans="1:67" ht="12.95" customHeight="1">
      <c r="B704" s="135"/>
      <c r="C704" s="135"/>
      <c r="D704" s="136" t="s">
        <v>87</v>
      </c>
      <c r="E704" s="135"/>
      <c r="F704" s="135"/>
      <c r="G704" s="135"/>
      <c r="H704" s="135"/>
      <c r="J704" s="1344"/>
      <c r="K704" s="1344"/>
      <c r="L704" s="1344"/>
      <c r="M704" s="1344"/>
      <c r="N704" s="1344"/>
      <c r="O704" s="1344"/>
      <c r="P704" s="1344"/>
      <c r="Q704" s="1344"/>
      <c r="R704" s="1344"/>
      <c r="S704" s="1344"/>
      <c r="T704" s="1344"/>
      <c r="U704" s="1344"/>
      <c r="V704" s="1344"/>
      <c r="W704" s="1344"/>
      <c r="X704" s="1344"/>
      <c r="AZ704" s="4" t="s">
        <v>163</v>
      </c>
      <c r="BB704" s="34"/>
      <c r="BC704" s="34"/>
      <c r="BD704" s="34"/>
      <c r="BE704" s="3"/>
      <c r="BF704" s="3"/>
      <c r="BJ704" s="3"/>
      <c r="BK704" s="3"/>
      <c r="BL704" s="3"/>
      <c r="BM704" s="3"/>
      <c r="BN704" s="34"/>
      <c r="BO704" s="34"/>
    </row>
    <row r="705" spans="1:185" ht="12.95" customHeight="1">
      <c r="B705" s="135"/>
      <c r="C705" s="135"/>
      <c r="D705" s="136" t="s">
        <v>88</v>
      </c>
      <c r="J705" s="1479"/>
      <c r="K705" s="1479"/>
      <c r="L705" s="1479"/>
      <c r="M705" s="1479"/>
      <c r="N705" s="1479"/>
      <c r="O705" s="1479"/>
      <c r="P705" s="4" t="s">
        <v>205</v>
      </c>
      <c r="Q705" s="4"/>
      <c r="R705" s="1448"/>
      <c r="S705" s="1448"/>
      <c r="T705" s="1448"/>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442</v>
      </c>
      <c r="W706" s="1344" t="s">
        <v>306</v>
      </c>
      <c r="X706" s="1344"/>
      <c r="Y706" s="1344"/>
      <c r="Z706" s="1344"/>
      <c r="AA706" s="1344"/>
      <c r="AB706" s="1344"/>
      <c r="AC706" s="1344"/>
      <c r="AD706" s="1344"/>
      <c r="AE706" s="1344"/>
      <c r="AF706" s="1344"/>
      <c r="AG706" s="1344"/>
      <c r="AH706" s="1344"/>
      <c r="AI706" s="1344"/>
      <c r="AJ706" s="1344"/>
      <c r="AK706" s="1344"/>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44" t="s">
        <v>333</v>
      </c>
      <c r="F707" s="1344"/>
      <c r="G707" s="1344"/>
      <c r="H707" s="1344"/>
      <c r="I707" s="1344"/>
      <c r="J707" s="1344"/>
      <c r="K707" s="1344"/>
      <c r="L707" s="1344"/>
      <c r="M707" s="1344"/>
      <c r="N707" s="1344"/>
      <c r="O707" s="1344"/>
      <c r="P707" s="1344"/>
      <c r="Q707" s="1344"/>
      <c r="R707" s="1344"/>
      <c r="S707" s="1344"/>
      <c r="T707" s="1344"/>
      <c r="U707" s="1344"/>
      <c r="V707" s="1344"/>
      <c r="W707" s="1344"/>
      <c r="X707" s="1344"/>
      <c r="Y707" s="1344"/>
      <c r="Z707" s="1344"/>
      <c r="AA707" s="1344"/>
      <c r="AB707" s="1344"/>
      <c r="AC707" s="1344"/>
      <c r="AD707" s="1344"/>
      <c r="AE707" s="1344"/>
      <c r="AF707" s="1344"/>
      <c r="AG707" s="1344"/>
      <c r="AH707" s="1344"/>
      <c r="AI707" s="1344"/>
      <c r="AJ707" s="1344"/>
      <c r="AK707" s="1344"/>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85" t="s">
        <v>388</v>
      </c>
      <c r="C714" s="1486"/>
      <c r="D714" s="1486"/>
      <c r="E714" s="1486"/>
      <c r="F714" s="1487"/>
      <c r="G714" s="1485" t="s">
        <v>284</v>
      </c>
      <c r="H714" s="1486"/>
      <c r="I714" s="1486"/>
      <c r="J714" s="1487"/>
      <c r="K714" s="1494" t="s">
        <v>1679</v>
      </c>
      <c r="L714" s="1495"/>
      <c r="M714" s="1495"/>
      <c r="N714" s="1496"/>
      <c r="O714" s="1485" t="s">
        <v>446</v>
      </c>
      <c r="P714" s="1486"/>
      <c r="Q714" s="1486"/>
      <c r="R714" s="1486"/>
      <c r="S714" s="1487"/>
      <c r="T714" s="1507" t="s">
        <v>1949</v>
      </c>
      <c r="U714" s="1486"/>
      <c r="V714" s="1486"/>
      <c r="W714" s="1487"/>
      <c r="X714" s="1507" t="s">
        <v>1951</v>
      </c>
      <c r="Y714" s="1486"/>
      <c r="Z714" s="1486"/>
      <c r="AA714" s="1486"/>
      <c r="AB714" s="1487"/>
      <c r="AC714" s="1507" t="s">
        <v>1950</v>
      </c>
      <c r="AD714" s="1486"/>
      <c r="AE714" s="1486"/>
      <c r="AF714" s="1486"/>
      <c r="AG714" s="1487"/>
      <c r="AH714" s="1507" t="s">
        <v>1952</v>
      </c>
      <c r="AI714" s="1486"/>
      <c r="AJ714" s="1487"/>
      <c r="AK714" s="1507" t="s">
        <v>1979</v>
      </c>
      <c r="AL714" s="1486"/>
      <c r="AM714" s="1486"/>
      <c r="AN714" s="1486"/>
      <c r="AO714" s="148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488"/>
      <c r="C715" s="1489"/>
      <c r="D715" s="1489"/>
      <c r="E715" s="1489"/>
      <c r="F715" s="1490"/>
      <c r="G715" s="1488"/>
      <c r="H715" s="1489"/>
      <c r="I715" s="1489"/>
      <c r="J715" s="1490"/>
      <c r="K715" s="1497"/>
      <c r="L715" s="1498"/>
      <c r="M715" s="1498"/>
      <c r="N715" s="1499"/>
      <c r="O715" s="1488"/>
      <c r="P715" s="1489"/>
      <c r="Q715" s="1489"/>
      <c r="R715" s="1489"/>
      <c r="S715" s="1490"/>
      <c r="T715" s="1488"/>
      <c r="U715" s="1489"/>
      <c r="V715" s="1489"/>
      <c r="W715" s="1490"/>
      <c r="X715" s="1488"/>
      <c r="Y715" s="1489"/>
      <c r="Z715" s="1489"/>
      <c r="AA715" s="1489"/>
      <c r="AB715" s="1490"/>
      <c r="AC715" s="1488"/>
      <c r="AD715" s="1489"/>
      <c r="AE715" s="1489"/>
      <c r="AF715" s="1489"/>
      <c r="AG715" s="1490"/>
      <c r="AH715" s="1488"/>
      <c r="AI715" s="1489"/>
      <c r="AJ715" s="1490"/>
      <c r="AK715" s="1488"/>
      <c r="AL715" s="1489"/>
      <c r="AM715" s="1489"/>
      <c r="AN715" s="1489"/>
      <c r="AO715" s="149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488"/>
      <c r="C716" s="1489"/>
      <c r="D716" s="1489"/>
      <c r="E716" s="1489"/>
      <c r="F716" s="1490"/>
      <c r="G716" s="1488"/>
      <c r="H716" s="1489"/>
      <c r="I716" s="1489"/>
      <c r="J716" s="1490"/>
      <c r="K716" s="1497"/>
      <c r="L716" s="1498"/>
      <c r="M716" s="1498"/>
      <c r="N716" s="1499"/>
      <c r="O716" s="1488"/>
      <c r="P716" s="1489"/>
      <c r="Q716" s="1489"/>
      <c r="R716" s="1489"/>
      <c r="S716" s="1490"/>
      <c r="T716" s="1488"/>
      <c r="U716" s="1489"/>
      <c r="V716" s="1489"/>
      <c r="W716" s="1490"/>
      <c r="X716" s="1488"/>
      <c r="Y716" s="1489"/>
      <c r="Z716" s="1489"/>
      <c r="AA716" s="1489"/>
      <c r="AB716" s="1490"/>
      <c r="AC716" s="1488"/>
      <c r="AD716" s="1489"/>
      <c r="AE716" s="1489"/>
      <c r="AF716" s="1489"/>
      <c r="AG716" s="1490"/>
      <c r="AH716" s="1488"/>
      <c r="AI716" s="1489"/>
      <c r="AJ716" s="1490"/>
      <c r="AK716" s="1488"/>
      <c r="AL716" s="1489"/>
      <c r="AM716" s="1489"/>
      <c r="AN716" s="1489"/>
      <c r="AO716" s="1490"/>
      <c r="AP716" s="3"/>
      <c r="AQ716" s="3"/>
      <c r="AR716" s="3"/>
      <c r="AS716" s="3"/>
      <c r="BA716" s="3"/>
      <c r="BB716" s="3"/>
      <c r="BC716" s="3"/>
      <c r="BD716" s="3"/>
      <c r="BE716" s="204"/>
      <c r="BF716" s="205" t="s">
        <v>894</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491"/>
      <c r="C717" s="1492"/>
      <c r="D717" s="1492"/>
      <c r="E717" s="1492"/>
      <c r="F717" s="1493"/>
      <c r="G717" s="1491"/>
      <c r="H717" s="1492"/>
      <c r="I717" s="1492"/>
      <c r="J717" s="1493"/>
      <c r="K717" s="1497"/>
      <c r="L717" s="1498"/>
      <c r="M717" s="1498"/>
      <c r="N717" s="1499"/>
      <c r="O717" s="1491"/>
      <c r="P717" s="1492"/>
      <c r="Q717" s="1492"/>
      <c r="R717" s="1492"/>
      <c r="S717" s="1493"/>
      <c r="T717" s="1491"/>
      <c r="U717" s="1492"/>
      <c r="V717" s="1492"/>
      <c r="W717" s="1493"/>
      <c r="X717" s="1491"/>
      <c r="Y717" s="1492"/>
      <c r="Z717" s="1492"/>
      <c r="AA717" s="1492"/>
      <c r="AB717" s="1493"/>
      <c r="AC717" s="1491"/>
      <c r="AD717" s="1492"/>
      <c r="AE717" s="1492"/>
      <c r="AF717" s="1492"/>
      <c r="AG717" s="1493"/>
      <c r="AH717" s="1491"/>
      <c r="AI717" s="1492"/>
      <c r="AJ717" s="1493"/>
      <c r="AK717" s="1491"/>
      <c r="AL717" s="1492"/>
      <c r="AM717" s="1492"/>
      <c r="AN717" s="1492"/>
      <c r="AO717" s="1493"/>
      <c r="AP717" s="3"/>
      <c r="AQ717" s="3"/>
      <c r="AR717" s="3"/>
      <c r="AS717" s="3"/>
      <c r="AZ717" s="166" t="s">
        <v>648</v>
      </c>
      <c r="BA717" s="3"/>
      <c r="BB717" s="3"/>
      <c r="BC717" s="3"/>
      <c r="BD717" s="3"/>
      <c r="BE717" s="204"/>
      <c r="BF717" s="291" t="s">
        <v>895</v>
      </c>
      <c r="BG717" s="296" t="s">
        <v>896</v>
      </c>
      <c r="BH717" s="295" t="s">
        <v>897</v>
      </c>
      <c r="BI717" s="3"/>
      <c r="BJ717" s="3"/>
      <c r="BK717" s="3"/>
      <c r="BL717" s="3"/>
      <c r="BM717" s="3"/>
      <c r="BN717" s="3"/>
      <c r="BS717" s="291" t="s">
        <v>895</v>
      </c>
      <c r="BT717" s="296" t="s">
        <v>896</v>
      </c>
      <c r="BU717" s="295" t="s">
        <v>897</v>
      </c>
      <c r="CC717" s="3"/>
      <c r="CD717" s="3"/>
      <c r="CE717" s="3"/>
      <c r="CF717" s="3"/>
      <c r="CG717" s="121" t="s">
        <v>473</v>
      </c>
      <c r="CH717" s="122"/>
      <c r="CI717" s="1365"/>
      <c r="CJ717" s="1367"/>
      <c r="CK717" s="121" t="s">
        <v>474</v>
      </c>
      <c r="CL717" s="122"/>
      <c r="CM717" s="1365"/>
      <c r="CN717" s="1367"/>
      <c r="CO717" s="3"/>
      <c r="CP717" s="1694" t="s">
        <v>632</v>
      </c>
      <c r="CQ717" s="1695"/>
      <c r="CR717" s="1695"/>
      <c r="CS717" s="1695"/>
      <c r="CT717" s="1696"/>
      <c r="CU717" s="1480" t="s">
        <v>324</v>
      </c>
      <c r="CV717" s="1480"/>
      <c r="CW717" s="1480"/>
      <c r="CX717" s="1480"/>
      <c r="CY717" s="1480"/>
      <c r="CZ717" s="1480" t="s">
        <v>163</v>
      </c>
      <c r="DA717" s="1480"/>
      <c r="DB717" s="1480"/>
      <c r="DC717" s="1480"/>
      <c r="DD717" s="1480"/>
      <c r="DE717" s="1480" t="s">
        <v>164</v>
      </c>
      <c r="DF717" s="1480"/>
      <c r="DG717" s="1480"/>
      <c r="DH717" s="1480"/>
      <c r="DI717" s="1480"/>
      <c r="DJ717" s="1480" t="s">
        <v>459</v>
      </c>
      <c r="DK717" s="1480"/>
      <c r="DL717" s="1480"/>
      <c r="DM717" s="1480"/>
      <c r="DN717" s="1480"/>
      <c r="DO717" s="1480" t="s">
        <v>30</v>
      </c>
      <c r="DP717" s="1480"/>
      <c r="DQ717" s="1480"/>
      <c r="DR717" s="1480"/>
      <c r="DS717" s="1480"/>
      <c r="DT717" s="89"/>
      <c r="DU717" s="1480" t="s">
        <v>632</v>
      </c>
      <c r="DV717" s="1480"/>
      <c r="DW717" s="1480"/>
      <c r="DX717" s="1480"/>
      <c r="DY717" s="1480"/>
      <c r="DZ717" s="1480" t="s">
        <v>324</v>
      </c>
      <c r="EA717" s="1480"/>
      <c r="EB717" s="1480"/>
      <c r="EC717" s="1480"/>
      <c r="ED717" s="1480"/>
      <c r="EE717" s="1480" t="s">
        <v>163</v>
      </c>
      <c r="EF717" s="1480"/>
      <c r="EG717" s="1480"/>
      <c r="EH717" s="1480"/>
      <c r="EI717" s="1480"/>
      <c r="EJ717" s="1480" t="s">
        <v>164</v>
      </c>
      <c r="EK717" s="1480"/>
      <c r="EL717" s="1480"/>
      <c r="EM717" s="1480"/>
      <c r="EN717" s="1480"/>
      <c r="EO717" s="1480" t="s">
        <v>459</v>
      </c>
      <c r="EP717" s="1480"/>
      <c r="EQ717" s="1480"/>
      <c r="ER717" s="1480"/>
      <c r="ES717" s="1480"/>
      <c r="ET717" s="1480" t="s">
        <v>30</v>
      </c>
      <c r="EU717" s="1480"/>
      <c r="EV717" s="1480"/>
      <c r="EW717" s="1480"/>
      <c r="EX717" s="1480"/>
      <c r="EY717" s="4"/>
      <c r="EZ717" s="1480" t="s">
        <v>632</v>
      </c>
      <c r="FA717" s="1480"/>
      <c r="FB717" s="1480"/>
      <c r="FC717" s="1480"/>
      <c r="FD717" s="1480"/>
      <c r="FE717" s="1480" t="s">
        <v>324</v>
      </c>
      <c r="FF717" s="1480"/>
      <c r="FG717" s="1480"/>
      <c r="FH717" s="1480"/>
      <c r="FI717" s="1480"/>
      <c r="FJ717" s="1480" t="s">
        <v>163</v>
      </c>
      <c r="FK717" s="1480"/>
      <c r="FL717" s="1480"/>
      <c r="FM717" s="1480"/>
      <c r="FN717" s="1480"/>
      <c r="FO717" s="1480" t="s">
        <v>164</v>
      </c>
      <c r="FP717" s="1480"/>
      <c r="FQ717" s="1480"/>
      <c r="FR717" s="1480"/>
      <c r="FS717" s="1480"/>
      <c r="FT717" s="1480" t="s">
        <v>459</v>
      </c>
      <c r="FU717" s="1480"/>
      <c r="FV717" s="1480"/>
      <c r="FW717" s="1480"/>
      <c r="FX717" s="1480"/>
      <c r="FY717" s="1480" t="s">
        <v>30</v>
      </c>
      <c r="FZ717" s="1480"/>
      <c r="GA717" s="1480"/>
      <c r="GB717" s="1480"/>
      <c r="GC717" s="1480"/>
    </row>
    <row r="718" spans="1:185" ht="12.95" customHeight="1">
      <c r="A718" s="4"/>
      <c r="B718" s="1385" t="s">
        <v>324</v>
      </c>
      <c r="C718" s="1386"/>
      <c r="D718" s="1386"/>
      <c r="E718" s="1386"/>
      <c r="F718" s="1387"/>
      <c r="G718" s="1335">
        <v>5</v>
      </c>
      <c r="H718" s="1336"/>
      <c r="I718" s="1336"/>
      <c r="J718" s="1337"/>
      <c r="K718" s="1341">
        <v>666</v>
      </c>
      <c r="L718" s="1342"/>
      <c r="M718" s="1342"/>
      <c r="N718" s="1343"/>
      <c r="O718" s="1338">
        <v>858</v>
      </c>
      <c r="P718" s="1339"/>
      <c r="Q718" s="1339"/>
      <c r="R718" s="1339"/>
      <c r="S718" s="1340"/>
      <c r="T718" s="1462">
        <v>40</v>
      </c>
      <c r="U718" s="1463"/>
      <c r="V718" s="1463"/>
      <c r="W718" s="1464"/>
      <c r="X718" s="1388">
        <f t="shared" ref="X718:X741" si="8">O718+T718</f>
        <v>898</v>
      </c>
      <c r="Y718" s="1389"/>
      <c r="Z718" s="1389"/>
      <c r="AA718" s="1389"/>
      <c r="AB718" s="1390"/>
      <c r="AC718" s="1500">
        <v>0.3</v>
      </c>
      <c r="AD718" s="1501"/>
      <c r="AE718" s="1501"/>
      <c r="AF718" s="1501"/>
      <c r="AG718" s="1502"/>
      <c r="AH718" s="1391">
        <f>IF($AC718&gt;0,($X718/$AZ718), "")</f>
        <v>0.29973297730307075</v>
      </c>
      <c r="AI718" s="1392"/>
      <c r="AJ718" s="1393"/>
      <c r="AK718" s="1385" t="s">
        <v>590</v>
      </c>
      <c r="AL718" s="1386"/>
      <c r="AM718" s="1386"/>
      <c r="AN718" s="1386"/>
      <c r="AO718" s="1387"/>
      <c r="AP718" s="3"/>
      <c r="AQ718" s="3"/>
      <c r="AR718" s="3"/>
      <c r="AS718" s="3"/>
      <c r="AZ718" s="118">
        <f t="shared" ref="AZ718:AZ752" si="9">IF($G718=0,"N/A",VLOOKUP($T$189,TC_Rent,(MATCH($B718,bedrooms,FALSE)),FALSE))</f>
        <v>2996</v>
      </c>
      <c r="BA718" s="3"/>
      <c r="BB718" s="3"/>
      <c r="BC718" s="3"/>
      <c r="BD718" s="3"/>
      <c r="BE718" s="204"/>
      <c r="BF718" s="293">
        <f t="shared" ref="BF718:BF752" si="10">G718</f>
        <v>5</v>
      </c>
      <c r="BG718" s="297">
        <f t="shared" ref="BG718:BG752" si="11">IF($BF$753=0,0,BF718/$BF$753)</f>
        <v>3.8461538461538464E-2</v>
      </c>
      <c r="BH718" s="298">
        <f t="shared" ref="BH718:BH752" si="12">IF(BG718=0,"",BG718*AC718)</f>
        <v>1.1538461538461539E-2</v>
      </c>
      <c r="BI718" s="3"/>
      <c r="BJ718" s="3"/>
      <c r="BK718" s="3"/>
      <c r="BL718" s="3"/>
      <c r="BM718" s="3"/>
      <c r="BN718" s="3"/>
      <c r="BS718" s="293">
        <f t="shared" ref="BS718:BS752" si="13">G718</f>
        <v>5</v>
      </c>
      <c r="BT718" s="297">
        <f t="shared" ref="BT718:BT752" si="14">IF($BS$753=0,0,BS718/$BS$753)</f>
        <v>3.8461538461538464E-2</v>
      </c>
      <c r="BU718" s="298">
        <f t="shared" ref="BU718:BU752" si="15">IF(BT718=0,"",BT718*AH718)</f>
        <v>1.1528191434733491E-2</v>
      </c>
      <c r="CC718" s="3"/>
      <c r="CD718" s="3"/>
      <c r="CE718" s="3"/>
      <c r="CF718" s="3"/>
      <c r="CG718" s="1381">
        <f>IF(AND(AC718&lt;=0.5,AC718&gt;=0.36),1,0)</f>
        <v>0</v>
      </c>
      <c r="CH718" s="1383"/>
      <c r="CI718" s="1365">
        <f>IF(CG718=1,G718,0)</f>
        <v>0</v>
      </c>
      <c r="CJ718" s="1367"/>
      <c r="CK718" s="1381">
        <f t="shared" ref="CK718:CK752" si="16">IF(AND(AC718&lt;=0.35,AC718&gt;0),1,0)</f>
        <v>1</v>
      </c>
      <c r="CL718" s="1383"/>
      <c r="CM718" s="1365">
        <f t="shared" ref="CM718:CM752" si="17">IF(CK718=1,G718,0)</f>
        <v>5</v>
      </c>
      <c r="CN718" s="1367"/>
      <c r="CO718" s="3"/>
      <c r="CP718" s="1362">
        <f t="shared" ref="CP718:CP752" si="18">IF(B718="SRO/Studio",G718,0)</f>
        <v>0</v>
      </c>
      <c r="CQ718" s="1363"/>
      <c r="CR718" s="1363"/>
      <c r="CS718" s="1363"/>
      <c r="CT718" s="1364"/>
      <c r="CU718" s="1384">
        <f t="shared" ref="CU718:CU752" si="19">IF(B718="1 Bedroom",G718,0)</f>
        <v>5</v>
      </c>
      <c r="CV718" s="1384"/>
      <c r="CW718" s="1384"/>
      <c r="CX718" s="1384"/>
      <c r="CY718" s="1384"/>
      <c r="CZ718" s="1384">
        <f t="shared" ref="CZ718:CZ752" si="20">IF(B718="2 Bedrooms",G718,0)</f>
        <v>0</v>
      </c>
      <c r="DA718" s="1384"/>
      <c r="DB718" s="1384"/>
      <c r="DC718" s="1384"/>
      <c r="DD718" s="1384"/>
      <c r="DE718" s="1384">
        <f t="shared" ref="DE718:DE752" si="21">IF(B718="3 Bedrooms",G718,0)</f>
        <v>0</v>
      </c>
      <c r="DF718" s="1384"/>
      <c r="DG718" s="1384"/>
      <c r="DH718" s="1384"/>
      <c r="DI718" s="1384"/>
      <c r="DJ718" s="1384">
        <f t="shared" ref="DJ718:DJ752" si="22">IF(B718="4 Bedrooms",G718,0)</f>
        <v>0</v>
      </c>
      <c r="DK718" s="1384"/>
      <c r="DL718" s="1384"/>
      <c r="DM718" s="1384"/>
      <c r="DN718" s="1384"/>
      <c r="DO718" s="1384">
        <f t="shared" ref="DO718:DO752" si="23">IF(B718="5 Bedrooms",G718,0)</f>
        <v>0</v>
      </c>
      <c r="DP718" s="1384"/>
      <c r="DQ718" s="1384"/>
      <c r="DR718" s="1384"/>
      <c r="DS718" s="1384"/>
      <c r="DT718" s="6"/>
      <c r="DU718" s="1398">
        <f t="shared" ref="DU718:DU752" si="24">IF(AND(B718="SRO/Studio",AC718&lt;=0.3),G718,0)</f>
        <v>0</v>
      </c>
      <c r="DV718" s="1398"/>
      <c r="DW718" s="1398"/>
      <c r="DX718" s="1398"/>
      <c r="DY718" s="1398"/>
      <c r="DZ718" s="1398">
        <f t="shared" ref="DZ718:DZ752" si="25">IF(AND(B718="1 Bedroom",AC718&lt;=0.3),G718,0)</f>
        <v>5</v>
      </c>
      <c r="EA718" s="1398"/>
      <c r="EB718" s="1398"/>
      <c r="EC718" s="1398"/>
      <c r="ED718" s="1398"/>
      <c r="EE718" s="1398">
        <f t="shared" ref="EE718:EE752" si="26">IF(AND(B718="2 Bedrooms",AC718&lt;=0.3),G718,0)</f>
        <v>0</v>
      </c>
      <c r="EF718" s="1398"/>
      <c r="EG718" s="1398"/>
      <c r="EH718" s="1398"/>
      <c r="EI718" s="1398"/>
      <c r="EJ718" s="1398">
        <f t="shared" ref="EJ718:EJ752" si="27">IF(AND(B718="3 Bedrooms",AC718&lt;=0.3),G718,0)</f>
        <v>0</v>
      </c>
      <c r="EK718" s="1398"/>
      <c r="EL718" s="1398"/>
      <c r="EM718" s="1398"/>
      <c r="EN718" s="1398"/>
      <c r="EO718" s="1398">
        <f t="shared" ref="EO718:EO752" si="28">IF(AND(B718="4 Bedrooms",AC718&lt;=0.3),G718,0)</f>
        <v>0</v>
      </c>
      <c r="EP718" s="1398"/>
      <c r="EQ718" s="1398"/>
      <c r="ER718" s="1398"/>
      <c r="ES718" s="1398"/>
      <c r="ET718" s="1398">
        <f t="shared" ref="ET718:ET752" si="29">IF(AND(B718="5 Bedrooms",AC718&lt;=0.3),G718,0)</f>
        <v>0</v>
      </c>
      <c r="EU718" s="1398"/>
      <c r="EV718" s="1398"/>
      <c r="EW718" s="1398"/>
      <c r="EX718" s="1398"/>
      <c r="EY718" s="4"/>
      <c r="EZ718" s="1381" t="str">
        <f t="shared" ref="EZ718:EZ752" si="30">IF(CP718&gt;0,O718,"")</f>
        <v/>
      </c>
      <c r="FA718" s="1382"/>
      <c r="FB718" s="1382"/>
      <c r="FC718" s="1382"/>
      <c r="FD718" s="1383"/>
      <c r="FE718" s="1381">
        <f t="shared" ref="FE718:FE752" si="31">IF(CU718&gt;0,O718,"")</f>
        <v>858</v>
      </c>
      <c r="FF718" s="1382"/>
      <c r="FG718" s="1382"/>
      <c r="FH718" s="1382"/>
      <c r="FI718" s="1383"/>
      <c r="FJ718" s="1381" t="str">
        <f t="shared" ref="FJ718:FJ752" si="32">IF(CZ718&gt;0,O718,"")</f>
        <v/>
      </c>
      <c r="FK718" s="1382"/>
      <c r="FL718" s="1382"/>
      <c r="FM718" s="1382"/>
      <c r="FN718" s="1383"/>
      <c r="FO718" s="1381" t="str">
        <f t="shared" ref="FO718:FO752" si="33">IF(DE718&gt;0,O718,"")</f>
        <v/>
      </c>
      <c r="FP718" s="1382"/>
      <c r="FQ718" s="1382"/>
      <c r="FR718" s="1382"/>
      <c r="FS718" s="1383"/>
      <c r="FT718" s="1381" t="str">
        <f t="shared" ref="FT718:FT752" si="34">IF(DJ718&gt;0,O718,"")</f>
        <v/>
      </c>
      <c r="FU718" s="1382"/>
      <c r="FV718" s="1382"/>
      <c r="FW718" s="1382"/>
      <c r="FX718" s="1383"/>
      <c r="FY718" s="1381" t="str">
        <f t="shared" ref="FY718:FY752" si="35">IF(DO718&gt;0,O718,"")</f>
        <v/>
      </c>
      <c r="FZ718" s="1382"/>
      <c r="GA718" s="1382"/>
      <c r="GB718" s="1382"/>
      <c r="GC718" s="1383"/>
    </row>
    <row r="719" spans="1:185" ht="12.95" customHeight="1">
      <c r="A719" s="4"/>
      <c r="B719" s="1385" t="s">
        <v>324</v>
      </c>
      <c r="C719" s="1386"/>
      <c r="D719" s="1386"/>
      <c r="E719" s="1386"/>
      <c r="F719" s="1387"/>
      <c r="G719" s="1335">
        <v>8</v>
      </c>
      <c r="H719" s="1336"/>
      <c r="I719" s="1336"/>
      <c r="J719" s="1337"/>
      <c r="K719" s="1341">
        <v>666</v>
      </c>
      <c r="L719" s="1342"/>
      <c r="M719" s="1342"/>
      <c r="N719" s="1343"/>
      <c r="O719" s="1338">
        <v>1458</v>
      </c>
      <c r="P719" s="1339"/>
      <c r="Q719" s="1339"/>
      <c r="R719" s="1339"/>
      <c r="S719" s="1340"/>
      <c r="T719" s="1462">
        <v>40</v>
      </c>
      <c r="U719" s="1463"/>
      <c r="V719" s="1463"/>
      <c r="W719" s="1464"/>
      <c r="X719" s="1388">
        <f t="shared" si="8"/>
        <v>1498</v>
      </c>
      <c r="Y719" s="1389"/>
      <c r="Z719" s="1389"/>
      <c r="AA719" s="1389"/>
      <c r="AB719" s="1390"/>
      <c r="AC719" s="1500">
        <v>0.5</v>
      </c>
      <c r="AD719" s="1501"/>
      <c r="AE719" s="1501"/>
      <c r="AF719" s="1501"/>
      <c r="AG719" s="1502"/>
      <c r="AH719" s="1391">
        <f t="shared" ref="AH719:AH752" si="36">IF($AC719&gt;0,($X719/$AZ719), "")</f>
        <v>0.5</v>
      </c>
      <c r="AI719" s="1392"/>
      <c r="AJ719" s="1393"/>
      <c r="AK719" s="1385" t="s">
        <v>590</v>
      </c>
      <c r="AL719" s="1386"/>
      <c r="AM719" s="1386"/>
      <c r="AN719" s="1386"/>
      <c r="AO719" s="1387"/>
      <c r="AP719" s="3"/>
      <c r="AQ719" s="3"/>
      <c r="AR719" s="3"/>
      <c r="AS719" s="3"/>
      <c r="AZ719" s="118">
        <f t="shared" si="9"/>
        <v>2996</v>
      </c>
      <c r="BA719" s="3"/>
      <c r="BB719" s="3"/>
      <c r="BC719" s="3"/>
      <c r="BD719" s="3"/>
      <c r="BE719" s="204"/>
      <c r="BF719" s="294">
        <f t="shared" si="10"/>
        <v>8</v>
      </c>
      <c r="BG719" s="297">
        <f t="shared" si="11"/>
        <v>6.1538461538461542E-2</v>
      </c>
      <c r="BH719" s="298">
        <f t="shared" si="12"/>
        <v>3.0769230769230771E-2</v>
      </c>
      <c r="BI719" s="3"/>
      <c r="BJ719" s="3"/>
      <c r="BK719" s="3"/>
      <c r="BL719" s="3"/>
      <c r="BM719" s="3"/>
      <c r="BN719" s="3"/>
      <c r="BS719" s="294">
        <f t="shared" si="13"/>
        <v>8</v>
      </c>
      <c r="BT719" s="297">
        <f t="shared" si="14"/>
        <v>6.1538461538461542E-2</v>
      </c>
      <c r="BU719" s="298">
        <f t="shared" si="15"/>
        <v>3.0769230769230771E-2</v>
      </c>
      <c r="CC719" s="3"/>
      <c r="CD719" s="3"/>
      <c r="CE719" s="3"/>
      <c r="CF719" s="3"/>
      <c r="CG719" s="1381">
        <f t="shared" ref="CG719:CG752" si="37">IF(AND(AC719&lt;=0.5,AC719&gt;=0.36),1,0)</f>
        <v>1</v>
      </c>
      <c r="CH719" s="1383"/>
      <c r="CI719" s="1365">
        <f t="shared" ref="CI719:CI752" si="38">IF(CG719=1,G719,0)</f>
        <v>8</v>
      </c>
      <c r="CJ719" s="1367"/>
      <c r="CK719" s="1381">
        <f t="shared" si="16"/>
        <v>0</v>
      </c>
      <c r="CL719" s="1383"/>
      <c r="CM719" s="1365">
        <f t="shared" si="17"/>
        <v>0</v>
      </c>
      <c r="CN719" s="1367"/>
      <c r="CO719" s="3"/>
      <c r="CP719" s="1362">
        <f t="shared" si="18"/>
        <v>0</v>
      </c>
      <c r="CQ719" s="1363"/>
      <c r="CR719" s="1363"/>
      <c r="CS719" s="1363"/>
      <c r="CT719" s="1364"/>
      <c r="CU719" s="1384">
        <f t="shared" si="19"/>
        <v>8</v>
      </c>
      <c r="CV719" s="1384"/>
      <c r="CW719" s="1384"/>
      <c r="CX719" s="1384"/>
      <c r="CY719" s="1384"/>
      <c r="CZ719" s="1384">
        <f t="shared" si="20"/>
        <v>0</v>
      </c>
      <c r="DA719" s="1384"/>
      <c r="DB719" s="1384"/>
      <c r="DC719" s="1384"/>
      <c r="DD719" s="1384"/>
      <c r="DE719" s="1384">
        <f t="shared" si="21"/>
        <v>0</v>
      </c>
      <c r="DF719" s="1384"/>
      <c r="DG719" s="1384"/>
      <c r="DH719" s="1384"/>
      <c r="DI719" s="1384"/>
      <c r="DJ719" s="1384">
        <f t="shared" si="22"/>
        <v>0</v>
      </c>
      <c r="DK719" s="1384"/>
      <c r="DL719" s="1384"/>
      <c r="DM719" s="1384"/>
      <c r="DN719" s="1384"/>
      <c r="DO719" s="1384">
        <f t="shared" si="23"/>
        <v>0</v>
      </c>
      <c r="DP719" s="1384"/>
      <c r="DQ719" s="1384"/>
      <c r="DR719" s="1384"/>
      <c r="DS719" s="1384"/>
      <c r="DT719" s="6"/>
      <c r="DU719" s="1398">
        <f t="shared" si="24"/>
        <v>0</v>
      </c>
      <c r="DV719" s="1398"/>
      <c r="DW719" s="1398"/>
      <c r="DX719" s="1398"/>
      <c r="DY719" s="1398"/>
      <c r="DZ719" s="1398">
        <f t="shared" si="25"/>
        <v>0</v>
      </c>
      <c r="EA719" s="1398"/>
      <c r="EB719" s="1398"/>
      <c r="EC719" s="1398"/>
      <c r="ED719" s="1398"/>
      <c r="EE719" s="1398">
        <f t="shared" si="26"/>
        <v>0</v>
      </c>
      <c r="EF719" s="1398"/>
      <c r="EG719" s="1398"/>
      <c r="EH719" s="1398"/>
      <c r="EI719" s="1398"/>
      <c r="EJ719" s="1398">
        <f t="shared" si="27"/>
        <v>0</v>
      </c>
      <c r="EK719" s="1398"/>
      <c r="EL719" s="1398"/>
      <c r="EM719" s="1398"/>
      <c r="EN719" s="1398"/>
      <c r="EO719" s="1398">
        <f t="shared" si="28"/>
        <v>0</v>
      </c>
      <c r="EP719" s="1398"/>
      <c r="EQ719" s="1398"/>
      <c r="ER719" s="1398"/>
      <c r="ES719" s="1398"/>
      <c r="ET719" s="1398">
        <f t="shared" si="29"/>
        <v>0</v>
      </c>
      <c r="EU719" s="1398"/>
      <c r="EV719" s="1398"/>
      <c r="EW719" s="1398"/>
      <c r="EX719" s="1398"/>
      <c r="EY719" s="4"/>
      <c r="EZ719" s="1381" t="str">
        <f t="shared" si="30"/>
        <v/>
      </c>
      <c r="FA719" s="1382"/>
      <c r="FB719" s="1382"/>
      <c r="FC719" s="1382"/>
      <c r="FD719" s="1383"/>
      <c r="FE719" s="1381">
        <f t="shared" si="31"/>
        <v>1458</v>
      </c>
      <c r="FF719" s="1382"/>
      <c r="FG719" s="1382"/>
      <c r="FH719" s="1382"/>
      <c r="FI719" s="1383"/>
      <c r="FJ719" s="1381" t="str">
        <f t="shared" si="32"/>
        <v/>
      </c>
      <c r="FK719" s="1382"/>
      <c r="FL719" s="1382"/>
      <c r="FM719" s="1382"/>
      <c r="FN719" s="1383"/>
      <c r="FO719" s="1381" t="str">
        <f t="shared" si="33"/>
        <v/>
      </c>
      <c r="FP719" s="1382"/>
      <c r="FQ719" s="1382"/>
      <c r="FR719" s="1382"/>
      <c r="FS719" s="1383"/>
      <c r="FT719" s="1381" t="str">
        <f t="shared" si="34"/>
        <v/>
      </c>
      <c r="FU719" s="1382"/>
      <c r="FV719" s="1382"/>
      <c r="FW719" s="1382"/>
      <c r="FX719" s="1383"/>
      <c r="FY719" s="1381" t="str">
        <f t="shared" si="35"/>
        <v/>
      </c>
      <c r="FZ719" s="1382"/>
      <c r="GA719" s="1382"/>
      <c r="GB719" s="1382"/>
      <c r="GC719" s="1383"/>
    </row>
    <row r="720" spans="1:185" ht="12.95" customHeight="1">
      <c r="A720" s="4"/>
      <c r="B720" s="1385" t="s">
        <v>324</v>
      </c>
      <c r="C720" s="1386"/>
      <c r="D720" s="1386"/>
      <c r="E720" s="1386"/>
      <c r="F720" s="1387"/>
      <c r="G720" s="1335">
        <v>12</v>
      </c>
      <c r="H720" s="1336"/>
      <c r="I720" s="1336"/>
      <c r="J720" s="1337"/>
      <c r="K720" s="1341">
        <v>666</v>
      </c>
      <c r="L720" s="1342"/>
      <c r="M720" s="1342"/>
      <c r="N720" s="1343"/>
      <c r="O720" s="1338">
        <v>1757</v>
      </c>
      <c r="P720" s="1339"/>
      <c r="Q720" s="1339"/>
      <c r="R720" s="1339"/>
      <c r="S720" s="1340"/>
      <c r="T720" s="1462">
        <v>40</v>
      </c>
      <c r="U720" s="1463"/>
      <c r="V720" s="1463"/>
      <c r="W720" s="1464"/>
      <c r="X720" s="1388">
        <f t="shared" si="8"/>
        <v>1797</v>
      </c>
      <c r="Y720" s="1389"/>
      <c r="Z720" s="1389"/>
      <c r="AA720" s="1389"/>
      <c r="AB720" s="1390"/>
      <c r="AC720" s="1500">
        <v>0.6</v>
      </c>
      <c r="AD720" s="1501"/>
      <c r="AE720" s="1501"/>
      <c r="AF720" s="1501"/>
      <c r="AG720" s="1502"/>
      <c r="AH720" s="1391">
        <f t="shared" si="36"/>
        <v>0.59979973297730305</v>
      </c>
      <c r="AI720" s="1392"/>
      <c r="AJ720" s="1393"/>
      <c r="AK720" s="1385" t="s">
        <v>590</v>
      </c>
      <c r="AL720" s="1386"/>
      <c r="AM720" s="1386"/>
      <c r="AN720" s="1386"/>
      <c r="AO720" s="1387"/>
      <c r="AP720" s="3"/>
      <c r="AQ720" s="3"/>
      <c r="AR720" s="3"/>
      <c r="AS720" s="3"/>
      <c r="AZ720" s="118">
        <f t="shared" si="9"/>
        <v>2996</v>
      </c>
      <c r="BA720" s="3"/>
      <c r="BB720" s="3"/>
      <c r="BC720" s="3"/>
      <c r="BD720" s="3"/>
      <c r="BE720" s="204"/>
      <c r="BF720" s="294">
        <f t="shared" si="10"/>
        <v>12</v>
      </c>
      <c r="BG720" s="297">
        <f t="shared" si="11"/>
        <v>9.2307692307692313E-2</v>
      </c>
      <c r="BH720" s="298">
        <f t="shared" si="12"/>
        <v>5.5384615384615386E-2</v>
      </c>
      <c r="BI720" s="3"/>
      <c r="BJ720" s="3"/>
      <c r="BK720" s="3"/>
      <c r="BL720" s="3"/>
      <c r="BM720" s="3"/>
      <c r="BN720" s="3"/>
      <c r="BS720" s="294">
        <f t="shared" si="13"/>
        <v>12</v>
      </c>
      <c r="BT720" s="297">
        <f t="shared" si="14"/>
        <v>9.2307692307692313E-2</v>
      </c>
      <c r="BU720" s="298">
        <f t="shared" si="15"/>
        <v>5.5366129197904901E-2</v>
      </c>
      <c r="CC720" s="3"/>
      <c r="CD720" s="3"/>
      <c r="CE720" s="3"/>
      <c r="CF720" s="3"/>
      <c r="CG720" s="1381">
        <f t="shared" si="37"/>
        <v>0</v>
      </c>
      <c r="CH720" s="1383"/>
      <c r="CI720" s="1365">
        <f t="shared" si="38"/>
        <v>0</v>
      </c>
      <c r="CJ720" s="1367"/>
      <c r="CK720" s="1381">
        <f t="shared" si="16"/>
        <v>0</v>
      </c>
      <c r="CL720" s="1383"/>
      <c r="CM720" s="1365">
        <f t="shared" si="17"/>
        <v>0</v>
      </c>
      <c r="CN720" s="1367"/>
      <c r="CO720" s="3"/>
      <c r="CP720" s="1362">
        <f t="shared" si="18"/>
        <v>0</v>
      </c>
      <c r="CQ720" s="1363"/>
      <c r="CR720" s="1363"/>
      <c r="CS720" s="1363"/>
      <c r="CT720" s="1364"/>
      <c r="CU720" s="1384">
        <f t="shared" si="19"/>
        <v>12</v>
      </c>
      <c r="CV720" s="1384"/>
      <c r="CW720" s="1384"/>
      <c r="CX720" s="1384"/>
      <c r="CY720" s="1384"/>
      <c r="CZ720" s="1384">
        <f t="shared" si="20"/>
        <v>0</v>
      </c>
      <c r="DA720" s="1384"/>
      <c r="DB720" s="1384"/>
      <c r="DC720" s="1384"/>
      <c r="DD720" s="1384"/>
      <c r="DE720" s="1384">
        <f t="shared" si="21"/>
        <v>0</v>
      </c>
      <c r="DF720" s="1384"/>
      <c r="DG720" s="1384"/>
      <c r="DH720" s="1384"/>
      <c r="DI720" s="1384"/>
      <c r="DJ720" s="1384">
        <f t="shared" si="22"/>
        <v>0</v>
      </c>
      <c r="DK720" s="1384"/>
      <c r="DL720" s="1384"/>
      <c r="DM720" s="1384"/>
      <c r="DN720" s="1384"/>
      <c r="DO720" s="1384">
        <f t="shared" si="23"/>
        <v>0</v>
      </c>
      <c r="DP720" s="1384"/>
      <c r="DQ720" s="1384"/>
      <c r="DR720" s="1384"/>
      <c r="DS720" s="1384"/>
      <c r="DT720" s="6"/>
      <c r="DU720" s="1398">
        <f t="shared" si="24"/>
        <v>0</v>
      </c>
      <c r="DV720" s="1398"/>
      <c r="DW720" s="1398"/>
      <c r="DX720" s="1398"/>
      <c r="DY720" s="1398"/>
      <c r="DZ720" s="1398">
        <f t="shared" si="25"/>
        <v>0</v>
      </c>
      <c r="EA720" s="1398"/>
      <c r="EB720" s="1398"/>
      <c r="EC720" s="1398"/>
      <c r="ED720" s="1398"/>
      <c r="EE720" s="1398">
        <f t="shared" si="26"/>
        <v>0</v>
      </c>
      <c r="EF720" s="1398"/>
      <c r="EG720" s="1398"/>
      <c r="EH720" s="1398"/>
      <c r="EI720" s="1398"/>
      <c r="EJ720" s="1398">
        <f t="shared" si="27"/>
        <v>0</v>
      </c>
      <c r="EK720" s="1398"/>
      <c r="EL720" s="1398"/>
      <c r="EM720" s="1398"/>
      <c r="EN720" s="1398"/>
      <c r="EO720" s="1398">
        <f t="shared" si="28"/>
        <v>0</v>
      </c>
      <c r="EP720" s="1398"/>
      <c r="EQ720" s="1398"/>
      <c r="ER720" s="1398"/>
      <c r="ES720" s="1398"/>
      <c r="ET720" s="1398">
        <f t="shared" si="29"/>
        <v>0</v>
      </c>
      <c r="EU720" s="1398"/>
      <c r="EV720" s="1398"/>
      <c r="EW720" s="1398"/>
      <c r="EX720" s="1398"/>
      <c r="EZ720" s="1381" t="str">
        <f t="shared" si="30"/>
        <v/>
      </c>
      <c r="FA720" s="1382"/>
      <c r="FB720" s="1382"/>
      <c r="FC720" s="1382"/>
      <c r="FD720" s="1383"/>
      <c r="FE720" s="1381">
        <f t="shared" si="31"/>
        <v>1757</v>
      </c>
      <c r="FF720" s="1382"/>
      <c r="FG720" s="1382"/>
      <c r="FH720" s="1382"/>
      <c r="FI720" s="1383"/>
      <c r="FJ720" s="1381" t="str">
        <f t="shared" si="32"/>
        <v/>
      </c>
      <c r="FK720" s="1382"/>
      <c r="FL720" s="1382"/>
      <c r="FM720" s="1382"/>
      <c r="FN720" s="1383"/>
      <c r="FO720" s="1381" t="str">
        <f t="shared" si="33"/>
        <v/>
      </c>
      <c r="FP720" s="1382"/>
      <c r="FQ720" s="1382"/>
      <c r="FR720" s="1382"/>
      <c r="FS720" s="1383"/>
      <c r="FT720" s="1381" t="str">
        <f t="shared" si="34"/>
        <v/>
      </c>
      <c r="FU720" s="1382"/>
      <c r="FV720" s="1382"/>
      <c r="FW720" s="1382"/>
      <c r="FX720" s="1383"/>
      <c r="FY720" s="1381" t="str">
        <f t="shared" si="35"/>
        <v/>
      </c>
      <c r="FZ720" s="1382"/>
      <c r="GA720" s="1382"/>
      <c r="GB720" s="1382"/>
      <c r="GC720" s="1383"/>
    </row>
    <row r="721" spans="1:185" ht="12.95" customHeight="1">
      <c r="B721" s="1385" t="s">
        <v>324</v>
      </c>
      <c r="C721" s="1386"/>
      <c r="D721" s="1386"/>
      <c r="E721" s="1386"/>
      <c r="F721" s="1387"/>
      <c r="G721" s="1335">
        <v>21</v>
      </c>
      <c r="H721" s="1336"/>
      <c r="I721" s="1336"/>
      <c r="J721" s="1337"/>
      <c r="K721" s="1341">
        <v>666</v>
      </c>
      <c r="L721" s="1342"/>
      <c r="M721" s="1342"/>
      <c r="N721" s="1343"/>
      <c r="O721" s="1338">
        <v>2356</v>
      </c>
      <c r="P721" s="1339"/>
      <c r="Q721" s="1339"/>
      <c r="R721" s="1339"/>
      <c r="S721" s="1340"/>
      <c r="T721" s="1462">
        <v>40</v>
      </c>
      <c r="U721" s="1463"/>
      <c r="V721" s="1463"/>
      <c r="W721" s="1464"/>
      <c r="X721" s="1388">
        <f t="shared" si="8"/>
        <v>2396</v>
      </c>
      <c r="Y721" s="1389"/>
      <c r="Z721" s="1389"/>
      <c r="AA721" s="1389"/>
      <c r="AB721" s="1390"/>
      <c r="AC721" s="1500">
        <v>0.8</v>
      </c>
      <c r="AD721" s="1501"/>
      <c r="AE721" s="1501"/>
      <c r="AF721" s="1501"/>
      <c r="AG721" s="1502"/>
      <c r="AH721" s="1391">
        <f t="shared" si="36"/>
        <v>0.7997329773030708</v>
      </c>
      <c r="AI721" s="1392"/>
      <c r="AJ721" s="1393"/>
      <c r="AK721" s="1385" t="s">
        <v>590</v>
      </c>
      <c r="AL721" s="1386"/>
      <c r="AM721" s="1386"/>
      <c r="AN721" s="1386"/>
      <c r="AO721" s="1387"/>
      <c r="AP721" s="3"/>
      <c r="AQ721" s="3"/>
      <c r="AR721" s="3"/>
      <c r="AS721" s="3"/>
      <c r="AY721" s="116"/>
      <c r="AZ721" s="118">
        <f t="shared" si="9"/>
        <v>2996</v>
      </c>
      <c r="BA721" s="3"/>
      <c r="BB721" s="3"/>
      <c r="BC721" s="3"/>
      <c r="BD721" s="3"/>
      <c r="BE721" s="204"/>
      <c r="BF721" s="294">
        <f t="shared" si="10"/>
        <v>21</v>
      </c>
      <c r="BG721" s="297">
        <f t="shared" si="11"/>
        <v>0.16153846153846155</v>
      </c>
      <c r="BH721" s="298">
        <f t="shared" si="12"/>
        <v>0.12923076923076923</v>
      </c>
      <c r="BI721" s="3"/>
      <c r="BJ721" s="3"/>
      <c r="BK721" s="3"/>
      <c r="BL721" s="3"/>
      <c r="BM721" s="3"/>
      <c r="BN721" s="3"/>
      <c r="BS721" s="294">
        <f t="shared" si="13"/>
        <v>21</v>
      </c>
      <c r="BT721" s="297">
        <f t="shared" si="14"/>
        <v>0.16153846153846155</v>
      </c>
      <c r="BU721" s="298">
        <f t="shared" si="15"/>
        <v>0.12918763479511144</v>
      </c>
      <c r="CC721" s="3"/>
      <c r="CD721" s="3"/>
      <c r="CE721" s="3"/>
      <c r="CF721" s="3"/>
      <c r="CG721" s="1381">
        <f t="shared" si="37"/>
        <v>0</v>
      </c>
      <c r="CH721" s="1383"/>
      <c r="CI721" s="1365">
        <f t="shared" si="38"/>
        <v>0</v>
      </c>
      <c r="CJ721" s="1367"/>
      <c r="CK721" s="1381">
        <f t="shared" si="16"/>
        <v>0</v>
      </c>
      <c r="CL721" s="1383"/>
      <c r="CM721" s="1365">
        <f t="shared" si="17"/>
        <v>0</v>
      </c>
      <c r="CN721" s="1367"/>
      <c r="CO721" s="3"/>
      <c r="CP721" s="1362">
        <f t="shared" si="18"/>
        <v>0</v>
      </c>
      <c r="CQ721" s="1363"/>
      <c r="CR721" s="1363"/>
      <c r="CS721" s="1363"/>
      <c r="CT721" s="1364"/>
      <c r="CU721" s="1384">
        <f t="shared" si="19"/>
        <v>21</v>
      </c>
      <c r="CV721" s="1384"/>
      <c r="CW721" s="1384"/>
      <c r="CX721" s="1384"/>
      <c r="CY721" s="1384"/>
      <c r="CZ721" s="1384">
        <f t="shared" si="20"/>
        <v>0</v>
      </c>
      <c r="DA721" s="1384"/>
      <c r="DB721" s="1384"/>
      <c r="DC721" s="1384"/>
      <c r="DD721" s="1384"/>
      <c r="DE721" s="1384">
        <f t="shared" si="21"/>
        <v>0</v>
      </c>
      <c r="DF721" s="1384"/>
      <c r="DG721" s="1384"/>
      <c r="DH721" s="1384"/>
      <c r="DI721" s="1384"/>
      <c r="DJ721" s="1384">
        <f t="shared" si="22"/>
        <v>0</v>
      </c>
      <c r="DK721" s="1384"/>
      <c r="DL721" s="1384"/>
      <c r="DM721" s="1384"/>
      <c r="DN721" s="1384"/>
      <c r="DO721" s="1384">
        <f t="shared" si="23"/>
        <v>0</v>
      </c>
      <c r="DP721" s="1384"/>
      <c r="DQ721" s="1384"/>
      <c r="DR721" s="1384"/>
      <c r="DS721" s="1384"/>
      <c r="DT721" s="6"/>
      <c r="DU721" s="1398">
        <f t="shared" si="24"/>
        <v>0</v>
      </c>
      <c r="DV721" s="1398"/>
      <c r="DW721" s="1398"/>
      <c r="DX721" s="1398"/>
      <c r="DY721" s="1398"/>
      <c r="DZ721" s="1398">
        <f t="shared" si="25"/>
        <v>0</v>
      </c>
      <c r="EA721" s="1398"/>
      <c r="EB721" s="1398"/>
      <c r="EC721" s="1398"/>
      <c r="ED721" s="1398"/>
      <c r="EE721" s="1398">
        <f t="shared" si="26"/>
        <v>0</v>
      </c>
      <c r="EF721" s="1398"/>
      <c r="EG721" s="1398"/>
      <c r="EH721" s="1398"/>
      <c r="EI721" s="1398"/>
      <c r="EJ721" s="1398">
        <f t="shared" si="27"/>
        <v>0</v>
      </c>
      <c r="EK721" s="1398"/>
      <c r="EL721" s="1398"/>
      <c r="EM721" s="1398"/>
      <c r="EN721" s="1398"/>
      <c r="EO721" s="1398">
        <f t="shared" si="28"/>
        <v>0</v>
      </c>
      <c r="EP721" s="1398"/>
      <c r="EQ721" s="1398"/>
      <c r="ER721" s="1398"/>
      <c r="ES721" s="1398"/>
      <c r="ET721" s="1398">
        <f t="shared" si="29"/>
        <v>0</v>
      </c>
      <c r="EU721" s="1398"/>
      <c r="EV721" s="1398"/>
      <c r="EW721" s="1398"/>
      <c r="EX721" s="1398"/>
      <c r="EZ721" s="1381" t="str">
        <f t="shared" si="30"/>
        <v/>
      </c>
      <c r="FA721" s="1382"/>
      <c r="FB721" s="1382"/>
      <c r="FC721" s="1382"/>
      <c r="FD721" s="1383"/>
      <c r="FE721" s="1381">
        <f t="shared" si="31"/>
        <v>2356</v>
      </c>
      <c r="FF721" s="1382"/>
      <c r="FG721" s="1382"/>
      <c r="FH721" s="1382"/>
      <c r="FI721" s="1383"/>
      <c r="FJ721" s="1381" t="str">
        <f t="shared" si="32"/>
        <v/>
      </c>
      <c r="FK721" s="1382"/>
      <c r="FL721" s="1382"/>
      <c r="FM721" s="1382"/>
      <c r="FN721" s="1383"/>
      <c r="FO721" s="1381" t="str">
        <f t="shared" si="33"/>
        <v/>
      </c>
      <c r="FP721" s="1382"/>
      <c r="FQ721" s="1382"/>
      <c r="FR721" s="1382"/>
      <c r="FS721" s="1383"/>
      <c r="FT721" s="1381" t="str">
        <f t="shared" si="34"/>
        <v/>
      </c>
      <c r="FU721" s="1382"/>
      <c r="FV721" s="1382"/>
      <c r="FW721" s="1382"/>
      <c r="FX721" s="1383"/>
      <c r="FY721" s="1381" t="str">
        <f t="shared" si="35"/>
        <v/>
      </c>
      <c r="FZ721" s="1382"/>
      <c r="GA721" s="1382"/>
      <c r="GB721" s="1382"/>
      <c r="GC721" s="1383"/>
    </row>
    <row r="722" spans="1:185" ht="12.95" customHeight="1">
      <c r="B722" s="1385" t="s">
        <v>163</v>
      </c>
      <c r="C722" s="1386"/>
      <c r="D722" s="1386"/>
      <c r="E722" s="1386"/>
      <c r="F722" s="1387"/>
      <c r="G722" s="1335">
        <v>7</v>
      </c>
      <c r="H722" s="1336"/>
      <c r="I722" s="1336"/>
      <c r="J722" s="1337"/>
      <c r="K722" s="1341">
        <v>956</v>
      </c>
      <c r="L722" s="1342"/>
      <c r="M722" s="1342"/>
      <c r="N722" s="1343"/>
      <c r="O722" s="1338">
        <v>1042</v>
      </c>
      <c r="P722" s="1339"/>
      <c r="Q722" s="1339"/>
      <c r="R722" s="1339"/>
      <c r="S722" s="1340"/>
      <c r="T722" s="1462">
        <v>36</v>
      </c>
      <c r="U722" s="1463"/>
      <c r="V722" s="1463"/>
      <c r="W722" s="1464"/>
      <c r="X722" s="1388">
        <f t="shared" si="8"/>
        <v>1078</v>
      </c>
      <c r="Y722" s="1389"/>
      <c r="Z722" s="1389"/>
      <c r="AA722" s="1389"/>
      <c r="AB722" s="1390"/>
      <c r="AC722" s="1500">
        <v>0.3</v>
      </c>
      <c r="AD722" s="1501"/>
      <c r="AE722" s="1501"/>
      <c r="AF722" s="1501"/>
      <c r="AG722" s="1502"/>
      <c r="AH722" s="1391">
        <f t="shared" si="36"/>
        <v>0.29977753058954393</v>
      </c>
      <c r="AI722" s="1392"/>
      <c r="AJ722" s="1393"/>
      <c r="AK722" s="1385" t="s">
        <v>590</v>
      </c>
      <c r="AL722" s="1386"/>
      <c r="AM722" s="1386"/>
      <c r="AN722" s="1386"/>
      <c r="AO722" s="1387"/>
      <c r="AP722" s="3"/>
      <c r="AQ722" s="3"/>
      <c r="AR722" s="3"/>
      <c r="AS722" s="3"/>
      <c r="AY722" s="116"/>
      <c r="AZ722" s="118">
        <f t="shared" si="9"/>
        <v>3596</v>
      </c>
      <c r="BA722" s="3"/>
      <c r="BB722" s="3"/>
      <c r="BC722" s="3"/>
      <c r="BD722" s="3"/>
      <c r="BE722" s="204"/>
      <c r="BF722" s="294">
        <f t="shared" si="10"/>
        <v>7</v>
      </c>
      <c r="BG722" s="297">
        <f t="shared" si="11"/>
        <v>5.3846153846153849E-2</v>
      </c>
      <c r="BH722" s="298">
        <f t="shared" si="12"/>
        <v>1.6153846153846154E-2</v>
      </c>
      <c r="BI722" s="3"/>
      <c r="BJ722" s="3"/>
      <c r="BK722" s="3"/>
      <c r="BL722" s="3"/>
      <c r="BM722" s="3"/>
      <c r="BN722" s="3"/>
      <c r="BS722" s="294">
        <f t="shared" si="13"/>
        <v>7</v>
      </c>
      <c r="BT722" s="297">
        <f t="shared" si="14"/>
        <v>5.3846153846153849E-2</v>
      </c>
      <c r="BU722" s="298">
        <f t="shared" si="15"/>
        <v>1.6141867031744674E-2</v>
      </c>
      <c r="CC722" s="3"/>
      <c r="CD722" s="3"/>
      <c r="CE722" s="3"/>
      <c r="CF722" s="3"/>
      <c r="CG722" s="1381">
        <f t="shared" si="37"/>
        <v>0</v>
      </c>
      <c r="CH722" s="1383"/>
      <c r="CI722" s="1365">
        <f t="shared" si="38"/>
        <v>0</v>
      </c>
      <c r="CJ722" s="1367"/>
      <c r="CK722" s="1381">
        <f t="shared" si="16"/>
        <v>1</v>
      </c>
      <c r="CL722" s="1383"/>
      <c r="CM722" s="1365">
        <f t="shared" si="17"/>
        <v>7</v>
      </c>
      <c r="CN722" s="1367"/>
      <c r="CO722" s="3"/>
      <c r="CP722" s="1362">
        <f t="shared" si="18"/>
        <v>0</v>
      </c>
      <c r="CQ722" s="1363"/>
      <c r="CR722" s="1363"/>
      <c r="CS722" s="1363"/>
      <c r="CT722" s="1364"/>
      <c r="CU722" s="1384">
        <f t="shared" si="19"/>
        <v>0</v>
      </c>
      <c r="CV722" s="1384"/>
      <c r="CW722" s="1384"/>
      <c r="CX722" s="1384"/>
      <c r="CY722" s="1384"/>
      <c r="CZ722" s="1384">
        <f t="shared" si="20"/>
        <v>7</v>
      </c>
      <c r="DA722" s="1384"/>
      <c r="DB722" s="1384"/>
      <c r="DC722" s="1384"/>
      <c r="DD722" s="1384"/>
      <c r="DE722" s="1384">
        <f t="shared" si="21"/>
        <v>0</v>
      </c>
      <c r="DF722" s="1384"/>
      <c r="DG722" s="1384"/>
      <c r="DH722" s="1384"/>
      <c r="DI722" s="1384"/>
      <c r="DJ722" s="1384">
        <f t="shared" si="22"/>
        <v>0</v>
      </c>
      <c r="DK722" s="1384"/>
      <c r="DL722" s="1384"/>
      <c r="DM722" s="1384"/>
      <c r="DN722" s="1384"/>
      <c r="DO722" s="1384">
        <f t="shared" si="23"/>
        <v>0</v>
      </c>
      <c r="DP722" s="1384"/>
      <c r="DQ722" s="1384"/>
      <c r="DR722" s="1384"/>
      <c r="DS722" s="1384"/>
      <c r="DT722" s="6"/>
      <c r="DU722" s="1398">
        <f t="shared" si="24"/>
        <v>0</v>
      </c>
      <c r="DV722" s="1398"/>
      <c r="DW722" s="1398"/>
      <c r="DX722" s="1398"/>
      <c r="DY722" s="1398"/>
      <c r="DZ722" s="1398">
        <f t="shared" si="25"/>
        <v>0</v>
      </c>
      <c r="EA722" s="1398"/>
      <c r="EB722" s="1398"/>
      <c r="EC722" s="1398"/>
      <c r="ED722" s="1398"/>
      <c r="EE722" s="1398">
        <f t="shared" si="26"/>
        <v>7</v>
      </c>
      <c r="EF722" s="1398"/>
      <c r="EG722" s="1398"/>
      <c r="EH722" s="1398"/>
      <c r="EI722" s="1398"/>
      <c r="EJ722" s="1398">
        <f t="shared" si="27"/>
        <v>0</v>
      </c>
      <c r="EK722" s="1398"/>
      <c r="EL722" s="1398"/>
      <c r="EM722" s="1398"/>
      <c r="EN722" s="1398"/>
      <c r="EO722" s="1398">
        <f t="shared" si="28"/>
        <v>0</v>
      </c>
      <c r="EP722" s="1398"/>
      <c r="EQ722" s="1398"/>
      <c r="ER722" s="1398"/>
      <c r="ES722" s="1398"/>
      <c r="ET722" s="1398">
        <f t="shared" si="29"/>
        <v>0</v>
      </c>
      <c r="EU722" s="1398"/>
      <c r="EV722" s="1398"/>
      <c r="EW722" s="1398"/>
      <c r="EX722" s="1398"/>
      <c r="EZ722" s="1381" t="str">
        <f t="shared" si="30"/>
        <v/>
      </c>
      <c r="FA722" s="1382"/>
      <c r="FB722" s="1382"/>
      <c r="FC722" s="1382"/>
      <c r="FD722" s="1383"/>
      <c r="FE722" s="1381" t="str">
        <f t="shared" si="31"/>
        <v/>
      </c>
      <c r="FF722" s="1382"/>
      <c r="FG722" s="1382"/>
      <c r="FH722" s="1382"/>
      <c r="FI722" s="1383"/>
      <c r="FJ722" s="1381">
        <f t="shared" si="32"/>
        <v>1042</v>
      </c>
      <c r="FK722" s="1382"/>
      <c r="FL722" s="1382"/>
      <c r="FM722" s="1382"/>
      <c r="FN722" s="1383"/>
      <c r="FO722" s="1381" t="str">
        <f t="shared" si="33"/>
        <v/>
      </c>
      <c r="FP722" s="1382"/>
      <c r="FQ722" s="1382"/>
      <c r="FR722" s="1382"/>
      <c r="FS722" s="1383"/>
      <c r="FT722" s="1381" t="str">
        <f t="shared" si="34"/>
        <v/>
      </c>
      <c r="FU722" s="1382"/>
      <c r="FV722" s="1382"/>
      <c r="FW722" s="1382"/>
      <c r="FX722" s="1383"/>
      <c r="FY722" s="1381" t="str">
        <f t="shared" si="35"/>
        <v/>
      </c>
      <c r="FZ722" s="1382"/>
      <c r="GA722" s="1382"/>
      <c r="GB722" s="1382"/>
      <c r="GC722" s="1383"/>
    </row>
    <row r="723" spans="1:185" ht="12.95" customHeight="1">
      <c r="B723" s="1385" t="s">
        <v>163</v>
      </c>
      <c r="C723" s="1386"/>
      <c r="D723" s="1386"/>
      <c r="E723" s="1386"/>
      <c r="F723" s="1387"/>
      <c r="G723" s="1335">
        <v>9</v>
      </c>
      <c r="H723" s="1336"/>
      <c r="I723" s="1336"/>
      <c r="J723" s="1337"/>
      <c r="K723" s="1341">
        <v>956</v>
      </c>
      <c r="L723" s="1342"/>
      <c r="M723" s="1342"/>
      <c r="N723" s="1343"/>
      <c r="O723" s="1338">
        <v>1762</v>
      </c>
      <c r="P723" s="1339"/>
      <c r="Q723" s="1339"/>
      <c r="R723" s="1339"/>
      <c r="S723" s="1340"/>
      <c r="T723" s="1462">
        <v>36</v>
      </c>
      <c r="U723" s="1463"/>
      <c r="V723" s="1463"/>
      <c r="W723" s="1464"/>
      <c r="X723" s="1388">
        <f t="shared" si="8"/>
        <v>1798</v>
      </c>
      <c r="Y723" s="1389"/>
      <c r="Z723" s="1389"/>
      <c r="AA723" s="1389"/>
      <c r="AB723" s="1390"/>
      <c r="AC723" s="1500">
        <v>0.5</v>
      </c>
      <c r="AD723" s="1501"/>
      <c r="AE723" s="1501"/>
      <c r="AF723" s="1501"/>
      <c r="AG723" s="1502"/>
      <c r="AH723" s="1391">
        <f t="shared" si="36"/>
        <v>0.5</v>
      </c>
      <c r="AI723" s="1392"/>
      <c r="AJ723" s="1393"/>
      <c r="AK723" s="1385" t="s">
        <v>590</v>
      </c>
      <c r="AL723" s="1386"/>
      <c r="AM723" s="1386"/>
      <c r="AN723" s="1386"/>
      <c r="AO723" s="1387"/>
      <c r="AP723" s="3"/>
      <c r="AQ723" s="3"/>
      <c r="AR723" s="3"/>
      <c r="AS723" s="3"/>
      <c r="AY723" s="116"/>
      <c r="AZ723" s="118">
        <f t="shared" si="9"/>
        <v>3596</v>
      </c>
      <c r="BA723" s="3"/>
      <c r="BB723" s="3"/>
      <c r="BC723" s="3"/>
      <c r="BD723" s="3"/>
      <c r="BE723" s="204"/>
      <c r="BF723" s="294">
        <f t="shared" si="10"/>
        <v>9</v>
      </c>
      <c r="BG723" s="297">
        <f t="shared" si="11"/>
        <v>6.9230769230769235E-2</v>
      </c>
      <c r="BH723" s="298">
        <f t="shared" si="12"/>
        <v>3.4615384615384617E-2</v>
      </c>
      <c r="BI723" s="3"/>
      <c r="BJ723" s="3"/>
      <c r="BK723" s="3"/>
      <c r="BL723" s="3"/>
      <c r="BM723" s="3"/>
      <c r="BN723" s="3"/>
      <c r="BS723" s="294">
        <f t="shared" si="13"/>
        <v>9</v>
      </c>
      <c r="BT723" s="297">
        <f t="shared" si="14"/>
        <v>6.9230769230769235E-2</v>
      </c>
      <c r="BU723" s="298">
        <f t="shared" si="15"/>
        <v>3.4615384615384617E-2</v>
      </c>
      <c r="CC723" s="3"/>
      <c r="CD723" s="3"/>
      <c r="CE723" s="3"/>
      <c r="CF723" s="3"/>
      <c r="CG723" s="1381">
        <f t="shared" si="37"/>
        <v>1</v>
      </c>
      <c r="CH723" s="1383"/>
      <c r="CI723" s="1365">
        <f t="shared" si="38"/>
        <v>9</v>
      </c>
      <c r="CJ723" s="1367"/>
      <c r="CK723" s="1381">
        <f t="shared" si="16"/>
        <v>0</v>
      </c>
      <c r="CL723" s="1383"/>
      <c r="CM723" s="1365">
        <f t="shared" si="17"/>
        <v>0</v>
      </c>
      <c r="CN723" s="1367"/>
      <c r="CO723" s="3"/>
      <c r="CP723" s="1362">
        <f t="shared" si="18"/>
        <v>0</v>
      </c>
      <c r="CQ723" s="1363"/>
      <c r="CR723" s="1363"/>
      <c r="CS723" s="1363"/>
      <c r="CT723" s="1364"/>
      <c r="CU723" s="1384">
        <f t="shared" si="19"/>
        <v>0</v>
      </c>
      <c r="CV723" s="1384"/>
      <c r="CW723" s="1384"/>
      <c r="CX723" s="1384"/>
      <c r="CY723" s="1384"/>
      <c r="CZ723" s="1384">
        <f t="shared" si="20"/>
        <v>9</v>
      </c>
      <c r="DA723" s="1384"/>
      <c r="DB723" s="1384"/>
      <c r="DC723" s="1384"/>
      <c r="DD723" s="1384"/>
      <c r="DE723" s="1384">
        <f t="shared" si="21"/>
        <v>0</v>
      </c>
      <c r="DF723" s="1384"/>
      <c r="DG723" s="1384"/>
      <c r="DH723" s="1384"/>
      <c r="DI723" s="1384"/>
      <c r="DJ723" s="1384">
        <f t="shared" si="22"/>
        <v>0</v>
      </c>
      <c r="DK723" s="1384"/>
      <c r="DL723" s="1384"/>
      <c r="DM723" s="1384"/>
      <c r="DN723" s="1384"/>
      <c r="DO723" s="1384">
        <f t="shared" si="23"/>
        <v>0</v>
      </c>
      <c r="DP723" s="1384"/>
      <c r="DQ723" s="1384"/>
      <c r="DR723" s="1384"/>
      <c r="DS723" s="1384"/>
      <c r="DT723" s="6"/>
      <c r="DU723" s="1398">
        <f t="shared" si="24"/>
        <v>0</v>
      </c>
      <c r="DV723" s="1398"/>
      <c r="DW723" s="1398"/>
      <c r="DX723" s="1398"/>
      <c r="DY723" s="1398"/>
      <c r="DZ723" s="1398">
        <f t="shared" si="25"/>
        <v>0</v>
      </c>
      <c r="EA723" s="1398"/>
      <c r="EB723" s="1398"/>
      <c r="EC723" s="1398"/>
      <c r="ED723" s="1398"/>
      <c r="EE723" s="1398">
        <f t="shared" si="26"/>
        <v>0</v>
      </c>
      <c r="EF723" s="1398"/>
      <c r="EG723" s="1398"/>
      <c r="EH723" s="1398"/>
      <c r="EI723" s="1398"/>
      <c r="EJ723" s="1398">
        <f t="shared" si="27"/>
        <v>0</v>
      </c>
      <c r="EK723" s="1398"/>
      <c r="EL723" s="1398"/>
      <c r="EM723" s="1398"/>
      <c r="EN723" s="1398"/>
      <c r="EO723" s="1398">
        <f t="shared" si="28"/>
        <v>0</v>
      </c>
      <c r="EP723" s="1398"/>
      <c r="EQ723" s="1398"/>
      <c r="ER723" s="1398"/>
      <c r="ES723" s="1398"/>
      <c r="ET723" s="1398">
        <f t="shared" si="29"/>
        <v>0</v>
      </c>
      <c r="EU723" s="1398"/>
      <c r="EV723" s="1398"/>
      <c r="EW723" s="1398"/>
      <c r="EX723" s="1398"/>
      <c r="EZ723" s="1381" t="str">
        <f t="shared" si="30"/>
        <v/>
      </c>
      <c r="FA723" s="1382"/>
      <c r="FB723" s="1382"/>
      <c r="FC723" s="1382"/>
      <c r="FD723" s="1383"/>
      <c r="FE723" s="1381" t="str">
        <f t="shared" si="31"/>
        <v/>
      </c>
      <c r="FF723" s="1382"/>
      <c r="FG723" s="1382"/>
      <c r="FH723" s="1382"/>
      <c r="FI723" s="1383"/>
      <c r="FJ723" s="1381">
        <f t="shared" si="32"/>
        <v>1762</v>
      </c>
      <c r="FK723" s="1382"/>
      <c r="FL723" s="1382"/>
      <c r="FM723" s="1382"/>
      <c r="FN723" s="1383"/>
      <c r="FO723" s="1381" t="str">
        <f t="shared" si="33"/>
        <v/>
      </c>
      <c r="FP723" s="1382"/>
      <c r="FQ723" s="1382"/>
      <c r="FR723" s="1382"/>
      <c r="FS723" s="1383"/>
      <c r="FT723" s="1381" t="str">
        <f t="shared" si="34"/>
        <v/>
      </c>
      <c r="FU723" s="1382"/>
      <c r="FV723" s="1382"/>
      <c r="FW723" s="1382"/>
      <c r="FX723" s="1383"/>
      <c r="FY723" s="1381" t="str">
        <f t="shared" si="35"/>
        <v/>
      </c>
      <c r="FZ723" s="1382"/>
      <c r="GA723" s="1382"/>
      <c r="GB723" s="1382"/>
      <c r="GC723" s="1383"/>
    </row>
    <row r="724" spans="1:185" ht="12.95" customHeight="1">
      <c r="B724" s="1385" t="s">
        <v>163</v>
      </c>
      <c r="C724" s="1386"/>
      <c r="D724" s="1386"/>
      <c r="E724" s="1386"/>
      <c r="F724" s="1387"/>
      <c r="G724" s="1335">
        <v>13</v>
      </c>
      <c r="H724" s="1336"/>
      <c r="I724" s="1336"/>
      <c r="J724" s="1337"/>
      <c r="K724" s="1341">
        <v>956</v>
      </c>
      <c r="L724" s="1342"/>
      <c r="M724" s="1342"/>
      <c r="N724" s="1343"/>
      <c r="O724" s="1338">
        <v>2121</v>
      </c>
      <c r="P724" s="1339"/>
      <c r="Q724" s="1339"/>
      <c r="R724" s="1339"/>
      <c r="S724" s="1340"/>
      <c r="T724" s="1462">
        <v>36</v>
      </c>
      <c r="U724" s="1463"/>
      <c r="V724" s="1463"/>
      <c r="W724" s="1464"/>
      <c r="X724" s="1388">
        <f t="shared" si="8"/>
        <v>2157</v>
      </c>
      <c r="Y724" s="1389"/>
      <c r="Z724" s="1389"/>
      <c r="AA724" s="1389"/>
      <c r="AB724" s="1390"/>
      <c r="AC724" s="1500">
        <v>0.6</v>
      </c>
      <c r="AD724" s="1501"/>
      <c r="AE724" s="1501"/>
      <c r="AF724" s="1501"/>
      <c r="AG724" s="1502"/>
      <c r="AH724" s="1391">
        <f t="shared" si="36"/>
        <v>0.59983314794215792</v>
      </c>
      <c r="AI724" s="1392"/>
      <c r="AJ724" s="1393"/>
      <c r="AK724" s="1385" t="s">
        <v>590</v>
      </c>
      <c r="AL724" s="1386"/>
      <c r="AM724" s="1386"/>
      <c r="AN724" s="1386"/>
      <c r="AO724" s="1387"/>
      <c r="AP724" s="3"/>
      <c r="AQ724" s="3"/>
      <c r="AR724" s="3"/>
      <c r="AS724" s="3"/>
      <c r="AY724" s="116"/>
      <c r="AZ724" s="118">
        <f t="shared" si="9"/>
        <v>3596</v>
      </c>
      <c r="BA724" s="3"/>
      <c r="BB724" s="3"/>
      <c r="BC724" s="3"/>
      <c r="BD724" s="3"/>
      <c r="BE724" s="204"/>
      <c r="BF724" s="294">
        <f t="shared" si="10"/>
        <v>13</v>
      </c>
      <c r="BG724" s="297">
        <f t="shared" si="11"/>
        <v>0.1</v>
      </c>
      <c r="BH724" s="298">
        <f t="shared" si="12"/>
        <v>0.06</v>
      </c>
      <c r="BI724" s="3"/>
      <c r="BJ724" s="3"/>
      <c r="BK724" s="3"/>
      <c r="BL724" s="3"/>
      <c r="BM724" s="3"/>
      <c r="BN724" s="3"/>
      <c r="BS724" s="294">
        <f t="shared" si="13"/>
        <v>13</v>
      </c>
      <c r="BT724" s="297">
        <f t="shared" si="14"/>
        <v>0.1</v>
      </c>
      <c r="BU724" s="298">
        <f t="shared" si="15"/>
        <v>5.9983314794215793E-2</v>
      </c>
      <c r="CC724" s="3"/>
      <c r="CE724" s="3"/>
      <c r="CF724" s="3"/>
      <c r="CG724" s="1381">
        <f t="shared" si="37"/>
        <v>0</v>
      </c>
      <c r="CH724" s="1383"/>
      <c r="CI724" s="1365">
        <f t="shared" si="38"/>
        <v>0</v>
      </c>
      <c r="CJ724" s="1367"/>
      <c r="CK724" s="1381">
        <f t="shared" si="16"/>
        <v>0</v>
      </c>
      <c r="CL724" s="1383"/>
      <c r="CM724" s="1365">
        <f t="shared" si="17"/>
        <v>0</v>
      </c>
      <c r="CN724" s="1367"/>
      <c r="CO724" s="3"/>
      <c r="CP724" s="1362">
        <f t="shared" si="18"/>
        <v>0</v>
      </c>
      <c r="CQ724" s="1363"/>
      <c r="CR724" s="1363"/>
      <c r="CS724" s="1363"/>
      <c r="CT724" s="1364"/>
      <c r="CU724" s="1384">
        <f t="shared" si="19"/>
        <v>0</v>
      </c>
      <c r="CV724" s="1384"/>
      <c r="CW724" s="1384"/>
      <c r="CX724" s="1384"/>
      <c r="CY724" s="1384"/>
      <c r="CZ724" s="1384">
        <f t="shared" si="20"/>
        <v>13</v>
      </c>
      <c r="DA724" s="1384"/>
      <c r="DB724" s="1384"/>
      <c r="DC724" s="1384"/>
      <c r="DD724" s="1384"/>
      <c r="DE724" s="1384">
        <f t="shared" si="21"/>
        <v>0</v>
      </c>
      <c r="DF724" s="1384"/>
      <c r="DG724" s="1384"/>
      <c r="DH724" s="1384"/>
      <c r="DI724" s="1384"/>
      <c r="DJ724" s="1384">
        <f t="shared" si="22"/>
        <v>0</v>
      </c>
      <c r="DK724" s="1384"/>
      <c r="DL724" s="1384"/>
      <c r="DM724" s="1384"/>
      <c r="DN724" s="1384"/>
      <c r="DO724" s="1384">
        <f t="shared" si="23"/>
        <v>0</v>
      </c>
      <c r="DP724" s="1384"/>
      <c r="DQ724" s="1384"/>
      <c r="DR724" s="1384"/>
      <c r="DS724" s="1384"/>
      <c r="DT724" s="6"/>
      <c r="DU724" s="1398">
        <f t="shared" si="24"/>
        <v>0</v>
      </c>
      <c r="DV724" s="1398"/>
      <c r="DW724" s="1398"/>
      <c r="DX724" s="1398"/>
      <c r="DY724" s="1398"/>
      <c r="DZ724" s="1398">
        <f t="shared" si="25"/>
        <v>0</v>
      </c>
      <c r="EA724" s="1398"/>
      <c r="EB724" s="1398"/>
      <c r="EC724" s="1398"/>
      <c r="ED724" s="1398"/>
      <c r="EE724" s="1398">
        <f t="shared" si="26"/>
        <v>0</v>
      </c>
      <c r="EF724" s="1398"/>
      <c r="EG724" s="1398"/>
      <c r="EH724" s="1398"/>
      <c r="EI724" s="1398"/>
      <c r="EJ724" s="1398">
        <f t="shared" si="27"/>
        <v>0</v>
      </c>
      <c r="EK724" s="1398"/>
      <c r="EL724" s="1398"/>
      <c r="EM724" s="1398"/>
      <c r="EN724" s="1398"/>
      <c r="EO724" s="1398">
        <f t="shared" si="28"/>
        <v>0</v>
      </c>
      <c r="EP724" s="1398"/>
      <c r="EQ724" s="1398"/>
      <c r="ER724" s="1398"/>
      <c r="ES724" s="1398"/>
      <c r="ET724" s="1398">
        <f t="shared" si="29"/>
        <v>0</v>
      </c>
      <c r="EU724" s="1398"/>
      <c r="EV724" s="1398"/>
      <c r="EW724" s="1398"/>
      <c r="EX724" s="1398"/>
      <c r="EZ724" s="1381" t="str">
        <f t="shared" si="30"/>
        <v/>
      </c>
      <c r="FA724" s="1382"/>
      <c r="FB724" s="1382"/>
      <c r="FC724" s="1382"/>
      <c r="FD724" s="1383"/>
      <c r="FE724" s="1381" t="str">
        <f t="shared" si="31"/>
        <v/>
      </c>
      <c r="FF724" s="1382"/>
      <c r="FG724" s="1382"/>
      <c r="FH724" s="1382"/>
      <c r="FI724" s="1383"/>
      <c r="FJ724" s="1381">
        <f t="shared" si="32"/>
        <v>2121</v>
      </c>
      <c r="FK724" s="1382"/>
      <c r="FL724" s="1382"/>
      <c r="FM724" s="1382"/>
      <c r="FN724" s="1383"/>
      <c r="FO724" s="1381" t="str">
        <f t="shared" si="33"/>
        <v/>
      </c>
      <c r="FP724" s="1382"/>
      <c r="FQ724" s="1382"/>
      <c r="FR724" s="1382"/>
      <c r="FS724" s="1383"/>
      <c r="FT724" s="1381" t="str">
        <f t="shared" si="34"/>
        <v/>
      </c>
      <c r="FU724" s="1382"/>
      <c r="FV724" s="1382"/>
      <c r="FW724" s="1382"/>
      <c r="FX724" s="1383"/>
      <c r="FY724" s="1381" t="str">
        <f t="shared" si="35"/>
        <v/>
      </c>
      <c r="FZ724" s="1382"/>
      <c r="GA724" s="1382"/>
      <c r="GB724" s="1382"/>
      <c r="GC724" s="1383"/>
    </row>
    <row r="725" spans="1:185" ht="12.95" customHeight="1">
      <c r="B725" s="1385" t="s">
        <v>163</v>
      </c>
      <c r="C725" s="1386"/>
      <c r="D725" s="1386"/>
      <c r="E725" s="1386"/>
      <c r="F725" s="1387"/>
      <c r="G725" s="1335">
        <v>13</v>
      </c>
      <c r="H725" s="1336"/>
      <c r="I725" s="1336"/>
      <c r="J725" s="1337"/>
      <c r="K725" s="1341">
        <v>956</v>
      </c>
      <c r="L725" s="1342"/>
      <c r="M725" s="1342"/>
      <c r="N725" s="1343"/>
      <c r="O725" s="1338">
        <v>2619</v>
      </c>
      <c r="P725" s="1339"/>
      <c r="Q725" s="1339"/>
      <c r="R725" s="1339"/>
      <c r="S725" s="1340"/>
      <c r="T725" s="1462">
        <v>36</v>
      </c>
      <c r="U725" s="1463"/>
      <c r="V725" s="1463"/>
      <c r="W725" s="1464"/>
      <c r="X725" s="1388">
        <f t="shared" si="8"/>
        <v>2655</v>
      </c>
      <c r="Y725" s="1389"/>
      <c r="Z725" s="1389"/>
      <c r="AA725" s="1389"/>
      <c r="AB725" s="1390"/>
      <c r="AC725" s="1500">
        <v>0.8</v>
      </c>
      <c r="AD725" s="1501"/>
      <c r="AE725" s="1501"/>
      <c r="AF725" s="1501"/>
      <c r="AG725" s="1502"/>
      <c r="AH725" s="1391">
        <f t="shared" si="36"/>
        <v>0.73832035595105672</v>
      </c>
      <c r="AI725" s="1392"/>
      <c r="AJ725" s="1393"/>
      <c r="AK725" s="1385" t="s">
        <v>590</v>
      </c>
      <c r="AL725" s="1386"/>
      <c r="AM725" s="1386"/>
      <c r="AN725" s="1386"/>
      <c r="AO725" s="1387"/>
      <c r="AP725" s="3"/>
      <c r="AQ725" s="3"/>
      <c r="AR725" s="3"/>
      <c r="AS725" s="3"/>
      <c r="AY725" s="1085"/>
      <c r="AZ725" s="118">
        <f t="shared" si="9"/>
        <v>3596</v>
      </c>
      <c r="BA725" s="3"/>
      <c r="BB725" s="3"/>
      <c r="BC725" s="3"/>
      <c r="BD725" s="3"/>
      <c r="BE725" s="204"/>
      <c r="BF725" s="294">
        <f t="shared" si="10"/>
        <v>13</v>
      </c>
      <c r="BG725" s="297">
        <f t="shared" si="11"/>
        <v>0.1</v>
      </c>
      <c r="BH725" s="298">
        <f t="shared" si="12"/>
        <v>8.0000000000000016E-2</v>
      </c>
      <c r="BI725" s="3"/>
      <c r="BJ725" s="3"/>
      <c r="BK725" s="3"/>
      <c r="BL725" s="3"/>
      <c r="BM725" s="3"/>
      <c r="BN725" s="3"/>
      <c r="BS725" s="294">
        <f t="shared" si="13"/>
        <v>13</v>
      </c>
      <c r="BT725" s="297">
        <f t="shared" si="14"/>
        <v>0.1</v>
      </c>
      <c r="BU725" s="298">
        <f t="shared" si="15"/>
        <v>7.3832035595105677E-2</v>
      </c>
      <c r="BV725" s="292"/>
      <c r="BW725" s="3"/>
      <c r="BX725" s="3"/>
      <c r="BY725" s="3"/>
      <c r="BZ725" s="3"/>
      <c r="CA725" s="3"/>
      <c r="CB725" s="3"/>
      <c r="CC725" s="3"/>
      <c r="CE725" s="3"/>
      <c r="CF725" s="3"/>
      <c r="CG725" s="1381">
        <f t="shared" si="37"/>
        <v>0</v>
      </c>
      <c r="CH725" s="1383"/>
      <c r="CI725" s="1365">
        <f t="shared" si="38"/>
        <v>0</v>
      </c>
      <c r="CJ725" s="1367"/>
      <c r="CK725" s="1381">
        <f t="shared" si="16"/>
        <v>0</v>
      </c>
      <c r="CL725" s="1383"/>
      <c r="CM725" s="1365">
        <f t="shared" si="17"/>
        <v>0</v>
      </c>
      <c r="CN725" s="1367"/>
      <c r="CO725" s="3"/>
      <c r="CP725" s="1362">
        <f t="shared" si="18"/>
        <v>0</v>
      </c>
      <c r="CQ725" s="1363"/>
      <c r="CR725" s="1363"/>
      <c r="CS725" s="1363"/>
      <c r="CT725" s="1364"/>
      <c r="CU725" s="1384">
        <f t="shared" si="19"/>
        <v>0</v>
      </c>
      <c r="CV725" s="1384"/>
      <c r="CW725" s="1384"/>
      <c r="CX725" s="1384"/>
      <c r="CY725" s="1384"/>
      <c r="CZ725" s="1384">
        <f t="shared" si="20"/>
        <v>13</v>
      </c>
      <c r="DA725" s="1384"/>
      <c r="DB725" s="1384"/>
      <c r="DC725" s="1384"/>
      <c r="DD725" s="1384"/>
      <c r="DE725" s="1384">
        <f t="shared" si="21"/>
        <v>0</v>
      </c>
      <c r="DF725" s="1384"/>
      <c r="DG725" s="1384"/>
      <c r="DH725" s="1384"/>
      <c r="DI725" s="1384"/>
      <c r="DJ725" s="1384">
        <f t="shared" si="22"/>
        <v>0</v>
      </c>
      <c r="DK725" s="1384"/>
      <c r="DL725" s="1384"/>
      <c r="DM725" s="1384"/>
      <c r="DN725" s="1384"/>
      <c r="DO725" s="1384">
        <f t="shared" si="23"/>
        <v>0</v>
      </c>
      <c r="DP725" s="1384"/>
      <c r="DQ725" s="1384"/>
      <c r="DR725" s="1384"/>
      <c r="DS725" s="1384"/>
      <c r="DT725" s="6"/>
      <c r="DU725" s="1398">
        <f t="shared" si="24"/>
        <v>0</v>
      </c>
      <c r="DV725" s="1398"/>
      <c r="DW725" s="1398"/>
      <c r="DX725" s="1398"/>
      <c r="DY725" s="1398"/>
      <c r="DZ725" s="1398">
        <f t="shared" si="25"/>
        <v>0</v>
      </c>
      <c r="EA725" s="1398"/>
      <c r="EB725" s="1398"/>
      <c r="EC725" s="1398"/>
      <c r="ED725" s="1398"/>
      <c r="EE725" s="1398">
        <f t="shared" si="26"/>
        <v>0</v>
      </c>
      <c r="EF725" s="1398"/>
      <c r="EG725" s="1398"/>
      <c r="EH725" s="1398"/>
      <c r="EI725" s="1398"/>
      <c r="EJ725" s="1398">
        <f t="shared" si="27"/>
        <v>0</v>
      </c>
      <c r="EK725" s="1398"/>
      <c r="EL725" s="1398"/>
      <c r="EM725" s="1398"/>
      <c r="EN725" s="1398"/>
      <c r="EO725" s="1398">
        <f t="shared" si="28"/>
        <v>0</v>
      </c>
      <c r="EP725" s="1398"/>
      <c r="EQ725" s="1398"/>
      <c r="ER725" s="1398"/>
      <c r="ES725" s="1398"/>
      <c r="ET725" s="1398">
        <f t="shared" si="29"/>
        <v>0</v>
      </c>
      <c r="EU725" s="1398"/>
      <c r="EV725" s="1398"/>
      <c r="EW725" s="1398"/>
      <c r="EX725" s="1398"/>
      <c r="EZ725" s="1381" t="str">
        <f t="shared" si="30"/>
        <v/>
      </c>
      <c r="FA725" s="1382"/>
      <c r="FB725" s="1382"/>
      <c r="FC725" s="1382"/>
      <c r="FD725" s="1383"/>
      <c r="FE725" s="1381" t="str">
        <f t="shared" si="31"/>
        <v/>
      </c>
      <c r="FF725" s="1382"/>
      <c r="FG725" s="1382"/>
      <c r="FH725" s="1382"/>
      <c r="FI725" s="1383"/>
      <c r="FJ725" s="1381">
        <f t="shared" si="32"/>
        <v>2619</v>
      </c>
      <c r="FK725" s="1382"/>
      <c r="FL725" s="1382"/>
      <c r="FM725" s="1382"/>
      <c r="FN725" s="1383"/>
      <c r="FO725" s="1381" t="str">
        <f t="shared" si="33"/>
        <v/>
      </c>
      <c r="FP725" s="1382"/>
      <c r="FQ725" s="1382"/>
      <c r="FR725" s="1382"/>
      <c r="FS725" s="1383"/>
      <c r="FT725" s="1381" t="str">
        <f t="shared" si="34"/>
        <v/>
      </c>
      <c r="FU725" s="1382"/>
      <c r="FV725" s="1382"/>
      <c r="FW725" s="1382"/>
      <c r="FX725" s="1383"/>
      <c r="FY725" s="1381" t="str">
        <f t="shared" si="35"/>
        <v/>
      </c>
      <c r="FZ725" s="1382"/>
      <c r="GA725" s="1382"/>
      <c r="GB725" s="1382"/>
      <c r="GC725" s="1383"/>
    </row>
    <row r="726" spans="1:185" ht="12.95" customHeight="1">
      <c r="B726" s="1385" t="s">
        <v>164</v>
      </c>
      <c r="C726" s="1386"/>
      <c r="D726" s="1386"/>
      <c r="E726" s="1386"/>
      <c r="F726" s="1387"/>
      <c r="G726" s="1335">
        <v>11</v>
      </c>
      <c r="H726" s="1336"/>
      <c r="I726" s="1336"/>
      <c r="J726" s="1337"/>
      <c r="K726" s="1341">
        <v>1070</v>
      </c>
      <c r="L726" s="1342"/>
      <c r="M726" s="1342"/>
      <c r="N726" s="1343"/>
      <c r="O726" s="1338">
        <v>1202</v>
      </c>
      <c r="P726" s="1339"/>
      <c r="Q726" s="1339"/>
      <c r="R726" s="1339"/>
      <c r="S726" s="1340"/>
      <c r="T726" s="1462">
        <v>44</v>
      </c>
      <c r="U726" s="1463"/>
      <c r="V726" s="1463"/>
      <c r="W726" s="1464"/>
      <c r="X726" s="1388">
        <f t="shared" si="8"/>
        <v>1246</v>
      </c>
      <c r="Y726" s="1389"/>
      <c r="Z726" s="1389"/>
      <c r="AA726" s="1389"/>
      <c r="AB726" s="1390"/>
      <c r="AC726" s="1500">
        <v>0.3</v>
      </c>
      <c r="AD726" s="1501"/>
      <c r="AE726" s="1501"/>
      <c r="AF726" s="1501"/>
      <c r="AG726" s="1502"/>
      <c r="AH726" s="1391">
        <f t="shared" si="36"/>
        <v>0.29995185363505056</v>
      </c>
      <c r="AI726" s="1392"/>
      <c r="AJ726" s="1393"/>
      <c r="AK726" s="1385" t="s">
        <v>590</v>
      </c>
      <c r="AL726" s="1386"/>
      <c r="AM726" s="1386"/>
      <c r="AN726" s="1386"/>
      <c r="AO726" s="1387"/>
      <c r="AP726" s="3"/>
      <c r="AQ726" s="3"/>
      <c r="AR726" s="3"/>
      <c r="AS726" s="3"/>
      <c r="AY726" s="1085"/>
      <c r="AZ726" s="118">
        <f t="shared" si="9"/>
        <v>4154</v>
      </c>
      <c r="BA726" s="3"/>
      <c r="BB726" s="3"/>
      <c r="BC726" s="3"/>
      <c r="BD726" s="3"/>
      <c r="BE726" s="204"/>
      <c r="BF726" s="294">
        <f t="shared" si="10"/>
        <v>11</v>
      </c>
      <c r="BG726" s="297">
        <f t="shared" si="11"/>
        <v>8.461538461538462E-2</v>
      </c>
      <c r="BH726" s="298">
        <f t="shared" si="12"/>
        <v>2.5384615384615384E-2</v>
      </c>
      <c r="BI726" s="3"/>
      <c r="BJ726" s="3"/>
      <c r="BK726" s="3"/>
      <c r="BL726" s="3"/>
      <c r="BM726" s="3"/>
      <c r="BN726" s="3"/>
      <c r="BS726" s="294">
        <f t="shared" si="13"/>
        <v>11</v>
      </c>
      <c r="BT726" s="297">
        <f t="shared" si="14"/>
        <v>8.461538461538462E-2</v>
      </c>
      <c r="BU726" s="298">
        <f t="shared" si="15"/>
        <v>2.5380541461427358E-2</v>
      </c>
      <c r="BV726" s="3"/>
      <c r="BW726" s="3"/>
      <c r="BX726" s="3"/>
      <c r="BY726" s="3"/>
      <c r="BZ726" s="3"/>
      <c r="CA726" s="3"/>
      <c r="CB726" s="3"/>
      <c r="CC726" s="3"/>
      <c r="CE726" s="3"/>
      <c r="CF726" s="3"/>
      <c r="CG726" s="1381">
        <f t="shared" si="37"/>
        <v>0</v>
      </c>
      <c r="CH726" s="1383"/>
      <c r="CI726" s="1365">
        <f t="shared" si="38"/>
        <v>0</v>
      </c>
      <c r="CJ726" s="1367"/>
      <c r="CK726" s="1381">
        <f t="shared" si="16"/>
        <v>1</v>
      </c>
      <c r="CL726" s="1383"/>
      <c r="CM726" s="1365">
        <f t="shared" si="17"/>
        <v>11</v>
      </c>
      <c r="CN726" s="1367"/>
      <c r="CO726" s="3"/>
      <c r="CP726" s="1362">
        <f t="shared" si="18"/>
        <v>0</v>
      </c>
      <c r="CQ726" s="1363"/>
      <c r="CR726" s="1363"/>
      <c r="CS726" s="1363"/>
      <c r="CT726" s="1364"/>
      <c r="CU726" s="1384">
        <f t="shared" si="19"/>
        <v>0</v>
      </c>
      <c r="CV726" s="1384"/>
      <c r="CW726" s="1384"/>
      <c r="CX726" s="1384"/>
      <c r="CY726" s="1384"/>
      <c r="CZ726" s="1384">
        <f t="shared" si="20"/>
        <v>0</v>
      </c>
      <c r="DA726" s="1384"/>
      <c r="DB726" s="1384"/>
      <c r="DC726" s="1384"/>
      <c r="DD726" s="1384"/>
      <c r="DE726" s="1384">
        <f t="shared" si="21"/>
        <v>11</v>
      </c>
      <c r="DF726" s="1384"/>
      <c r="DG726" s="1384"/>
      <c r="DH726" s="1384"/>
      <c r="DI726" s="1384"/>
      <c r="DJ726" s="1384">
        <f t="shared" si="22"/>
        <v>0</v>
      </c>
      <c r="DK726" s="1384"/>
      <c r="DL726" s="1384"/>
      <c r="DM726" s="1384"/>
      <c r="DN726" s="1384"/>
      <c r="DO726" s="1384">
        <f t="shared" si="23"/>
        <v>0</v>
      </c>
      <c r="DP726" s="1384"/>
      <c r="DQ726" s="1384"/>
      <c r="DR726" s="1384"/>
      <c r="DS726" s="1384"/>
      <c r="DT726" s="6"/>
      <c r="DU726" s="1398">
        <f t="shared" si="24"/>
        <v>0</v>
      </c>
      <c r="DV726" s="1398"/>
      <c r="DW726" s="1398"/>
      <c r="DX726" s="1398"/>
      <c r="DY726" s="1398"/>
      <c r="DZ726" s="1398">
        <f t="shared" si="25"/>
        <v>0</v>
      </c>
      <c r="EA726" s="1398"/>
      <c r="EB726" s="1398"/>
      <c r="EC726" s="1398"/>
      <c r="ED726" s="1398"/>
      <c r="EE726" s="1398">
        <f t="shared" si="26"/>
        <v>0</v>
      </c>
      <c r="EF726" s="1398"/>
      <c r="EG726" s="1398"/>
      <c r="EH726" s="1398"/>
      <c r="EI726" s="1398"/>
      <c r="EJ726" s="1398">
        <f t="shared" si="27"/>
        <v>11</v>
      </c>
      <c r="EK726" s="1398"/>
      <c r="EL726" s="1398"/>
      <c r="EM726" s="1398"/>
      <c r="EN726" s="1398"/>
      <c r="EO726" s="1398">
        <f t="shared" si="28"/>
        <v>0</v>
      </c>
      <c r="EP726" s="1398"/>
      <c r="EQ726" s="1398"/>
      <c r="ER726" s="1398"/>
      <c r="ES726" s="1398"/>
      <c r="ET726" s="1398">
        <f t="shared" si="29"/>
        <v>0</v>
      </c>
      <c r="EU726" s="1398"/>
      <c r="EV726" s="1398"/>
      <c r="EW726" s="1398"/>
      <c r="EX726" s="1398"/>
      <c r="EY726" s="4"/>
      <c r="EZ726" s="1381" t="str">
        <f t="shared" si="30"/>
        <v/>
      </c>
      <c r="FA726" s="1382"/>
      <c r="FB726" s="1382"/>
      <c r="FC726" s="1382"/>
      <c r="FD726" s="1383"/>
      <c r="FE726" s="1381" t="str">
        <f t="shared" si="31"/>
        <v/>
      </c>
      <c r="FF726" s="1382"/>
      <c r="FG726" s="1382"/>
      <c r="FH726" s="1382"/>
      <c r="FI726" s="1383"/>
      <c r="FJ726" s="1381" t="str">
        <f t="shared" si="32"/>
        <v/>
      </c>
      <c r="FK726" s="1382"/>
      <c r="FL726" s="1382"/>
      <c r="FM726" s="1382"/>
      <c r="FN726" s="1383"/>
      <c r="FO726" s="1381">
        <f t="shared" si="33"/>
        <v>1202</v>
      </c>
      <c r="FP726" s="1382"/>
      <c r="FQ726" s="1382"/>
      <c r="FR726" s="1382"/>
      <c r="FS726" s="1383"/>
      <c r="FT726" s="1381" t="str">
        <f t="shared" si="34"/>
        <v/>
      </c>
      <c r="FU726" s="1382"/>
      <c r="FV726" s="1382"/>
      <c r="FW726" s="1382"/>
      <c r="FX726" s="1383"/>
      <c r="FY726" s="1381" t="str">
        <f t="shared" si="35"/>
        <v/>
      </c>
      <c r="FZ726" s="1382"/>
      <c r="GA726" s="1382"/>
      <c r="GB726" s="1382"/>
      <c r="GC726" s="1383"/>
    </row>
    <row r="727" spans="1:185" ht="12.95" customHeight="1">
      <c r="A727" s="4"/>
      <c r="B727" s="1385" t="s">
        <v>164</v>
      </c>
      <c r="C727" s="1386"/>
      <c r="D727" s="1386"/>
      <c r="E727" s="1386"/>
      <c r="F727" s="1387"/>
      <c r="G727" s="1394">
        <v>10</v>
      </c>
      <c r="H727" s="1395"/>
      <c r="I727" s="1395"/>
      <c r="J727" s="1396"/>
      <c r="K727" s="1341">
        <v>1070</v>
      </c>
      <c r="L727" s="1342"/>
      <c r="M727" s="1342"/>
      <c r="N727" s="1343"/>
      <c r="O727" s="1462">
        <v>2033</v>
      </c>
      <c r="P727" s="1463"/>
      <c r="Q727" s="1463"/>
      <c r="R727" s="1463"/>
      <c r="S727" s="1464"/>
      <c r="T727" s="1462">
        <v>44</v>
      </c>
      <c r="U727" s="1463"/>
      <c r="V727" s="1463"/>
      <c r="W727" s="1464"/>
      <c r="X727" s="1388">
        <f t="shared" si="8"/>
        <v>2077</v>
      </c>
      <c r="Y727" s="1389"/>
      <c r="Z727" s="1389"/>
      <c r="AA727" s="1389"/>
      <c r="AB727" s="1390"/>
      <c r="AC727" s="1500">
        <v>0.5</v>
      </c>
      <c r="AD727" s="1501"/>
      <c r="AE727" s="1501"/>
      <c r="AF727" s="1501"/>
      <c r="AG727" s="1502"/>
      <c r="AH727" s="1391">
        <f t="shared" si="36"/>
        <v>0.5</v>
      </c>
      <c r="AI727" s="1392"/>
      <c r="AJ727" s="1393"/>
      <c r="AK727" s="1385" t="s">
        <v>590</v>
      </c>
      <c r="AL727" s="1386"/>
      <c r="AM727" s="1386"/>
      <c r="AN727" s="1386"/>
      <c r="AO727" s="1387"/>
      <c r="AP727" s="3"/>
      <c r="AQ727" s="3"/>
      <c r="AR727" s="3"/>
      <c r="AS727" s="3"/>
      <c r="AY727" s="1085"/>
      <c r="AZ727" s="118">
        <f t="shared" si="9"/>
        <v>4154</v>
      </c>
      <c r="BA727" s="3"/>
      <c r="BB727" s="3"/>
      <c r="BC727" s="3"/>
      <c r="BD727" s="3"/>
      <c r="BE727" s="204"/>
      <c r="BF727" s="294">
        <f t="shared" si="10"/>
        <v>10</v>
      </c>
      <c r="BG727" s="297">
        <f t="shared" si="11"/>
        <v>7.6923076923076927E-2</v>
      </c>
      <c r="BH727" s="298">
        <f t="shared" si="12"/>
        <v>3.8461538461538464E-2</v>
      </c>
      <c r="BI727" s="3"/>
      <c r="BJ727" s="3"/>
      <c r="BK727" s="3"/>
      <c r="BL727" s="3"/>
      <c r="BM727" s="3"/>
      <c r="BN727" s="3"/>
      <c r="BS727" s="294">
        <f t="shared" si="13"/>
        <v>10</v>
      </c>
      <c r="BT727" s="297">
        <f t="shared" si="14"/>
        <v>7.6923076923076927E-2</v>
      </c>
      <c r="BU727" s="298">
        <f t="shared" si="15"/>
        <v>3.8461538461538464E-2</v>
      </c>
      <c r="BV727" s="3"/>
      <c r="BW727" s="3"/>
      <c r="BX727" s="3"/>
      <c r="BY727" s="3"/>
      <c r="BZ727" s="3"/>
      <c r="CA727" s="3"/>
      <c r="CB727" s="3"/>
      <c r="CC727" s="3"/>
      <c r="CE727" s="3"/>
      <c r="CF727" s="3"/>
      <c r="CG727" s="1381">
        <f t="shared" si="37"/>
        <v>1</v>
      </c>
      <c r="CH727" s="1383"/>
      <c r="CI727" s="1365">
        <f t="shared" si="38"/>
        <v>10</v>
      </c>
      <c r="CJ727" s="1367"/>
      <c r="CK727" s="1381">
        <f t="shared" si="16"/>
        <v>0</v>
      </c>
      <c r="CL727" s="1383"/>
      <c r="CM727" s="1365">
        <f t="shared" si="17"/>
        <v>0</v>
      </c>
      <c r="CN727" s="1367"/>
      <c r="CO727" s="3"/>
      <c r="CP727" s="1362">
        <f t="shared" si="18"/>
        <v>0</v>
      </c>
      <c r="CQ727" s="1363"/>
      <c r="CR727" s="1363"/>
      <c r="CS727" s="1363"/>
      <c r="CT727" s="1364"/>
      <c r="CU727" s="1384">
        <f t="shared" si="19"/>
        <v>0</v>
      </c>
      <c r="CV727" s="1384"/>
      <c r="CW727" s="1384"/>
      <c r="CX727" s="1384"/>
      <c r="CY727" s="1384"/>
      <c r="CZ727" s="1384">
        <f t="shared" si="20"/>
        <v>0</v>
      </c>
      <c r="DA727" s="1384"/>
      <c r="DB727" s="1384"/>
      <c r="DC727" s="1384"/>
      <c r="DD727" s="1384"/>
      <c r="DE727" s="1384">
        <f t="shared" si="21"/>
        <v>10</v>
      </c>
      <c r="DF727" s="1384"/>
      <c r="DG727" s="1384"/>
      <c r="DH727" s="1384"/>
      <c r="DI727" s="1384"/>
      <c r="DJ727" s="1384">
        <f t="shared" si="22"/>
        <v>0</v>
      </c>
      <c r="DK727" s="1384"/>
      <c r="DL727" s="1384"/>
      <c r="DM727" s="1384"/>
      <c r="DN727" s="1384"/>
      <c r="DO727" s="1384">
        <f t="shared" si="23"/>
        <v>0</v>
      </c>
      <c r="DP727" s="1384"/>
      <c r="DQ727" s="1384"/>
      <c r="DR727" s="1384"/>
      <c r="DS727" s="1384"/>
      <c r="DT727" s="6"/>
      <c r="DU727" s="1398">
        <f t="shared" si="24"/>
        <v>0</v>
      </c>
      <c r="DV727" s="1398"/>
      <c r="DW727" s="1398"/>
      <c r="DX727" s="1398"/>
      <c r="DY727" s="1398"/>
      <c r="DZ727" s="1398">
        <f t="shared" si="25"/>
        <v>0</v>
      </c>
      <c r="EA727" s="1398"/>
      <c r="EB727" s="1398"/>
      <c r="EC727" s="1398"/>
      <c r="ED727" s="1398"/>
      <c r="EE727" s="1398">
        <f t="shared" si="26"/>
        <v>0</v>
      </c>
      <c r="EF727" s="1398"/>
      <c r="EG727" s="1398"/>
      <c r="EH727" s="1398"/>
      <c r="EI727" s="1398"/>
      <c r="EJ727" s="1398">
        <f t="shared" si="27"/>
        <v>0</v>
      </c>
      <c r="EK727" s="1398"/>
      <c r="EL727" s="1398"/>
      <c r="EM727" s="1398"/>
      <c r="EN727" s="1398"/>
      <c r="EO727" s="1398">
        <f t="shared" si="28"/>
        <v>0</v>
      </c>
      <c r="EP727" s="1398"/>
      <c r="EQ727" s="1398"/>
      <c r="ER727" s="1398"/>
      <c r="ES727" s="1398"/>
      <c r="ET727" s="1398">
        <f t="shared" si="29"/>
        <v>0</v>
      </c>
      <c r="EU727" s="1398"/>
      <c r="EV727" s="1398"/>
      <c r="EW727" s="1398"/>
      <c r="EX727" s="1398"/>
      <c r="EY727" s="4"/>
      <c r="EZ727" s="1381" t="str">
        <f t="shared" si="30"/>
        <v/>
      </c>
      <c r="FA727" s="1382"/>
      <c r="FB727" s="1382"/>
      <c r="FC727" s="1382"/>
      <c r="FD727" s="1383"/>
      <c r="FE727" s="1381" t="str">
        <f t="shared" si="31"/>
        <v/>
      </c>
      <c r="FF727" s="1382"/>
      <c r="FG727" s="1382"/>
      <c r="FH727" s="1382"/>
      <c r="FI727" s="1383"/>
      <c r="FJ727" s="1381" t="str">
        <f t="shared" si="32"/>
        <v/>
      </c>
      <c r="FK727" s="1382"/>
      <c r="FL727" s="1382"/>
      <c r="FM727" s="1382"/>
      <c r="FN727" s="1383"/>
      <c r="FO727" s="1381">
        <f t="shared" si="33"/>
        <v>2033</v>
      </c>
      <c r="FP727" s="1382"/>
      <c r="FQ727" s="1382"/>
      <c r="FR727" s="1382"/>
      <c r="FS727" s="1383"/>
      <c r="FT727" s="1381" t="str">
        <f t="shared" si="34"/>
        <v/>
      </c>
      <c r="FU727" s="1382"/>
      <c r="FV727" s="1382"/>
      <c r="FW727" s="1382"/>
      <c r="FX727" s="1383"/>
      <c r="FY727" s="1381" t="str">
        <f t="shared" si="35"/>
        <v/>
      </c>
      <c r="FZ727" s="1382"/>
      <c r="GA727" s="1382"/>
      <c r="GB727" s="1382"/>
      <c r="GC727" s="1383"/>
    </row>
    <row r="728" spans="1:185" ht="12.95" customHeight="1">
      <c r="A728" s="4"/>
      <c r="B728" s="1385" t="s">
        <v>164</v>
      </c>
      <c r="C728" s="1386"/>
      <c r="D728" s="1386"/>
      <c r="E728" s="1386"/>
      <c r="F728" s="1387"/>
      <c r="G728" s="1394">
        <v>9</v>
      </c>
      <c r="H728" s="1395"/>
      <c r="I728" s="1395"/>
      <c r="J728" s="1396"/>
      <c r="K728" s="1341">
        <v>1070</v>
      </c>
      <c r="L728" s="1342"/>
      <c r="M728" s="1342"/>
      <c r="N728" s="1343"/>
      <c r="O728" s="1462">
        <v>2448</v>
      </c>
      <c r="P728" s="1463"/>
      <c r="Q728" s="1463"/>
      <c r="R728" s="1463"/>
      <c r="S728" s="1464"/>
      <c r="T728" s="1462">
        <v>44</v>
      </c>
      <c r="U728" s="1463"/>
      <c r="V728" s="1463"/>
      <c r="W728" s="1464"/>
      <c r="X728" s="1388">
        <f t="shared" si="8"/>
        <v>2492</v>
      </c>
      <c r="Y728" s="1389"/>
      <c r="Z728" s="1389"/>
      <c r="AA728" s="1389"/>
      <c r="AB728" s="1390"/>
      <c r="AC728" s="1500">
        <v>0.6</v>
      </c>
      <c r="AD728" s="1501"/>
      <c r="AE728" s="1501"/>
      <c r="AF728" s="1501"/>
      <c r="AG728" s="1502"/>
      <c r="AH728" s="1391">
        <f t="shared" si="36"/>
        <v>0.59990370727010112</v>
      </c>
      <c r="AI728" s="1392"/>
      <c r="AJ728" s="1393"/>
      <c r="AK728" s="1385" t="s">
        <v>590</v>
      </c>
      <c r="AL728" s="1386"/>
      <c r="AM728" s="1386"/>
      <c r="AN728" s="1386"/>
      <c r="AO728" s="1387"/>
      <c r="AP728" s="3"/>
      <c r="AQ728" s="3"/>
      <c r="AR728" s="3"/>
      <c r="AS728" s="3"/>
      <c r="AY728" s="1085"/>
      <c r="AZ728" s="118">
        <f t="shared" si="9"/>
        <v>4154</v>
      </c>
      <c r="BA728" s="3"/>
      <c r="BB728" s="3"/>
      <c r="BC728" s="3"/>
      <c r="BD728" s="3"/>
      <c r="BE728" s="204"/>
      <c r="BF728" s="294">
        <f t="shared" si="10"/>
        <v>9</v>
      </c>
      <c r="BG728" s="297">
        <f t="shared" si="11"/>
        <v>6.9230769230769235E-2</v>
      </c>
      <c r="BH728" s="298">
        <f t="shared" si="12"/>
        <v>4.1538461538461538E-2</v>
      </c>
      <c r="BI728" s="3"/>
      <c r="BJ728" s="3"/>
      <c r="BK728" s="3"/>
      <c r="BL728" s="3"/>
      <c r="BM728" s="3"/>
      <c r="BN728" s="3"/>
      <c r="BS728" s="294">
        <f t="shared" si="13"/>
        <v>9</v>
      </c>
      <c r="BT728" s="297">
        <f t="shared" si="14"/>
        <v>6.9230769230769235E-2</v>
      </c>
      <c r="BU728" s="298">
        <f t="shared" si="15"/>
        <v>4.1531795118699311E-2</v>
      </c>
      <c r="BV728" s="3"/>
      <c r="BW728" s="3"/>
      <c r="BX728" s="3"/>
      <c r="BY728" s="3"/>
      <c r="BZ728" s="3"/>
      <c r="CA728" s="3"/>
      <c r="CB728" s="3"/>
      <c r="CC728" s="3"/>
      <c r="CE728" s="3"/>
      <c r="CF728" s="3"/>
      <c r="CG728" s="1381">
        <f t="shared" si="37"/>
        <v>0</v>
      </c>
      <c r="CH728" s="1383"/>
      <c r="CI728" s="1365">
        <f t="shared" si="38"/>
        <v>0</v>
      </c>
      <c r="CJ728" s="1367"/>
      <c r="CK728" s="1381">
        <f t="shared" si="16"/>
        <v>0</v>
      </c>
      <c r="CL728" s="1383"/>
      <c r="CM728" s="1365">
        <f t="shared" si="17"/>
        <v>0</v>
      </c>
      <c r="CN728" s="1367"/>
      <c r="CO728" s="3"/>
      <c r="CP728" s="1362">
        <f t="shared" si="18"/>
        <v>0</v>
      </c>
      <c r="CQ728" s="1363"/>
      <c r="CR728" s="1363"/>
      <c r="CS728" s="1363"/>
      <c r="CT728" s="1364"/>
      <c r="CU728" s="1384">
        <f t="shared" si="19"/>
        <v>0</v>
      </c>
      <c r="CV728" s="1384"/>
      <c r="CW728" s="1384"/>
      <c r="CX728" s="1384"/>
      <c r="CY728" s="1384"/>
      <c r="CZ728" s="1384">
        <f t="shared" si="20"/>
        <v>0</v>
      </c>
      <c r="DA728" s="1384"/>
      <c r="DB728" s="1384"/>
      <c r="DC728" s="1384"/>
      <c r="DD728" s="1384"/>
      <c r="DE728" s="1384">
        <f t="shared" si="21"/>
        <v>9</v>
      </c>
      <c r="DF728" s="1384"/>
      <c r="DG728" s="1384"/>
      <c r="DH728" s="1384"/>
      <c r="DI728" s="1384"/>
      <c r="DJ728" s="1384">
        <f t="shared" si="22"/>
        <v>0</v>
      </c>
      <c r="DK728" s="1384"/>
      <c r="DL728" s="1384"/>
      <c r="DM728" s="1384"/>
      <c r="DN728" s="1384"/>
      <c r="DO728" s="1384">
        <f t="shared" si="23"/>
        <v>0</v>
      </c>
      <c r="DP728" s="1384"/>
      <c r="DQ728" s="1384"/>
      <c r="DR728" s="1384"/>
      <c r="DS728" s="1384"/>
      <c r="DT728" s="6"/>
      <c r="DU728" s="1398">
        <f t="shared" si="24"/>
        <v>0</v>
      </c>
      <c r="DV728" s="1398"/>
      <c r="DW728" s="1398"/>
      <c r="DX728" s="1398"/>
      <c r="DY728" s="1398"/>
      <c r="DZ728" s="1398">
        <f t="shared" si="25"/>
        <v>0</v>
      </c>
      <c r="EA728" s="1398"/>
      <c r="EB728" s="1398"/>
      <c r="EC728" s="1398"/>
      <c r="ED728" s="1398"/>
      <c r="EE728" s="1398">
        <f t="shared" si="26"/>
        <v>0</v>
      </c>
      <c r="EF728" s="1398"/>
      <c r="EG728" s="1398"/>
      <c r="EH728" s="1398"/>
      <c r="EI728" s="1398"/>
      <c r="EJ728" s="1398">
        <f t="shared" si="27"/>
        <v>0</v>
      </c>
      <c r="EK728" s="1398"/>
      <c r="EL728" s="1398"/>
      <c r="EM728" s="1398"/>
      <c r="EN728" s="1398"/>
      <c r="EO728" s="1398">
        <f t="shared" si="28"/>
        <v>0</v>
      </c>
      <c r="EP728" s="1398"/>
      <c r="EQ728" s="1398"/>
      <c r="ER728" s="1398"/>
      <c r="ES728" s="1398"/>
      <c r="ET728" s="1398">
        <f t="shared" si="29"/>
        <v>0</v>
      </c>
      <c r="EU728" s="1398"/>
      <c r="EV728" s="1398"/>
      <c r="EW728" s="1398"/>
      <c r="EX728" s="1398"/>
      <c r="EY728" s="4"/>
      <c r="EZ728" s="1381" t="str">
        <f t="shared" si="30"/>
        <v/>
      </c>
      <c r="FA728" s="1382"/>
      <c r="FB728" s="1382"/>
      <c r="FC728" s="1382"/>
      <c r="FD728" s="1383"/>
      <c r="FE728" s="1381" t="str">
        <f t="shared" si="31"/>
        <v/>
      </c>
      <c r="FF728" s="1382"/>
      <c r="FG728" s="1382"/>
      <c r="FH728" s="1382"/>
      <c r="FI728" s="1383"/>
      <c r="FJ728" s="1381" t="str">
        <f t="shared" si="32"/>
        <v/>
      </c>
      <c r="FK728" s="1382"/>
      <c r="FL728" s="1382"/>
      <c r="FM728" s="1382"/>
      <c r="FN728" s="1383"/>
      <c r="FO728" s="1381">
        <f t="shared" si="33"/>
        <v>2448</v>
      </c>
      <c r="FP728" s="1382"/>
      <c r="FQ728" s="1382"/>
      <c r="FR728" s="1382"/>
      <c r="FS728" s="1383"/>
      <c r="FT728" s="1381" t="str">
        <f t="shared" si="34"/>
        <v/>
      </c>
      <c r="FU728" s="1382"/>
      <c r="FV728" s="1382"/>
      <c r="FW728" s="1382"/>
      <c r="FX728" s="1383"/>
      <c r="FY728" s="1381" t="str">
        <f t="shared" si="35"/>
        <v/>
      </c>
      <c r="FZ728" s="1382"/>
      <c r="GA728" s="1382"/>
      <c r="GB728" s="1382"/>
      <c r="GC728" s="1383"/>
    </row>
    <row r="729" spans="1:185" ht="12.95" customHeight="1">
      <c r="A729" s="4"/>
      <c r="B729" s="1385" t="s">
        <v>164</v>
      </c>
      <c r="C729" s="1386"/>
      <c r="D729" s="1386"/>
      <c r="E729" s="1386"/>
      <c r="F729" s="1387"/>
      <c r="G729" s="1394">
        <v>12</v>
      </c>
      <c r="H729" s="1395"/>
      <c r="I729" s="1395"/>
      <c r="J729" s="1396"/>
      <c r="K729" s="1341">
        <v>1070</v>
      </c>
      <c r="L729" s="1342"/>
      <c r="M729" s="1342"/>
      <c r="N729" s="1343"/>
      <c r="O729" s="1462">
        <v>3096</v>
      </c>
      <c r="P729" s="1463"/>
      <c r="Q729" s="1463"/>
      <c r="R729" s="1463"/>
      <c r="S729" s="1464"/>
      <c r="T729" s="1462">
        <v>44</v>
      </c>
      <c r="U729" s="1463"/>
      <c r="V729" s="1463"/>
      <c r="W729" s="1464"/>
      <c r="X729" s="1388">
        <f t="shared" si="8"/>
        <v>3140</v>
      </c>
      <c r="Y729" s="1389"/>
      <c r="Z729" s="1389"/>
      <c r="AA729" s="1389"/>
      <c r="AB729" s="1390"/>
      <c r="AC729" s="1500">
        <v>0.8</v>
      </c>
      <c r="AD729" s="1501"/>
      <c r="AE729" s="1501"/>
      <c r="AF729" s="1501"/>
      <c r="AG729" s="1502"/>
      <c r="AH729" s="1391">
        <f t="shared" si="36"/>
        <v>0.7558979297063072</v>
      </c>
      <c r="AI729" s="1392"/>
      <c r="AJ729" s="1393"/>
      <c r="AK729" s="1385" t="s">
        <v>590</v>
      </c>
      <c r="AL729" s="1386"/>
      <c r="AM729" s="1386"/>
      <c r="AN729" s="1386"/>
      <c r="AO729" s="1387"/>
      <c r="AP729" s="3"/>
      <c r="AQ729" s="3"/>
      <c r="AR729" s="3"/>
      <c r="AS729" s="3"/>
      <c r="AY729" s="1085"/>
      <c r="AZ729" s="118">
        <f t="shared" si="9"/>
        <v>4154</v>
      </c>
      <c r="BA729" s="3"/>
      <c r="BB729" s="3"/>
      <c r="BC729" s="3"/>
      <c r="BD729" s="3"/>
      <c r="BE729" s="204"/>
      <c r="BF729" s="294">
        <f t="shared" si="10"/>
        <v>12</v>
      </c>
      <c r="BG729" s="297">
        <f t="shared" si="11"/>
        <v>9.2307692307692313E-2</v>
      </c>
      <c r="BH729" s="298">
        <f t="shared" si="12"/>
        <v>7.3846153846153853E-2</v>
      </c>
      <c r="BI729" s="3"/>
      <c r="BJ729" s="3"/>
      <c r="BK729" s="3"/>
      <c r="BL729" s="3"/>
      <c r="BM729" s="3"/>
      <c r="BN729" s="3"/>
      <c r="BS729" s="294">
        <f t="shared" si="13"/>
        <v>12</v>
      </c>
      <c r="BT729" s="297">
        <f t="shared" si="14"/>
        <v>9.2307692307692313E-2</v>
      </c>
      <c r="BU729" s="298">
        <f t="shared" si="15"/>
        <v>6.9775193511351433E-2</v>
      </c>
      <c r="BV729" s="3"/>
      <c r="BW729" s="3"/>
      <c r="BX729" s="3"/>
      <c r="BY729" s="3"/>
      <c r="BZ729" s="3"/>
      <c r="CA729" s="3"/>
      <c r="CB729" s="3"/>
      <c r="CC729" s="3"/>
      <c r="CE729" s="3"/>
      <c r="CF729" s="3"/>
      <c r="CG729" s="1381">
        <f t="shared" si="37"/>
        <v>0</v>
      </c>
      <c r="CH729" s="1383"/>
      <c r="CI729" s="1365">
        <f t="shared" si="38"/>
        <v>0</v>
      </c>
      <c r="CJ729" s="1367"/>
      <c r="CK729" s="1381">
        <f t="shared" si="16"/>
        <v>0</v>
      </c>
      <c r="CL729" s="1383"/>
      <c r="CM729" s="1365">
        <f t="shared" si="17"/>
        <v>0</v>
      </c>
      <c r="CN729" s="1367"/>
      <c r="CO729" s="3"/>
      <c r="CP729" s="1362">
        <f t="shared" si="18"/>
        <v>0</v>
      </c>
      <c r="CQ729" s="1363"/>
      <c r="CR729" s="1363"/>
      <c r="CS729" s="1363"/>
      <c r="CT729" s="1364"/>
      <c r="CU729" s="1384">
        <f t="shared" si="19"/>
        <v>0</v>
      </c>
      <c r="CV729" s="1384"/>
      <c r="CW729" s="1384"/>
      <c r="CX729" s="1384"/>
      <c r="CY729" s="1384"/>
      <c r="CZ729" s="1384">
        <f t="shared" si="20"/>
        <v>0</v>
      </c>
      <c r="DA729" s="1384"/>
      <c r="DB729" s="1384"/>
      <c r="DC729" s="1384"/>
      <c r="DD729" s="1384"/>
      <c r="DE729" s="1384">
        <f t="shared" si="21"/>
        <v>12</v>
      </c>
      <c r="DF729" s="1384"/>
      <c r="DG729" s="1384"/>
      <c r="DH729" s="1384"/>
      <c r="DI729" s="1384"/>
      <c r="DJ729" s="1384">
        <f t="shared" si="22"/>
        <v>0</v>
      </c>
      <c r="DK729" s="1384"/>
      <c r="DL729" s="1384"/>
      <c r="DM729" s="1384"/>
      <c r="DN729" s="1384"/>
      <c r="DO729" s="1384">
        <f t="shared" si="23"/>
        <v>0</v>
      </c>
      <c r="DP729" s="1384"/>
      <c r="DQ729" s="1384"/>
      <c r="DR729" s="1384"/>
      <c r="DS729" s="1384"/>
      <c r="DT729" s="6"/>
      <c r="DU729" s="1398">
        <f t="shared" si="24"/>
        <v>0</v>
      </c>
      <c r="DV729" s="1398"/>
      <c r="DW729" s="1398"/>
      <c r="DX729" s="1398"/>
      <c r="DY729" s="1398"/>
      <c r="DZ729" s="1398">
        <f t="shared" si="25"/>
        <v>0</v>
      </c>
      <c r="EA729" s="1398"/>
      <c r="EB729" s="1398"/>
      <c r="EC729" s="1398"/>
      <c r="ED729" s="1398"/>
      <c r="EE729" s="1398">
        <f t="shared" si="26"/>
        <v>0</v>
      </c>
      <c r="EF729" s="1398"/>
      <c r="EG729" s="1398"/>
      <c r="EH729" s="1398"/>
      <c r="EI729" s="1398"/>
      <c r="EJ729" s="1398">
        <f t="shared" si="27"/>
        <v>0</v>
      </c>
      <c r="EK729" s="1398"/>
      <c r="EL729" s="1398"/>
      <c r="EM729" s="1398"/>
      <c r="EN729" s="1398"/>
      <c r="EO729" s="1398">
        <f t="shared" si="28"/>
        <v>0</v>
      </c>
      <c r="EP729" s="1398"/>
      <c r="EQ729" s="1398"/>
      <c r="ER729" s="1398"/>
      <c r="ES729" s="1398"/>
      <c r="ET729" s="1398">
        <f t="shared" si="29"/>
        <v>0</v>
      </c>
      <c r="EU729" s="1398"/>
      <c r="EV729" s="1398"/>
      <c r="EW729" s="1398"/>
      <c r="EX729" s="1398"/>
      <c r="EZ729" s="1381" t="str">
        <f t="shared" si="30"/>
        <v/>
      </c>
      <c r="FA729" s="1382"/>
      <c r="FB729" s="1382"/>
      <c r="FC729" s="1382"/>
      <c r="FD729" s="1383"/>
      <c r="FE729" s="1381" t="str">
        <f t="shared" si="31"/>
        <v/>
      </c>
      <c r="FF729" s="1382"/>
      <c r="FG729" s="1382"/>
      <c r="FH729" s="1382"/>
      <c r="FI729" s="1383"/>
      <c r="FJ729" s="1381" t="str">
        <f t="shared" si="32"/>
        <v/>
      </c>
      <c r="FK729" s="1382"/>
      <c r="FL729" s="1382"/>
      <c r="FM729" s="1382"/>
      <c r="FN729" s="1383"/>
      <c r="FO729" s="1381">
        <f t="shared" si="33"/>
        <v>3096</v>
      </c>
      <c r="FP729" s="1382"/>
      <c r="FQ729" s="1382"/>
      <c r="FR729" s="1382"/>
      <c r="FS729" s="1383"/>
      <c r="FT729" s="1381" t="str">
        <f t="shared" si="34"/>
        <v/>
      </c>
      <c r="FU729" s="1382"/>
      <c r="FV729" s="1382"/>
      <c r="FW729" s="1382"/>
      <c r="FX729" s="1383"/>
      <c r="FY729" s="1381" t="str">
        <f t="shared" si="35"/>
        <v/>
      </c>
      <c r="FZ729" s="1382"/>
      <c r="GA729" s="1382"/>
      <c r="GB729" s="1382"/>
      <c r="GC729" s="1383"/>
    </row>
    <row r="730" spans="1:185" ht="12.95" customHeight="1">
      <c r="B730" s="1385"/>
      <c r="C730" s="1386"/>
      <c r="D730" s="1386"/>
      <c r="E730" s="1386"/>
      <c r="F730" s="1387"/>
      <c r="G730" s="1394"/>
      <c r="H730" s="1395"/>
      <c r="I730" s="1395"/>
      <c r="J730" s="1396"/>
      <c r="K730" s="1341"/>
      <c r="L730" s="1342"/>
      <c r="M730" s="1342"/>
      <c r="N730" s="1343"/>
      <c r="O730" s="1462"/>
      <c r="P730" s="1463"/>
      <c r="Q730" s="1463"/>
      <c r="R730" s="1463"/>
      <c r="S730" s="1464"/>
      <c r="T730" s="1462"/>
      <c r="U730" s="1463"/>
      <c r="V730" s="1463"/>
      <c r="W730" s="1464"/>
      <c r="X730" s="1388">
        <f t="shared" si="8"/>
        <v>0</v>
      </c>
      <c r="Y730" s="1389"/>
      <c r="Z730" s="1389"/>
      <c r="AA730" s="1389"/>
      <c r="AB730" s="1390"/>
      <c r="AC730" s="1500"/>
      <c r="AD730" s="1501"/>
      <c r="AE730" s="1501"/>
      <c r="AF730" s="1501"/>
      <c r="AG730" s="1502"/>
      <c r="AH730" s="1391" t="str">
        <f t="shared" si="36"/>
        <v/>
      </c>
      <c r="AI730" s="1392"/>
      <c r="AJ730" s="1393"/>
      <c r="AK730" s="1385" t="s">
        <v>590</v>
      </c>
      <c r="AL730" s="1386"/>
      <c r="AM730" s="1386"/>
      <c r="AN730" s="1386"/>
      <c r="AO730" s="1387"/>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381">
        <f t="shared" si="37"/>
        <v>0</v>
      </c>
      <c r="CH730" s="1383"/>
      <c r="CI730" s="1365">
        <f t="shared" si="38"/>
        <v>0</v>
      </c>
      <c r="CJ730" s="1367"/>
      <c r="CK730" s="1381">
        <f t="shared" si="16"/>
        <v>0</v>
      </c>
      <c r="CL730" s="1383"/>
      <c r="CM730" s="1365">
        <f t="shared" si="17"/>
        <v>0</v>
      </c>
      <c r="CN730" s="1367"/>
      <c r="CO730" s="3"/>
      <c r="CP730" s="1362">
        <f t="shared" si="18"/>
        <v>0</v>
      </c>
      <c r="CQ730" s="1363"/>
      <c r="CR730" s="1363"/>
      <c r="CS730" s="1363"/>
      <c r="CT730" s="1364"/>
      <c r="CU730" s="1384">
        <f t="shared" si="19"/>
        <v>0</v>
      </c>
      <c r="CV730" s="1384"/>
      <c r="CW730" s="1384"/>
      <c r="CX730" s="1384"/>
      <c r="CY730" s="1384"/>
      <c r="CZ730" s="1384">
        <f t="shared" si="20"/>
        <v>0</v>
      </c>
      <c r="DA730" s="1384"/>
      <c r="DB730" s="1384"/>
      <c r="DC730" s="1384"/>
      <c r="DD730" s="1384"/>
      <c r="DE730" s="1384">
        <f t="shared" si="21"/>
        <v>0</v>
      </c>
      <c r="DF730" s="1384"/>
      <c r="DG730" s="1384"/>
      <c r="DH730" s="1384"/>
      <c r="DI730" s="1384"/>
      <c r="DJ730" s="1384">
        <f t="shared" si="22"/>
        <v>0</v>
      </c>
      <c r="DK730" s="1384"/>
      <c r="DL730" s="1384"/>
      <c r="DM730" s="1384"/>
      <c r="DN730" s="1384"/>
      <c r="DO730" s="1384">
        <f t="shared" si="23"/>
        <v>0</v>
      </c>
      <c r="DP730" s="1384"/>
      <c r="DQ730" s="1384"/>
      <c r="DR730" s="1384"/>
      <c r="DS730" s="1384"/>
      <c r="DT730" s="6"/>
      <c r="DU730" s="1398">
        <f t="shared" si="24"/>
        <v>0</v>
      </c>
      <c r="DV730" s="1398"/>
      <c r="DW730" s="1398"/>
      <c r="DX730" s="1398"/>
      <c r="DY730" s="1398"/>
      <c r="DZ730" s="1398">
        <f t="shared" si="25"/>
        <v>0</v>
      </c>
      <c r="EA730" s="1398"/>
      <c r="EB730" s="1398"/>
      <c r="EC730" s="1398"/>
      <c r="ED730" s="1398"/>
      <c r="EE730" s="1398">
        <f t="shared" si="26"/>
        <v>0</v>
      </c>
      <c r="EF730" s="1398"/>
      <c r="EG730" s="1398"/>
      <c r="EH730" s="1398"/>
      <c r="EI730" s="1398"/>
      <c r="EJ730" s="1398">
        <f t="shared" si="27"/>
        <v>0</v>
      </c>
      <c r="EK730" s="1398"/>
      <c r="EL730" s="1398"/>
      <c r="EM730" s="1398"/>
      <c r="EN730" s="1398"/>
      <c r="EO730" s="1398">
        <f t="shared" si="28"/>
        <v>0</v>
      </c>
      <c r="EP730" s="1398"/>
      <c r="EQ730" s="1398"/>
      <c r="ER730" s="1398"/>
      <c r="ES730" s="1398"/>
      <c r="ET730" s="1398">
        <f t="shared" si="29"/>
        <v>0</v>
      </c>
      <c r="EU730" s="1398"/>
      <c r="EV730" s="1398"/>
      <c r="EW730" s="1398"/>
      <c r="EX730" s="1398"/>
      <c r="EZ730" s="1381" t="str">
        <f t="shared" si="30"/>
        <v/>
      </c>
      <c r="FA730" s="1382"/>
      <c r="FB730" s="1382"/>
      <c r="FC730" s="1382"/>
      <c r="FD730" s="1383"/>
      <c r="FE730" s="1381" t="str">
        <f t="shared" si="31"/>
        <v/>
      </c>
      <c r="FF730" s="1382"/>
      <c r="FG730" s="1382"/>
      <c r="FH730" s="1382"/>
      <c r="FI730" s="1383"/>
      <c r="FJ730" s="1381" t="str">
        <f t="shared" si="32"/>
        <v/>
      </c>
      <c r="FK730" s="1382"/>
      <c r="FL730" s="1382"/>
      <c r="FM730" s="1382"/>
      <c r="FN730" s="1383"/>
      <c r="FO730" s="1381" t="str">
        <f t="shared" si="33"/>
        <v/>
      </c>
      <c r="FP730" s="1382"/>
      <c r="FQ730" s="1382"/>
      <c r="FR730" s="1382"/>
      <c r="FS730" s="1383"/>
      <c r="FT730" s="1381" t="str">
        <f t="shared" si="34"/>
        <v/>
      </c>
      <c r="FU730" s="1382"/>
      <c r="FV730" s="1382"/>
      <c r="FW730" s="1382"/>
      <c r="FX730" s="1383"/>
      <c r="FY730" s="1381" t="str">
        <f t="shared" si="35"/>
        <v/>
      </c>
      <c r="FZ730" s="1382"/>
      <c r="GA730" s="1382"/>
      <c r="GB730" s="1382"/>
      <c r="GC730" s="1383"/>
    </row>
    <row r="731" spans="1:185" ht="12.95" customHeight="1">
      <c r="B731" s="1385"/>
      <c r="C731" s="1386"/>
      <c r="D731" s="1386"/>
      <c r="E731" s="1386"/>
      <c r="F731" s="1387"/>
      <c r="G731" s="1394"/>
      <c r="H731" s="1395"/>
      <c r="I731" s="1395"/>
      <c r="J731" s="1396"/>
      <c r="K731" s="1341"/>
      <c r="L731" s="1342"/>
      <c r="M731" s="1342"/>
      <c r="N731" s="1343"/>
      <c r="O731" s="1462"/>
      <c r="P731" s="1463"/>
      <c r="Q731" s="1463"/>
      <c r="R731" s="1463"/>
      <c r="S731" s="1464"/>
      <c r="T731" s="1462"/>
      <c r="U731" s="1463"/>
      <c r="V731" s="1463"/>
      <c r="W731" s="1464"/>
      <c r="X731" s="1388">
        <f t="shared" si="8"/>
        <v>0</v>
      </c>
      <c r="Y731" s="1389"/>
      <c r="Z731" s="1389"/>
      <c r="AA731" s="1389"/>
      <c r="AB731" s="1390"/>
      <c r="AC731" s="1500"/>
      <c r="AD731" s="1501"/>
      <c r="AE731" s="1501"/>
      <c r="AF731" s="1501"/>
      <c r="AG731" s="1502"/>
      <c r="AH731" s="1391" t="str">
        <f t="shared" si="36"/>
        <v/>
      </c>
      <c r="AI731" s="1392"/>
      <c r="AJ731" s="1393"/>
      <c r="AK731" s="1385" t="s">
        <v>590</v>
      </c>
      <c r="AL731" s="1386"/>
      <c r="AM731" s="1386"/>
      <c r="AN731" s="1386"/>
      <c r="AO731" s="1387"/>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81">
        <f t="shared" si="37"/>
        <v>0</v>
      </c>
      <c r="CH731" s="1383"/>
      <c r="CI731" s="1365">
        <f t="shared" si="38"/>
        <v>0</v>
      </c>
      <c r="CJ731" s="1367"/>
      <c r="CK731" s="1381">
        <f t="shared" si="16"/>
        <v>0</v>
      </c>
      <c r="CL731" s="1383"/>
      <c r="CM731" s="1365">
        <f t="shared" si="17"/>
        <v>0</v>
      </c>
      <c r="CN731" s="1367"/>
      <c r="CO731" s="3"/>
      <c r="CP731" s="1362">
        <f t="shared" si="18"/>
        <v>0</v>
      </c>
      <c r="CQ731" s="1363"/>
      <c r="CR731" s="1363"/>
      <c r="CS731" s="1363"/>
      <c r="CT731" s="1364"/>
      <c r="CU731" s="1384">
        <f t="shared" si="19"/>
        <v>0</v>
      </c>
      <c r="CV731" s="1384"/>
      <c r="CW731" s="1384"/>
      <c r="CX731" s="1384"/>
      <c r="CY731" s="1384"/>
      <c r="CZ731" s="1384">
        <f t="shared" si="20"/>
        <v>0</v>
      </c>
      <c r="DA731" s="1384"/>
      <c r="DB731" s="1384"/>
      <c r="DC731" s="1384"/>
      <c r="DD731" s="1384"/>
      <c r="DE731" s="1384">
        <f t="shared" si="21"/>
        <v>0</v>
      </c>
      <c r="DF731" s="1384"/>
      <c r="DG731" s="1384"/>
      <c r="DH731" s="1384"/>
      <c r="DI731" s="1384"/>
      <c r="DJ731" s="1384">
        <f t="shared" si="22"/>
        <v>0</v>
      </c>
      <c r="DK731" s="1384"/>
      <c r="DL731" s="1384"/>
      <c r="DM731" s="1384"/>
      <c r="DN731" s="1384"/>
      <c r="DO731" s="1384">
        <f t="shared" si="23"/>
        <v>0</v>
      </c>
      <c r="DP731" s="1384"/>
      <c r="DQ731" s="1384"/>
      <c r="DR731" s="1384"/>
      <c r="DS731" s="1384"/>
      <c r="DT731" s="6"/>
      <c r="DU731" s="1398">
        <f t="shared" si="24"/>
        <v>0</v>
      </c>
      <c r="DV731" s="1398"/>
      <c r="DW731" s="1398"/>
      <c r="DX731" s="1398"/>
      <c r="DY731" s="1398"/>
      <c r="DZ731" s="1398">
        <f t="shared" si="25"/>
        <v>0</v>
      </c>
      <c r="EA731" s="1398"/>
      <c r="EB731" s="1398"/>
      <c r="EC731" s="1398"/>
      <c r="ED731" s="1398"/>
      <c r="EE731" s="1398">
        <f t="shared" si="26"/>
        <v>0</v>
      </c>
      <c r="EF731" s="1398"/>
      <c r="EG731" s="1398"/>
      <c r="EH731" s="1398"/>
      <c r="EI731" s="1398"/>
      <c r="EJ731" s="1398">
        <f t="shared" si="27"/>
        <v>0</v>
      </c>
      <c r="EK731" s="1398"/>
      <c r="EL731" s="1398"/>
      <c r="EM731" s="1398"/>
      <c r="EN731" s="1398"/>
      <c r="EO731" s="1398">
        <f t="shared" si="28"/>
        <v>0</v>
      </c>
      <c r="EP731" s="1398"/>
      <c r="EQ731" s="1398"/>
      <c r="ER731" s="1398"/>
      <c r="ES731" s="1398"/>
      <c r="ET731" s="1398">
        <f t="shared" si="29"/>
        <v>0</v>
      </c>
      <c r="EU731" s="1398"/>
      <c r="EV731" s="1398"/>
      <c r="EW731" s="1398"/>
      <c r="EX731" s="1398"/>
      <c r="EZ731" s="1381" t="str">
        <f t="shared" si="30"/>
        <v/>
      </c>
      <c r="FA731" s="1382"/>
      <c r="FB731" s="1382"/>
      <c r="FC731" s="1382"/>
      <c r="FD731" s="1383"/>
      <c r="FE731" s="1381" t="str">
        <f t="shared" si="31"/>
        <v/>
      </c>
      <c r="FF731" s="1382"/>
      <c r="FG731" s="1382"/>
      <c r="FH731" s="1382"/>
      <c r="FI731" s="1383"/>
      <c r="FJ731" s="1381" t="str">
        <f t="shared" si="32"/>
        <v/>
      </c>
      <c r="FK731" s="1382"/>
      <c r="FL731" s="1382"/>
      <c r="FM731" s="1382"/>
      <c r="FN731" s="1383"/>
      <c r="FO731" s="1381" t="str">
        <f t="shared" si="33"/>
        <v/>
      </c>
      <c r="FP731" s="1382"/>
      <c r="FQ731" s="1382"/>
      <c r="FR731" s="1382"/>
      <c r="FS731" s="1383"/>
      <c r="FT731" s="1381" t="str">
        <f t="shared" si="34"/>
        <v/>
      </c>
      <c r="FU731" s="1382"/>
      <c r="FV731" s="1382"/>
      <c r="FW731" s="1382"/>
      <c r="FX731" s="1383"/>
      <c r="FY731" s="1381" t="str">
        <f t="shared" si="35"/>
        <v/>
      </c>
      <c r="FZ731" s="1382"/>
      <c r="GA731" s="1382"/>
      <c r="GB731" s="1382"/>
      <c r="GC731" s="1383"/>
    </row>
    <row r="732" spans="1:185" ht="12.95" customHeight="1">
      <c r="B732" s="1385"/>
      <c r="C732" s="1386"/>
      <c r="D732" s="1386"/>
      <c r="E732" s="1386"/>
      <c r="F732" s="1387"/>
      <c r="G732" s="1394"/>
      <c r="H732" s="1395"/>
      <c r="I732" s="1395"/>
      <c r="J732" s="1396"/>
      <c r="K732" s="1341"/>
      <c r="L732" s="1342"/>
      <c r="M732" s="1342"/>
      <c r="N732" s="1343"/>
      <c r="O732" s="1462"/>
      <c r="P732" s="1463"/>
      <c r="Q732" s="1463"/>
      <c r="R732" s="1463"/>
      <c r="S732" s="1464"/>
      <c r="T732" s="1462"/>
      <c r="U732" s="1463"/>
      <c r="V732" s="1463"/>
      <c r="W732" s="1464"/>
      <c r="X732" s="1388">
        <f t="shared" si="8"/>
        <v>0</v>
      </c>
      <c r="Y732" s="1389"/>
      <c r="Z732" s="1389"/>
      <c r="AA732" s="1389"/>
      <c r="AB732" s="1390"/>
      <c r="AC732" s="1500"/>
      <c r="AD732" s="1501"/>
      <c r="AE732" s="1501"/>
      <c r="AF732" s="1501"/>
      <c r="AG732" s="1502"/>
      <c r="AH732" s="1391" t="str">
        <f t="shared" si="36"/>
        <v/>
      </c>
      <c r="AI732" s="1392"/>
      <c r="AJ732" s="1393"/>
      <c r="AK732" s="1385" t="s">
        <v>590</v>
      </c>
      <c r="AL732" s="1386"/>
      <c r="AM732" s="1386"/>
      <c r="AN732" s="1386"/>
      <c r="AO732" s="1387"/>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81">
        <f t="shared" si="37"/>
        <v>0</v>
      </c>
      <c r="CH732" s="1383"/>
      <c r="CI732" s="1365">
        <f t="shared" si="38"/>
        <v>0</v>
      </c>
      <c r="CJ732" s="1367"/>
      <c r="CK732" s="1381">
        <f t="shared" si="16"/>
        <v>0</v>
      </c>
      <c r="CL732" s="1383"/>
      <c r="CM732" s="1365">
        <f t="shared" si="17"/>
        <v>0</v>
      </c>
      <c r="CN732" s="1367"/>
      <c r="CO732" s="3"/>
      <c r="CP732" s="1362">
        <f t="shared" si="18"/>
        <v>0</v>
      </c>
      <c r="CQ732" s="1363"/>
      <c r="CR732" s="1363"/>
      <c r="CS732" s="1363"/>
      <c r="CT732" s="1364"/>
      <c r="CU732" s="1384">
        <f t="shared" si="19"/>
        <v>0</v>
      </c>
      <c r="CV732" s="1384"/>
      <c r="CW732" s="1384"/>
      <c r="CX732" s="1384"/>
      <c r="CY732" s="1384"/>
      <c r="CZ732" s="1384">
        <f t="shared" si="20"/>
        <v>0</v>
      </c>
      <c r="DA732" s="1384"/>
      <c r="DB732" s="1384"/>
      <c r="DC732" s="1384"/>
      <c r="DD732" s="1384"/>
      <c r="DE732" s="1384">
        <f t="shared" si="21"/>
        <v>0</v>
      </c>
      <c r="DF732" s="1384"/>
      <c r="DG732" s="1384"/>
      <c r="DH732" s="1384"/>
      <c r="DI732" s="1384"/>
      <c r="DJ732" s="1384">
        <f t="shared" si="22"/>
        <v>0</v>
      </c>
      <c r="DK732" s="1384"/>
      <c r="DL732" s="1384"/>
      <c r="DM732" s="1384"/>
      <c r="DN732" s="1384"/>
      <c r="DO732" s="1384">
        <f t="shared" si="23"/>
        <v>0</v>
      </c>
      <c r="DP732" s="1384"/>
      <c r="DQ732" s="1384"/>
      <c r="DR732" s="1384"/>
      <c r="DS732" s="1384"/>
      <c r="DT732" s="6"/>
      <c r="DU732" s="1398">
        <f t="shared" si="24"/>
        <v>0</v>
      </c>
      <c r="DV732" s="1398"/>
      <c r="DW732" s="1398"/>
      <c r="DX732" s="1398"/>
      <c r="DY732" s="1398"/>
      <c r="DZ732" s="1398">
        <f t="shared" si="25"/>
        <v>0</v>
      </c>
      <c r="EA732" s="1398"/>
      <c r="EB732" s="1398"/>
      <c r="EC732" s="1398"/>
      <c r="ED732" s="1398"/>
      <c r="EE732" s="1398">
        <f t="shared" si="26"/>
        <v>0</v>
      </c>
      <c r="EF732" s="1398"/>
      <c r="EG732" s="1398"/>
      <c r="EH732" s="1398"/>
      <c r="EI732" s="1398"/>
      <c r="EJ732" s="1398">
        <f t="shared" si="27"/>
        <v>0</v>
      </c>
      <c r="EK732" s="1398"/>
      <c r="EL732" s="1398"/>
      <c r="EM732" s="1398"/>
      <c r="EN732" s="1398"/>
      <c r="EO732" s="1398">
        <f t="shared" si="28"/>
        <v>0</v>
      </c>
      <c r="EP732" s="1398"/>
      <c r="EQ732" s="1398"/>
      <c r="ER732" s="1398"/>
      <c r="ES732" s="1398"/>
      <c r="ET732" s="1398">
        <f t="shared" si="29"/>
        <v>0</v>
      </c>
      <c r="EU732" s="1398"/>
      <c r="EV732" s="1398"/>
      <c r="EW732" s="1398"/>
      <c r="EX732" s="1398"/>
      <c r="EZ732" s="1381" t="str">
        <f t="shared" si="30"/>
        <v/>
      </c>
      <c r="FA732" s="1382"/>
      <c r="FB732" s="1382"/>
      <c r="FC732" s="1382"/>
      <c r="FD732" s="1383"/>
      <c r="FE732" s="1381" t="str">
        <f t="shared" si="31"/>
        <v/>
      </c>
      <c r="FF732" s="1382"/>
      <c r="FG732" s="1382"/>
      <c r="FH732" s="1382"/>
      <c r="FI732" s="1383"/>
      <c r="FJ732" s="1381" t="str">
        <f t="shared" si="32"/>
        <v/>
      </c>
      <c r="FK732" s="1382"/>
      <c r="FL732" s="1382"/>
      <c r="FM732" s="1382"/>
      <c r="FN732" s="1383"/>
      <c r="FO732" s="1381" t="str">
        <f t="shared" si="33"/>
        <v/>
      </c>
      <c r="FP732" s="1382"/>
      <c r="FQ732" s="1382"/>
      <c r="FR732" s="1382"/>
      <c r="FS732" s="1383"/>
      <c r="FT732" s="1381" t="str">
        <f t="shared" si="34"/>
        <v/>
      </c>
      <c r="FU732" s="1382"/>
      <c r="FV732" s="1382"/>
      <c r="FW732" s="1382"/>
      <c r="FX732" s="1383"/>
      <c r="FY732" s="1381" t="str">
        <f t="shared" si="35"/>
        <v/>
      </c>
      <c r="FZ732" s="1382"/>
      <c r="GA732" s="1382"/>
      <c r="GB732" s="1382"/>
      <c r="GC732" s="1383"/>
    </row>
    <row r="733" spans="1:185" ht="12.95" customHeight="1">
      <c r="B733" s="1385"/>
      <c r="C733" s="1386"/>
      <c r="D733" s="1386"/>
      <c r="E733" s="1386"/>
      <c r="F733" s="1387"/>
      <c r="G733" s="1394"/>
      <c r="H733" s="1395"/>
      <c r="I733" s="1395"/>
      <c r="J733" s="1396"/>
      <c r="K733" s="1341"/>
      <c r="L733" s="1342"/>
      <c r="M733" s="1342"/>
      <c r="N733" s="1343"/>
      <c r="O733" s="1462"/>
      <c r="P733" s="1463"/>
      <c r="Q733" s="1463"/>
      <c r="R733" s="1463"/>
      <c r="S733" s="1464"/>
      <c r="T733" s="1462"/>
      <c r="U733" s="1463"/>
      <c r="V733" s="1463"/>
      <c r="W733" s="1464"/>
      <c r="X733" s="1388">
        <f t="shared" si="8"/>
        <v>0</v>
      </c>
      <c r="Y733" s="1389"/>
      <c r="Z733" s="1389"/>
      <c r="AA733" s="1389"/>
      <c r="AB733" s="1390"/>
      <c r="AC733" s="1500"/>
      <c r="AD733" s="1501"/>
      <c r="AE733" s="1501"/>
      <c r="AF733" s="1501"/>
      <c r="AG733" s="1502"/>
      <c r="AH733" s="1391" t="str">
        <f t="shared" si="36"/>
        <v/>
      </c>
      <c r="AI733" s="1392"/>
      <c r="AJ733" s="1393"/>
      <c r="AK733" s="1385" t="s">
        <v>590</v>
      </c>
      <c r="AL733" s="1386"/>
      <c r="AM733" s="1386"/>
      <c r="AN733" s="1386"/>
      <c r="AO733" s="1387"/>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81">
        <f t="shared" si="37"/>
        <v>0</v>
      </c>
      <c r="CH733" s="1383"/>
      <c r="CI733" s="1365">
        <f t="shared" si="38"/>
        <v>0</v>
      </c>
      <c r="CJ733" s="1367"/>
      <c r="CK733" s="1381">
        <f t="shared" si="16"/>
        <v>0</v>
      </c>
      <c r="CL733" s="1383"/>
      <c r="CM733" s="1365">
        <f t="shared" si="17"/>
        <v>0</v>
      </c>
      <c r="CN733" s="1367"/>
      <c r="CO733" s="3"/>
      <c r="CP733" s="1362">
        <f t="shared" si="18"/>
        <v>0</v>
      </c>
      <c r="CQ733" s="1363"/>
      <c r="CR733" s="1363"/>
      <c r="CS733" s="1363"/>
      <c r="CT733" s="1364"/>
      <c r="CU733" s="1384">
        <f t="shared" si="19"/>
        <v>0</v>
      </c>
      <c r="CV733" s="1384"/>
      <c r="CW733" s="1384"/>
      <c r="CX733" s="1384"/>
      <c r="CY733" s="1384"/>
      <c r="CZ733" s="1384">
        <f t="shared" si="20"/>
        <v>0</v>
      </c>
      <c r="DA733" s="1384"/>
      <c r="DB733" s="1384"/>
      <c r="DC733" s="1384"/>
      <c r="DD733" s="1384"/>
      <c r="DE733" s="1384">
        <f t="shared" si="21"/>
        <v>0</v>
      </c>
      <c r="DF733" s="1384"/>
      <c r="DG733" s="1384"/>
      <c r="DH733" s="1384"/>
      <c r="DI733" s="1384"/>
      <c r="DJ733" s="1384">
        <f t="shared" si="22"/>
        <v>0</v>
      </c>
      <c r="DK733" s="1384"/>
      <c r="DL733" s="1384"/>
      <c r="DM733" s="1384"/>
      <c r="DN733" s="1384"/>
      <c r="DO733" s="1384">
        <f t="shared" si="23"/>
        <v>0</v>
      </c>
      <c r="DP733" s="1384"/>
      <c r="DQ733" s="1384"/>
      <c r="DR733" s="1384"/>
      <c r="DS733" s="1384"/>
      <c r="DT733" s="6"/>
      <c r="DU733" s="1398">
        <f t="shared" si="24"/>
        <v>0</v>
      </c>
      <c r="DV733" s="1398"/>
      <c r="DW733" s="1398"/>
      <c r="DX733" s="1398"/>
      <c r="DY733" s="1398"/>
      <c r="DZ733" s="1398">
        <f t="shared" si="25"/>
        <v>0</v>
      </c>
      <c r="EA733" s="1398"/>
      <c r="EB733" s="1398"/>
      <c r="EC733" s="1398"/>
      <c r="ED733" s="1398"/>
      <c r="EE733" s="1398">
        <f t="shared" si="26"/>
        <v>0</v>
      </c>
      <c r="EF733" s="1398"/>
      <c r="EG733" s="1398"/>
      <c r="EH733" s="1398"/>
      <c r="EI733" s="1398"/>
      <c r="EJ733" s="1398">
        <f t="shared" si="27"/>
        <v>0</v>
      </c>
      <c r="EK733" s="1398"/>
      <c r="EL733" s="1398"/>
      <c r="EM733" s="1398"/>
      <c r="EN733" s="1398"/>
      <c r="EO733" s="1398">
        <f t="shared" si="28"/>
        <v>0</v>
      </c>
      <c r="EP733" s="1398"/>
      <c r="EQ733" s="1398"/>
      <c r="ER733" s="1398"/>
      <c r="ES733" s="1398"/>
      <c r="ET733" s="1398">
        <f t="shared" si="29"/>
        <v>0</v>
      </c>
      <c r="EU733" s="1398"/>
      <c r="EV733" s="1398"/>
      <c r="EW733" s="1398"/>
      <c r="EX733" s="1398"/>
      <c r="EZ733" s="1381" t="str">
        <f t="shared" si="30"/>
        <v/>
      </c>
      <c r="FA733" s="1382"/>
      <c r="FB733" s="1382"/>
      <c r="FC733" s="1382"/>
      <c r="FD733" s="1383"/>
      <c r="FE733" s="1381" t="str">
        <f t="shared" si="31"/>
        <v/>
      </c>
      <c r="FF733" s="1382"/>
      <c r="FG733" s="1382"/>
      <c r="FH733" s="1382"/>
      <c r="FI733" s="1383"/>
      <c r="FJ733" s="1381" t="str">
        <f t="shared" si="32"/>
        <v/>
      </c>
      <c r="FK733" s="1382"/>
      <c r="FL733" s="1382"/>
      <c r="FM733" s="1382"/>
      <c r="FN733" s="1383"/>
      <c r="FO733" s="1381" t="str">
        <f t="shared" si="33"/>
        <v/>
      </c>
      <c r="FP733" s="1382"/>
      <c r="FQ733" s="1382"/>
      <c r="FR733" s="1382"/>
      <c r="FS733" s="1383"/>
      <c r="FT733" s="1381" t="str">
        <f t="shared" si="34"/>
        <v/>
      </c>
      <c r="FU733" s="1382"/>
      <c r="FV733" s="1382"/>
      <c r="FW733" s="1382"/>
      <c r="FX733" s="1383"/>
      <c r="FY733" s="1381" t="str">
        <f t="shared" si="35"/>
        <v/>
      </c>
      <c r="FZ733" s="1382"/>
      <c r="GA733" s="1382"/>
      <c r="GB733" s="1382"/>
      <c r="GC733" s="1383"/>
    </row>
    <row r="734" spans="1:185" ht="12.95" customHeight="1">
      <c r="B734" s="1385"/>
      <c r="C734" s="1386"/>
      <c r="D734" s="1386"/>
      <c r="E734" s="1386"/>
      <c r="F734" s="1387"/>
      <c r="G734" s="1394"/>
      <c r="H734" s="1395"/>
      <c r="I734" s="1395"/>
      <c r="J734" s="1396"/>
      <c r="K734" s="1341"/>
      <c r="L734" s="1342"/>
      <c r="M734" s="1342"/>
      <c r="N734" s="1343"/>
      <c r="O734" s="1462"/>
      <c r="P734" s="1463"/>
      <c r="Q734" s="1463"/>
      <c r="R734" s="1463"/>
      <c r="S734" s="1464"/>
      <c r="T734" s="1462"/>
      <c r="U734" s="1463"/>
      <c r="V734" s="1463"/>
      <c r="W734" s="1464"/>
      <c r="X734" s="1388">
        <f t="shared" si="8"/>
        <v>0</v>
      </c>
      <c r="Y734" s="1389"/>
      <c r="Z734" s="1389"/>
      <c r="AA734" s="1389"/>
      <c r="AB734" s="1390"/>
      <c r="AC734" s="1500"/>
      <c r="AD734" s="1501"/>
      <c r="AE734" s="1501"/>
      <c r="AF734" s="1501"/>
      <c r="AG734" s="1502"/>
      <c r="AH734" s="1391" t="str">
        <f t="shared" si="36"/>
        <v/>
      </c>
      <c r="AI734" s="1392"/>
      <c r="AJ734" s="1393"/>
      <c r="AK734" s="1385" t="s">
        <v>590</v>
      </c>
      <c r="AL734" s="1386"/>
      <c r="AM734" s="1386"/>
      <c r="AN734" s="1386"/>
      <c r="AO734" s="1387"/>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81">
        <f t="shared" si="37"/>
        <v>0</v>
      </c>
      <c r="CH734" s="1383"/>
      <c r="CI734" s="1365">
        <f t="shared" si="38"/>
        <v>0</v>
      </c>
      <c r="CJ734" s="1367"/>
      <c r="CK734" s="1381">
        <f t="shared" si="16"/>
        <v>0</v>
      </c>
      <c r="CL734" s="1383"/>
      <c r="CM734" s="1365">
        <f t="shared" si="17"/>
        <v>0</v>
      </c>
      <c r="CN734" s="1367"/>
      <c r="CO734" s="3"/>
      <c r="CP734" s="1362">
        <f t="shared" si="18"/>
        <v>0</v>
      </c>
      <c r="CQ734" s="1363"/>
      <c r="CR734" s="1363"/>
      <c r="CS734" s="1363"/>
      <c r="CT734" s="1364"/>
      <c r="CU734" s="1384">
        <f t="shared" si="19"/>
        <v>0</v>
      </c>
      <c r="CV734" s="1384"/>
      <c r="CW734" s="1384"/>
      <c r="CX734" s="1384"/>
      <c r="CY734" s="1384"/>
      <c r="CZ734" s="1384">
        <f t="shared" si="20"/>
        <v>0</v>
      </c>
      <c r="DA734" s="1384"/>
      <c r="DB734" s="1384"/>
      <c r="DC734" s="1384"/>
      <c r="DD734" s="1384"/>
      <c r="DE734" s="1384">
        <f t="shared" si="21"/>
        <v>0</v>
      </c>
      <c r="DF734" s="1384"/>
      <c r="DG734" s="1384"/>
      <c r="DH734" s="1384"/>
      <c r="DI734" s="1384"/>
      <c r="DJ734" s="1384">
        <f t="shared" si="22"/>
        <v>0</v>
      </c>
      <c r="DK734" s="1384"/>
      <c r="DL734" s="1384"/>
      <c r="DM734" s="1384"/>
      <c r="DN734" s="1384"/>
      <c r="DO734" s="1384">
        <f t="shared" si="23"/>
        <v>0</v>
      </c>
      <c r="DP734" s="1384"/>
      <c r="DQ734" s="1384"/>
      <c r="DR734" s="1384"/>
      <c r="DS734" s="1384"/>
      <c r="DT734" s="6"/>
      <c r="DU734" s="1398">
        <f t="shared" si="24"/>
        <v>0</v>
      </c>
      <c r="DV734" s="1398"/>
      <c r="DW734" s="1398"/>
      <c r="DX734" s="1398"/>
      <c r="DY734" s="1398"/>
      <c r="DZ734" s="1398">
        <f t="shared" si="25"/>
        <v>0</v>
      </c>
      <c r="EA734" s="1398"/>
      <c r="EB734" s="1398"/>
      <c r="EC734" s="1398"/>
      <c r="ED734" s="1398"/>
      <c r="EE734" s="1398">
        <f t="shared" si="26"/>
        <v>0</v>
      </c>
      <c r="EF734" s="1398"/>
      <c r="EG734" s="1398"/>
      <c r="EH734" s="1398"/>
      <c r="EI734" s="1398"/>
      <c r="EJ734" s="1398">
        <f t="shared" si="27"/>
        <v>0</v>
      </c>
      <c r="EK734" s="1398"/>
      <c r="EL734" s="1398"/>
      <c r="EM734" s="1398"/>
      <c r="EN734" s="1398"/>
      <c r="EO734" s="1398">
        <f t="shared" si="28"/>
        <v>0</v>
      </c>
      <c r="EP734" s="1398"/>
      <c r="EQ734" s="1398"/>
      <c r="ER734" s="1398"/>
      <c r="ES734" s="1398"/>
      <c r="ET734" s="1398">
        <f t="shared" si="29"/>
        <v>0</v>
      </c>
      <c r="EU734" s="1398"/>
      <c r="EV734" s="1398"/>
      <c r="EW734" s="1398"/>
      <c r="EX734" s="1398"/>
      <c r="EZ734" s="1381" t="str">
        <f t="shared" si="30"/>
        <v/>
      </c>
      <c r="FA734" s="1382"/>
      <c r="FB734" s="1382"/>
      <c r="FC734" s="1382"/>
      <c r="FD734" s="1383"/>
      <c r="FE734" s="1381" t="str">
        <f t="shared" si="31"/>
        <v/>
      </c>
      <c r="FF734" s="1382"/>
      <c r="FG734" s="1382"/>
      <c r="FH734" s="1382"/>
      <c r="FI734" s="1383"/>
      <c r="FJ734" s="1381" t="str">
        <f t="shared" si="32"/>
        <v/>
      </c>
      <c r="FK734" s="1382"/>
      <c r="FL734" s="1382"/>
      <c r="FM734" s="1382"/>
      <c r="FN734" s="1383"/>
      <c r="FO734" s="1381" t="str">
        <f t="shared" si="33"/>
        <v/>
      </c>
      <c r="FP734" s="1382"/>
      <c r="FQ734" s="1382"/>
      <c r="FR734" s="1382"/>
      <c r="FS734" s="1383"/>
      <c r="FT734" s="1381" t="str">
        <f t="shared" si="34"/>
        <v/>
      </c>
      <c r="FU734" s="1382"/>
      <c r="FV734" s="1382"/>
      <c r="FW734" s="1382"/>
      <c r="FX734" s="1383"/>
      <c r="FY734" s="1381" t="str">
        <f t="shared" si="35"/>
        <v/>
      </c>
      <c r="FZ734" s="1382"/>
      <c r="GA734" s="1382"/>
      <c r="GB734" s="1382"/>
      <c r="GC734" s="1383"/>
    </row>
    <row r="735" spans="1:185" ht="12.95" customHeight="1">
      <c r="B735" s="1385"/>
      <c r="C735" s="1386"/>
      <c r="D735" s="1386"/>
      <c r="E735" s="1386"/>
      <c r="F735" s="1387"/>
      <c r="G735" s="1394"/>
      <c r="H735" s="1395"/>
      <c r="I735" s="1395"/>
      <c r="J735" s="1396"/>
      <c r="K735" s="1341"/>
      <c r="L735" s="1342"/>
      <c r="M735" s="1342"/>
      <c r="N735" s="1343"/>
      <c r="O735" s="1462"/>
      <c r="P735" s="1463"/>
      <c r="Q735" s="1463"/>
      <c r="R735" s="1463"/>
      <c r="S735" s="1464"/>
      <c r="T735" s="1462"/>
      <c r="U735" s="1463"/>
      <c r="V735" s="1463"/>
      <c r="W735" s="1464"/>
      <c r="X735" s="1388">
        <f t="shared" si="8"/>
        <v>0</v>
      </c>
      <c r="Y735" s="1389"/>
      <c r="Z735" s="1389"/>
      <c r="AA735" s="1389"/>
      <c r="AB735" s="1390"/>
      <c r="AC735" s="1500"/>
      <c r="AD735" s="1501"/>
      <c r="AE735" s="1501"/>
      <c r="AF735" s="1501"/>
      <c r="AG735" s="1502"/>
      <c r="AH735" s="1391" t="str">
        <f t="shared" si="36"/>
        <v/>
      </c>
      <c r="AI735" s="1392"/>
      <c r="AJ735" s="1393"/>
      <c r="AK735" s="1385" t="s">
        <v>590</v>
      </c>
      <c r="AL735" s="1386"/>
      <c r="AM735" s="1386"/>
      <c r="AN735" s="1386"/>
      <c r="AO735" s="1387"/>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81">
        <f t="shared" si="37"/>
        <v>0</v>
      </c>
      <c r="CH735" s="1383"/>
      <c r="CI735" s="1365">
        <f t="shared" si="38"/>
        <v>0</v>
      </c>
      <c r="CJ735" s="1367"/>
      <c r="CK735" s="1381">
        <f t="shared" si="16"/>
        <v>0</v>
      </c>
      <c r="CL735" s="1383"/>
      <c r="CM735" s="1365">
        <f t="shared" si="17"/>
        <v>0</v>
      </c>
      <c r="CN735" s="1367"/>
      <c r="CO735" s="3"/>
      <c r="CP735" s="1362">
        <f t="shared" si="18"/>
        <v>0</v>
      </c>
      <c r="CQ735" s="1363"/>
      <c r="CR735" s="1363"/>
      <c r="CS735" s="1363"/>
      <c r="CT735" s="1364"/>
      <c r="CU735" s="1384">
        <f t="shared" si="19"/>
        <v>0</v>
      </c>
      <c r="CV735" s="1384"/>
      <c r="CW735" s="1384"/>
      <c r="CX735" s="1384"/>
      <c r="CY735" s="1384"/>
      <c r="CZ735" s="1384">
        <f t="shared" si="20"/>
        <v>0</v>
      </c>
      <c r="DA735" s="1384"/>
      <c r="DB735" s="1384"/>
      <c r="DC735" s="1384"/>
      <c r="DD735" s="1384"/>
      <c r="DE735" s="1384">
        <f t="shared" si="21"/>
        <v>0</v>
      </c>
      <c r="DF735" s="1384"/>
      <c r="DG735" s="1384"/>
      <c r="DH735" s="1384"/>
      <c r="DI735" s="1384"/>
      <c r="DJ735" s="1384">
        <f t="shared" si="22"/>
        <v>0</v>
      </c>
      <c r="DK735" s="1384"/>
      <c r="DL735" s="1384"/>
      <c r="DM735" s="1384"/>
      <c r="DN735" s="1384"/>
      <c r="DO735" s="1384">
        <f t="shared" si="23"/>
        <v>0</v>
      </c>
      <c r="DP735" s="1384"/>
      <c r="DQ735" s="1384"/>
      <c r="DR735" s="1384"/>
      <c r="DS735" s="1384"/>
      <c r="DT735" s="6"/>
      <c r="DU735" s="1398">
        <f t="shared" si="24"/>
        <v>0</v>
      </c>
      <c r="DV735" s="1398"/>
      <c r="DW735" s="1398"/>
      <c r="DX735" s="1398"/>
      <c r="DY735" s="1398"/>
      <c r="DZ735" s="1398">
        <f t="shared" si="25"/>
        <v>0</v>
      </c>
      <c r="EA735" s="1398"/>
      <c r="EB735" s="1398"/>
      <c r="EC735" s="1398"/>
      <c r="ED735" s="1398"/>
      <c r="EE735" s="1398">
        <f t="shared" si="26"/>
        <v>0</v>
      </c>
      <c r="EF735" s="1398"/>
      <c r="EG735" s="1398"/>
      <c r="EH735" s="1398"/>
      <c r="EI735" s="1398"/>
      <c r="EJ735" s="1398">
        <f t="shared" si="27"/>
        <v>0</v>
      </c>
      <c r="EK735" s="1398"/>
      <c r="EL735" s="1398"/>
      <c r="EM735" s="1398"/>
      <c r="EN735" s="1398"/>
      <c r="EO735" s="1398">
        <f t="shared" si="28"/>
        <v>0</v>
      </c>
      <c r="EP735" s="1398"/>
      <c r="EQ735" s="1398"/>
      <c r="ER735" s="1398"/>
      <c r="ES735" s="1398"/>
      <c r="ET735" s="1398">
        <f t="shared" si="29"/>
        <v>0</v>
      </c>
      <c r="EU735" s="1398"/>
      <c r="EV735" s="1398"/>
      <c r="EW735" s="1398"/>
      <c r="EX735" s="1398"/>
      <c r="EZ735" s="1381" t="str">
        <f t="shared" si="30"/>
        <v/>
      </c>
      <c r="FA735" s="1382"/>
      <c r="FB735" s="1382"/>
      <c r="FC735" s="1382"/>
      <c r="FD735" s="1383"/>
      <c r="FE735" s="1381" t="str">
        <f t="shared" si="31"/>
        <v/>
      </c>
      <c r="FF735" s="1382"/>
      <c r="FG735" s="1382"/>
      <c r="FH735" s="1382"/>
      <c r="FI735" s="1383"/>
      <c r="FJ735" s="1381" t="str">
        <f t="shared" si="32"/>
        <v/>
      </c>
      <c r="FK735" s="1382"/>
      <c r="FL735" s="1382"/>
      <c r="FM735" s="1382"/>
      <c r="FN735" s="1383"/>
      <c r="FO735" s="1381" t="str">
        <f t="shared" si="33"/>
        <v/>
      </c>
      <c r="FP735" s="1382"/>
      <c r="FQ735" s="1382"/>
      <c r="FR735" s="1382"/>
      <c r="FS735" s="1383"/>
      <c r="FT735" s="1381" t="str">
        <f t="shared" si="34"/>
        <v/>
      </c>
      <c r="FU735" s="1382"/>
      <c r="FV735" s="1382"/>
      <c r="FW735" s="1382"/>
      <c r="FX735" s="1383"/>
      <c r="FY735" s="1381" t="str">
        <f t="shared" si="35"/>
        <v/>
      </c>
      <c r="FZ735" s="1382"/>
      <c r="GA735" s="1382"/>
      <c r="GB735" s="1382"/>
      <c r="GC735" s="1383"/>
    </row>
    <row r="736" spans="1:185" ht="12.95" customHeight="1">
      <c r="B736" s="1385"/>
      <c r="C736" s="1386"/>
      <c r="D736" s="1386"/>
      <c r="E736" s="1386"/>
      <c r="F736" s="1387"/>
      <c r="G736" s="1394"/>
      <c r="H736" s="1395"/>
      <c r="I736" s="1395"/>
      <c r="J736" s="1396"/>
      <c r="K736" s="1341"/>
      <c r="L736" s="1342"/>
      <c r="M736" s="1342"/>
      <c r="N736" s="1343"/>
      <c r="O736" s="1462"/>
      <c r="P736" s="1463"/>
      <c r="Q736" s="1463"/>
      <c r="R736" s="1463"/>
      <c r="S736" s="1464"/>
      <c r="T736" s="1462"/>
      <c r="U736" s="1463"/>
      <c r="V736" s="1463"/>
      <c r="W736" s="1464"/>
      <c r="X736" s="1388">
        <f t="shared" si="8"/>
        <v>0</v>
      </c>
      <c r="Y736" s="1389"/>
      <c r="Z736" s="1389"/>
      <c r="AA736" s="1389"/>
      <c r="AB736" s="1390"/>
      <c r="AC736" s="1500"/>
      <c r="AD736" s="1501"/>
      <c r="AE736" s="1501"/>
      <c r="AF736" s="1501"/>
      <c r="AG736" s="1502"/>
      <c r="AH736" s="1391" t="str">
        <f t="shared" si="36"/>
        <v/>
      </c>
      <c r="AI736" s="1392"/>
      <c r="AJ736" s="1393"/>
      <c r="AK736" s="1385" t="s">
        <v>590</v>
      </c>
      <c r="AL736" s="1386"/>
      <c r="AM736" s="1386"/>
      <c r="AN736" s="1386"/>
      <c r="AO736" s="1387"/>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81">
        <f t="shared" si="37"/>
        <v>0</v>
      </c>
      <c r="CH736" s="1383"/>
      <c r="CI736" s="1365">
        <f t="shared" si="38"/>
        <v>0</v>
      </c>
      <c r="CJ736" s="1367"/>
      <c r="CK736" s="1381">
        <f t="shared" si="16"/>
        <v>0</v>
      </c>
      <c r="CL736" s="1383"/>
      <c r="CM736" s="1365">
        <f t="shared" si="17"/>
        <v>0</v>
      </c>
      <c r="CN736" s="1367"/>
      <c r="CO736" s="3"/>
      <c r="CP736" s="1362">
        <f t="shared" si="18"/>
        <v>0</v>
      </c>
      <c r="CQ736" s="1363"/>
      <c r="CR736" s="1363"/>
      <c r="CS736" s="1363"/>
      <c r="CT736" s="1364"/>
      <c r="CU736" s="1384">
        <f t="shared" si="19"/>
        <v>0</v>
      </c>
      <c r="CV736" s="1384"/>
      <c r="CW736" s="1384"/>
      <c r="CX736" s="1384"/>
      <c r="CY736" s="1384"/>
      <c r="CZ736" s="1384">
        <f t="shared" si="20"/>
        <v>0</v>
      </c>
      <c r="DA736" s="1384"/>
      <c r="DB736" s="1384"/>
      <c r="DC736" s="1384"/>
      <c r="DD736" s="1384"/>
      <c r="DE736" s="1384">
        <f t="shared" si="21"/>
        <v>0</v>
      </c>
      <c r="DF736" s="1384"/>
      <c r="DG736" s="1384"/>
      <c r="DH736" s="1384"/>
      <c r="DI736" s="1384"/>
      <c r="DJ736" s="1384">
        <f t="shared" si="22"/>
        <v>0</v>
      </c>
      <c r="DK736" s="1384"/>
      <c r="DL736" s="1384"/>
      <c r="DM736" s="1384"/>
      <c r="DN736" s="1384"/>
      <c r="DO736" s="1384">
        <f t="shared" si="23"/>
        <v>0</v>
      </c>
      <c r="DP736" s="1384"/>
      <c r="DQ736" s="1384"/>
      <c r="DR736" s="1384"/>
      <c r="DS736" s="1384"/>
      <c r="DT736" s="6"/>
      <c r="DU736" s="1398">
        <f t="shared" si="24"/>
        <v>0</v>
      </c>
      <c r="DV736" s="1398"/>
      <c r="DW736" s="1398"/>
      <c r="DX736" s="1398"/>
      <c r="DY736" s="1398"/>
      <c r="DZ736" s="1398">
        <f t="shared" si="25"/>
        <v>0</v>
      </c>
      <c r="EA736" s="1398"/>
      <c r="EB736" s="1398"/>
      <c r="EC736" s="1398"/>
      <c r="ED736" s="1398"/>
      <c r="EE736" s="1398">
        <f t="shared" si="26"/>
        <v>0</v>
      </c>
      <c r="EF736" s="1398"/>
      <c r="EG736" s="1398"/>
      <c r="EH736" s="1398"/>
      <c r="EI736" s="1398"/>
      <c r="EJ736" s="1398">
        <f t="shared" si="27"/>
        <v>0</v>
      </c>
      <c r="EK736" s="1398"/>
      <c r="EL736" s="1398"/>
      <c r="EM736" s="1398"/>
      <c r="EN736" s="1398"/>
      <c r="EO736" s="1398">
        <f t="shared" si="28"/>
        <v>0</v>
      </c>
      <c r="EP736" s="1398"/>
      <c r="EQ736" s="1398"/>
      <c r="ER736" s="1398"/>
      <c r="ES736" s="1398"/>
      <c r="ET736" s="1398">
        <f t="shared" si="29"/>
        <v>0</v>
      </c>
      <c r="EU736" s="1398"/>
      <c r="EV736" s="1398"/>
      <c r="EW736" s="1398"/>
      <c r="EX736" s="1398"/>
      <c r="EZ736" s="1381" t="str">
        <f t="shared" si="30"/>
        <v/>
      </c>
      <c r="FA736" s="1382"/>
      <c r="FB736" s="1382"/>
      <c r="FC736" s="1382"/>
      <c r="FD736" s="1383"/>
      <c r="FE736" s="1381" t="str">
        <f t="shared" si="31"/>
        <v/>
      </c>
      <c r="FF736" s="1382"/>
      <c r="FG736" s="1382"/>
      <c r="FH736" s="1382"/>
      <c r="FI736" s="1383"/>
      <c r="FJ736" s="1381" t="str">
        <f t="shared" si="32"/>
        <v/>
      </c>
      <c r="FK736" s="1382"/>
      <c r="FL736" s="1382"/>
      <c r="FM736" s="1382"/>
      <c r="FN736" s="1383"/>
      <c r="FO736" s="1381" t="str">
        <f t="shared" si="33"/>
        <v/>
      </c>
      <c r="FP736" s="1382"/>
      <c r="FQ736" s="1382"/>
      <c r="FR736" s="1382"/>
      <c r="FS736" s="1383"/>
      <c r="FT736" s="1381" t="str">
        <f t="shared" si="34"/>
        <v/>
      </c>
      <c r="FU736" s="1382"/>
      <c r="FV736" s="1382"/>
      <c r="FW736" s="1382"/>
      <c r="FX736" s="1383"/>
      <c r="FY736" s="1381" t="str">
        <f t="shared" si="35"/>
        <v/>
      </c>
      <c r="FZ736" s="1382"/>
      <c r="GA736" s="1382"/>
      <c r="GB736" s="1382"/>
      <c r="GC736" s="1383"/>
    </row>
    <row r="737" spans="1:185" ht="12.95" customHeight="1">
      <c r="B737" s="1385"/>
      <c r="C737" s="1386"/>
      <c r="D737" s="1386"/>
      <c r="E737" s="1386"/>
      <c r="F737" s="1387"/>
      <c r="G737" s="1394"/>
      <c r="H737" s="1395"/>
      <c r="I737" s="1395"/>
      <c r="J737" s="1396"/>
      <c r="K737" s="1341"/>
      <c r="L737" s="1342"/>
      <c r="M737" s="1342"/>
      <c r="N737" s="1343"/>
      <c r="O737" s="1462"/>
      <c r="P737" s="1463"/>
      <c r="Q737" s="1463"/>
      <c r="R737" s="1463"/>
      <c r="S737" s="1464"/>
      <c r="T737" s="1462"/>
      <c r="U737" s="1463"/>
      <c r="V737" s="1463"/>
      <c r="W737" s="1464"/>
      <c r="X737" s="1388">
        <f t="shared" si="8"/>
        <v>0</v>
      </c>
      <c r="Y737" s="1389"/>
      <c r="Z737" s="1389"/>
      <c r="AA737" s="1389"/>
      <c r="AB737" s="1390"/>
      <c r="AC737" s="1500"/>
      <c r="AD737" s="1501"/>
      <c r="AE737" s="1501"/>
      <c r="AF737" s="1501"/>
      <c r="AG737" s="1502"/>
      <c r="AH737" s="1391" t="str">
        <f t="shared" si="36"/>
        <v/>
      </c>
      <c r="AI737" s="1392"/>
      <c r="AJ737" s="1393"/>
      <c r="AK737" s="1385" t="s">
        <v>590</v>
      </c>
      <c r="AL737" s="1386"/>
      <c r="AM737" s="1386"/>
      <c r="AN737" s="1386"/>
      <c r="AO737" s="1387"/>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81">
        <f t="shared" si="37"/>
        <v>0</v>
      </c>
      <c r="CH737" s="1383"/>
      <c r="CI737" s="1365">
        <f t="shared" si="38"/>
        <v>0</v>
      </c>
      <c r="CJ737" s="1367"/>
      <c r="CK737" s="1381">
        <f t="shared" si="16"/>
        <v>0</v>
      </c>
      <c r="CL737" s="1383"/>
      <c r="CM737" s="1365">
        <f t="shared" si="17"/>
        <v>0</v>
      </c>
      <c r="CN737" s="1367"/>
      <c r="CO737" s="3"/>
      <c r="CP737" s="1362">
        <f t="shared" si="18"/>
        <v>0</v>
      </c>
      <c r="CQ737" s="1363"/>
      <c r="CR737" s="1363"/>
      <c r="CS737" s="1363"/>
      <c r="CT737" s="1364"/>
      <c r="CU737" s="1384">
        <f t="shared" si="19"/>
        <v>0</v>
      </c>
      <c r="CV737" s="1384"/>
      <c r="CW737" s="1384"/>
      <c r="CX737" s="1384"/>
      <c r="CY737" s="1384"/>
      <c r="CZ737" s="1384">
        <f t="shared" si="20"/>
        <v>0</v>
      </c>
      <c r="DA737" s="1384"/>
      <c r="DB737" s="1384"/>
      <c r="DC737" s="1384"/>
      <c r="DD737" s="1384"/>
      <c r="DE737" s="1384">
        <f t="shared" si="21"/>
        <v>0</v>
      </c>
      <c r="DF737" s="1384"/>
      <c r="DG737" s="1384"/>
      <c r="DH737" s="1384"/>
      <c r="DI737" s="1384"/>
      <c r="DJ737" s="1384">
        <f t="shared" si="22"/>
        <v>0</v>
      </c>
      <c r="DK737" s="1384"/>
      <c r="DL737" s="1384"/>
      <c r="DM737" s="1384"/>
      <c r="DN737" s="1384"/>
      <c r="DO737" s="1384">
        <f t="shared" si="23"/>
        <v>0</v>
      </c>
      <c r="DP737" s="1384"/>
      <c r="DQ737" s="1384"/>
      <c r="DR737" s="1384"/>
      <c r="DS737" s="1384"/>
      <c r="DT737" s="6"/>
      <c r="DU737" s="1398">
        <f t="shared" si="24"/>
        <v>0</v>
      </c>
      <c r="DV737" s="1398"/>
      <c r="DW737" s="1398"/>
      <c r="DX737" s="1398"/>
      <c r="DY737" s="1398"/>
      <c r="DZ737" s="1398">
        <f t="shared" si="25"/>
        <v>0</v>
      </c>
      <c r="EA737" s="1398"/>
      <c r="EB737" s="1398"/>
      <c r="EC737" s="1398"/>
      <c r="ED737" s="1398"/>
      <c r="EE737" s="1398">
        <f t="shared" si="26"/>
        <v>0</v>
      </c>
      <c r="EF737" s="1398"/>
      <c r="EG737" s="1398"/>
      <c r="EH737" s="1398"/>
      <c r="EI737" s="1398"/>
      <c r="EJ737" s="1398">
        <f t="shared" si="27"/>
        <v>0</v>
      </c>
      <c r="EK737" s="1398"/>
      <c r="EL737" s="1398"/>
      <c r="EM737" s="1398"/>
      <c r="EN737" s="1398"/>
      <c r="EO737" s="1398">
        <f t="shared" si="28"/>
        <v>0</v>
      </c>
      <c r="EP737" s="1398"/>
      <c r="EQ737" s="1398"/>
      <c r="ER737" s="1398"/>
      <c r="ES737" s="1398"/>
      <c r="ET737" s="1398">
        <f t="shared" si="29"/>
        <v>0</v>
      </c>
      <c r="EU737" s="1398"/>
      <c r="EV737" s="1398"/>
      <c r="EW737" s="1398"/>
      <c r="EX737" s="1398"/>
      <c r="EZ737" s="1381" t="str">
        <f t="shared" si="30"/>
        <v/>
      </c>
      <c r="FA737" s="1382"/>
      <c r="FB737" s="1382"/>
      <c r="FC737" s="1382"/>
      <c r="FD737" s="1383"/>
      <c r="FE737" s="1381" t="str">
        <f t="shared" si="31"/>
        <v/>
      </c>
      <c r="FF737" s="1382"/>
      <c r="FG737" s="1382"/>
      <c r="FH737" s="1382"/>
      <c r="FI737" s="1383"/>
      <c r="FJ737" s="1381" t="str">
        <f t="shared" si="32"/>
        <v/>
      </c>
      <c r="FK737" s="1382"/>
      <c r="FL737" s="1382"/>
      <c r="FM737" s="1382"/>
      <c r="FN737" s="1383"/>
      <c r="FO737" s="1381" t="str">
        <f t="shared" si="33"/>
        <v/>
      </c>
      <c r="FP737" s="1382"/>
      <c r="FQ737" s="1382"/>
      <c r="FR737" s="1382"/>
      <c r="FS737" s="1383"/>
      <c r="FT737" s="1381" t="str">
        <f t="shared" si="34"/>
        <v/>
      </c>
      <c r="FU737" s="1382"/>
      <c r="FV737" s="1382"/>
      <c r="FW737" s="1382"/>
      <c r="FX737" s="1383"/>
      <c r="FY737" s="1381" t="str">
        <f t="shared" si="35"/>
        <v/>
      </c>
      <c r="FZ737" s="1382"/>
      <c r="GA737" s="1382"/>
      <c r="GB737" s="1382"/>
      <c r="GC737" s="1383"/>
    </row>
    <row r="738" spans="1:185" ht="12.95" customHeight="1">
      <c r="B738" s="1385"/>
      <c r="C738" s="1386"/>
      <c r="D738" s="1386"/>
      <c r="E738" s="1386"/>
      <c r="F738" s="1387"/>
      <c r="G738" s="1394"/>
      <c r="H738" s="1395"/>
      <c r="I738" s="1395"/>
      <c r="J738" s="1396"/>
      <c r="K738" s="1341"/>
      <c r="L738" s="1342"/>
      <c r="M738" s="1342"/>
      <c r="N738" s="1343"/>
      <c r="O738" s="1462"/>
      <c r="P738" s="1463"/>
      <c r="Q738" s="1463"/>
      <c r="R738" s="1463"/>
      <c r="S738" s="1464"/>
      <c r="T738" s="1462"/>
      <c r="U738" s="1463"/>
      <c r="V738" s="1463"/>
      <c r="W738" s="1464"/>
      <c r="X738" s="1388">
        <f t="shared" si="8"/>
        <v>0</v>
      </c>
      <c r="Y738" s="1389"/>
      <c r="Z738" s="1389"/>
      <c r="AA738" s="1389"/>
      <c r="AB738" s="1390"/>
      <c r="AC738" s="1500"/>
      <c r="AD738" s="1501"/>
      <c r="AE738" s="1501"/>
      <c r="AF738" s="1501"/>
      <c r="AG738" s="1502"/>
      <c r="AH738" s="1391" t="str">
        <f t="shared" si="36"/>
        <v/>
      </c>
      <c r="AI738" s="1392"/>
      <c r="AJ738" s="1393"/>
      <c r="AK738" s="1385" t="s">
        <v>590</v>
      </c>
      <c r="AL738" s="1386"/>
      <c r="AM738" s="1386"/>
      <c r="AN738" s="1386"/>
      <c r="AO738" s="1387"/>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81">
        <f t="shared" si="37"/>
        <v>0</v>
      </c>
      <c r="CH738" s="1383"/>
      <c r="CI738" s="1365">
        <f t="shared" si="38"/>
        <v>0</v>
      </c>
      <c r="CJ738" s="1367"/>
      <c r="CK738" s="1381">
        <f t="shared" si="16"/>
        <v>0</v>
      </c>
      <c r="CL738" s="1383"/>
      <c r="CM738" s="1365">
        <f t="shared" si="17"/>
        <v>0</v>
      </c>
      <c r="CN738" s="1367"/>
      <c r="CO738" s="3"/>
      <c r="CP738" s="1362">
        <f t="shared" si="18"/>
        <v>0</v>
      </c>
      <c r="CQ738" s="1363"/>
      <c r="CR738" s="1363"/>
      <c r="CS738" s="1363"/>
      <c r="CT738" s="1364"/>
      <c r="CU738" s="1384">
        <f t="shared" si="19"/>
        <v>0</v>
      </c>
      <c r="CV738" s="1384"/>
      <c r="CW738" s="1384"/>
      <c r="CX738" s="1384"/>
      <c r="CY738" s="1384"/>
      <c r="CZ738" s="1384">
        <f t="shared" si="20"/>
        <v>0</v>
      </c>
      <c r="DA738" s="1384"/>
      <c r="DB738" s="1384"/>
      <c r="DC738" s="1384"/>
      <c r="DD738" s="1384"/>
      <c r="DE738" s="1384">
        <f t="shared" si="21"/>
        <v>0</v>
      </c>
      <c r="DF738" s="1384"/>
      <c r="DG738" s="1384"/>
      <c r="DH738" s="1384"/>
      <c r="DI738" s="1384"/>
      <c r="DJ738" s="1384">
        <f t="shared" si="22"/>
        <v>0</v>
      </c>
      <c r="DK738" s="1384"/>
      <c r="DL738" s="1384"/>
      <c r="DM738" s="1384"/>
      <c r="DN738" s="1384"/>
      <c r="DO738" s="1384">
        <f t="shared" si="23"/>
        <v>0</v>
      </c>
      <c r="DP738" s="1384"/>
      <c r="DQ738" s="1384"/>
      <c r="DR738" s="1384"/>
      <c r="DS738" s="1384"/>
      <c r="DT738" s="6"/>
      <c r="DU738" s="1398">
        <f t="shared" si="24"/>
        <v>0</v>
      </c>
      <c r="DV738" s="1398"/>
      <c r="DW738" s="1398"/>
      <c r="DX738" s="1398"/>
      <c r="DY738" s="1398"/>
      <c r="DZ738" s="1398">
        <f t="shared" si="25"/>
        <v>0</v>
      </c>
      <c r="EA738" s="1398"/>
      <c r="EB738" s="1398"/>
      <c r="EC738" s="1398"/>
      <c r="ED738" s="1398"/>
      <c r="EE738" s="1398">
        <f t="shared" si="26"/>
        <v>0</v>
      </c>
      <c r="EF738" s="1398"/>
      <c r="EG738" s="1398"/>
      <c r="EH738" s="1398"/>
      <c r="EI738" s="1398"/>
      <c r="EJ738" s="1398">
        <f t="shared" si="27"/>
        <v>0</v>
      </c>
      <c r="EK738" s="1398"/>
      <c r="EL738" s="1398"/>
      <c r="EM738" s="1398"/>
      <c r="EN738" s="1398"/>
      <c r="EO738" s="1398">
        <f t="shared" si="28"/>
        <v>0</v>
      </c>
      <c r="EP738" s="1398"/>
      <c r="EQ738" s="1398"/>
      <c r="ER738" s="1398"/>
      <c r="ES738" s="1398"/>
      <c r="ET738" s="1398">
        <f t="shared" si="29"/>
        <v>0</v>
      </c>
      <c r="EU738" s="1398"/>
      <c r="EV738" s="1398"/>
      <c r="EW738" s="1398"/>
      <c r="EX738" s="1398"/>
      <c r="EZ738" s="1381" t="str">
        <f t="shared" si="30"/>
        <v/>
      </c>
      <c r="FA738" s="1382"/>
      <c r="FB738" s="1382"/>
      <c r="FC738" s="1382"/>
      <c r="FD738" s="1383"/>
      <c r="FE738" s="1381" t="str">
        <f t="shared" si="31"/>
        <v/>
      </c>
      <c r="FF738" s="1382"/>
      <c r="FG738" s="1382"/>
      <c r="FH738" s="1382"/>
      <c r="FI738" s="1383"/>
      <c r="FJ738" s="1381" t="str">
        <f t="shared" si="32"/>
        <v/>
      </c>
      <c r="FK738" s="1382"/>
      <c r="FL738" s="1382"/>
      <c r="FM738" s="1382"/>
      <c r="FN738" s="1383"/>
      <c r="FO738" s="1381" t="str">
        <f t="shared" si="33"/>
        <v/>
      </c>
      <c r="FP738" s="1382"/>
      <c r="FQ738" s="1382"/>
      <c r="FR738" s="1382"/>
      <c r="FS738" s="1383"/>
      <c r="FT738" s="1381" t="str">
        <f t="shared" si="34"/>
        <v/>
      </c>
      <c r="FU738" s="1382"/>
      <c r="FV738" s="1382"/>
      <c r="FW738" s="1382"/>
      <c r="FX738" s="1383"/>
      <c r="FY738" s="1381" t="str">
        <f t="shared" si="35"/>
        <v/>
      </c>
      <c r="FZ738" s="1382"/>
      <c r="GA738" s="1382"/>
      <c r="GB738" s="1382"/>
      <c r="GC738" s="1383"/>
    </row>
    <row r="739" spans="1:185" ht="12.95" customHeight="1">
      <c r="B739" s="1385"/>
      <c r="C739" s="1386"/>
      <c r="D739" s="1386"/>
      <c r="E739" s="1386"/>
      <c r="F739" s="1387"/>
      <c r="G739" s="1394"/>
      <c r="H739" s="1395"/>
      <c r="I739" s="1395"/>
      <c r="J739" s="1396"/>
      <c r="K739" s="1341"/>
      <c r="L739" s="1342"/>
      <c r="M739" s="1342"/>
      <c r="N739" s="1343"/>
      <c r="O739" s="1462"/>
      <c r="P739" s="1463"/>
      <c r="Q739" s="1463"/>
      <c r="R739" s="1463"/>
      <c r="S739" s="1464"/>
      <c r="T739" s="1462"/>
      <c r="U739" s="1463"/>
      <c r="V739" s="1463"/>
      <c r="W739" s="1464"/>
      <c r="X739" s="1388">
        <f t="shared" si="8"/>
        <v>0</v>
      </c>
      <c r="Y739" s="1389"/>
      <c r="Z739" s="1389"/>
      <c r="AA739" s="1389"/>
      <c r="AB739" s="1390"/>
      <c r="AC739" s="1500"/>
      <c r="AD739" s="1501"/>
      <c r="AE739" s="1501"/>
      <c r="AF739" s="1501"/>
      <c r="AG739" s="1502"/>
      <c r="AH739" s="1391" t="str">
        <f t="shared" si="36"/>
        <v/>
      </c>
      <c r="AI739" s="1392"/>
      <c r="AJ739" s="1393"/>
      <c r="AK739" s="1385" t="s">
        <v>590</v>
      </c>
      <c r="AL739" s="1386"/>
      <c r="AM739" s="1386"/>
      <c r="AN739" s="1386"/>
      <c r="AO739" s="1387"/>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81">
        <f t="shared" si="37"/>
        <v>0</v>
      </c>
      <c r="CH739" s="1383"/>
      <c r="CI739" s="1365">
        <f t="shared" si="38"/>
        <v>0</v>
      </c>
      <c r="CJ739" s="1367"/>
      <c r="CK739" s="1381">
        <f t="shared" si="16"/>
        <v>0</v>
      </c>
      <c r="CL739" s="1383"/>
      <c r="CM739" s="1365">
        <f t="shared" si="17"/>
        <v>0</v>
      </c>
      <c r="CN739" s="1367"/>
      <c r="CO739" s="3"/>
      <c r="CP739" s="1362">
        <f t="shared" si="18"/>
        <v>0</v>
      </c>
      <c r="CQ739" s="1363"/>
      <c r="CR739" s="1363"/>
      <c r="CS739" s="1363"/>
      <c r="CT739" s="1364"/>
      <c r="CU739" s="1384">
        <f t="shared" si="19"/>
        <v>0</v>
      </c>
      <c r="CV739" s="1384"/>
      <c r="CW739" s="1384"/>
      <c r="CX739" s="1384"/>
      <c r="CY739" s="1384"/>
      <c r="CZ739" s="1384">
        <f t="shared" si="20"/>
        <v>0</v>
      </c>
      <c r="DA739" s="1384"/>
      <c r="DB739" s="1384"/>
      <c r="DC739" s="1384"/>
      <c r="DD739" s="1384"/>
      <c r="DE739" s="1384">
        <f t="shared" si="21"/>
        <v>0</v>
      </c>
      <c r="DF739" s="1384"/>
      <c r="DG739" s="1384"/>
      <c r="DH739" s="1384"/>
      <c r="DI739" s="1384"/>
      <c r="DJ739" s="1384">
        <f t="shared" si="22"/>
        <v>0</v>
      </c>
      <c r="DK739" s="1384"/>
      <c r="DL739" s="1384"/>
      <c r="DM739" s="1384"/>
      <c r="DN739" s="1384"/>
      <c r="DO739" s="1384">
        <f t="shared" si="23"/>
        <v>0</v>
      </c>
      <c r="DP739" s="1384"/>
      <c r="DQ739" s="1384"/>
      <c r="DR739" s="1384"/>
      <c r="DS739" s="1384"/>
      <c r="DT739" s="6"/>
      <c r="DU739" s="1398">
        <f t="shared" si="24"/>
        <v>0</v>
      </c>
      <c r="DV739" s="1398"/>
      <c r="DW739" s="1398"/>
      <c r="DX739" s="1398"/>
      <c r="DY739" s="1398"/>
      <c r="DZ739" s="1398">
        <f t="shared" si="25"/>
        <v>0</v>
      </c>
      <c r="EA739" s="1398"/>
      <c r="EB739" s="1398"/>
      <c r="EC739" s="1398"/>
      <c r="ED739" s="1398"/>
      <c r="EE739" s="1398">
        <f t="shared" si="26"/>
        <v>0</v>
      </c>
      <c r="EF739" s="1398"/>
      <c r="EG739" s="1398"/>
      <c r="EH739" s="1398"/>
      <c r="EI739" s="1398"/>
      <c r="EJ739" s="1398">
        <f t="shared" si="27"/>
        <v>0</v>
      </c>
      <c r="EK739" s="1398"/>
      <c r="EL739" s="1398"/>
      <c r="EM739" s="1398"/>
      <c r="EN739" s="1398"/>
      <c r="EO739" s="1398">
        <f t="shared" si="28"/>
        <v>0</v>
      </c>
      <c r="EP739" s="1398"/>
      <c r="EQ739" s="1398"/>
      <c r="ER739" s="1398"/>
      <c r="ES739" s="1398"/>
      <c r="ET739" s="1398">
        <f t="shared" si="29"/>
        <v>0</v>
      </c>
      <c r="EU739" s="1398"/>
      <c r="EV739" s="1398"/>
      <c r="EW739" s="1398"/>
      <c r="EX739" s="1398"/>
      <c r="EZ739" s="1381" t="str">
        <f t="shared" si="30"/>
        <v/>
      </c>
      <c r="FA739" s="1382"/>
      <c r="FB739" s="1382"/>
      <c r="FC739" s="1382"/>
      <c r="FD739" s="1383"/>
      <c r="FE739" s="1381" t="str">
        <f t="shared" si="31"/>
        <v/>
      </c>
      <c r="FF739" s="1382"/>
      <c r="FG739" s="1382"/>
      <c r="FH739" s="1382"/>
      <c r="FI739" s="1383"/>
      <c r="FJ739" s="1381" t="str">
        <f t="shared" si="32"/>
        <v/>
      </c>
      <c r="FK739" s="1382"/>
      <c r="FL739" s="1382"/>
      <c r="FM739" s="1382"/>
      <c r="FN739" s="1383"/>
      <c r="FO739" s="1381" t="str">
        <f t="shared" si="33"/>
        <v/>
      </c>
      <c r="FP739" s="1382"/>
      <c r="FQ739" s="1382"/>
      <c r="FR739" s="1382"/>
      <c r="FS739" s="1383"/>
      <c r="FT739" s="1381" t="str">
        <f t="shared" si="34"/>
        <v/>
      </c>
      <c r="FU739" s="1382"/>
      <c r="FV739" s="1382"/>
      <c r="FW739" s="1382"/>
      <c r="FX739" s="1383"/>
      <c r="FY739" s="1381" t="str">
        <f t="shared" si="35"/>
        <v/>
      </c>
      <c r="FZ739" s="1382"/>
      <c r="GA739" s="1382"/>
      <c r="GB739" s="1382"/>
      <c r="GC739" s="1383"/>
    </row>
    <row r="740" spans="1:185" ht="12.95" customHeight="1">
      <c r="B740" s="1385"/>
      <c r="C740" s="1386"/>
      <c r="D740" s="1386"/>
      <c r="E740" s="1386"/>
      <c r="F740" s="1387"/>
      <c r="G740" s="1394"/>
      <c r="H740" s="1395"/>
      <c r="I740" s="1395"/>
      <c r="J740" s="1396"/>
      <c r="K740" s="1341"/>
      <c r="L740" s="1342"/>
      <c r="M740" s="1342"/>
      <c r="N740" s="1343"/>
      <c r="O740" s="1462"/>
      <c r="P740" s="1463"/>
      <c r="Q740" s="1463"/>
      <c r="R740" s="1463"/>
      <c r="S740" s="1464"/>
      <c r="T740" s="1462"/>
      <c r="U740" s="1463"/>
      <c r="V740" s="1463"/>
      <c r="W740" s="1464"/>
      <c r="X740" s="1388">
        <f t="shared" si="8"/>
        <v>0</v>
      </c>
      <c r="Y740" s="1389"/>
      <c r="Z740" s="1389"/>
      <c r="AA740" s="1389"/>
      <c r="AB740" s="1390"/>
      <c r="AC740" s="1500"/>
      <c r="AD740" s="1501"/>
      <c r="AE740" s="1501"/>
      <c r="AF740" s="1501"/>
      <c r="AG740" s="1502"/>
      <c r="AH740" s="1391" t="str">
        <f t="shared" si="36"/>
        <v/>
      </c>
      <c r="AI740" s="1392"/>
      <c r="AJ740" s="1393"/>
      <c r="AK740" s="1385" t="s">
        <v>590</v>
      </c>
      <c r="AL740" s="1386"/>
      <c r="AM740" s="1386"/>
      <c r="AN740" s="1386"/>
      <c r="AO740" s="1387"/>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81">
        <f t="shared" si="37"/>
        <v>0</v>
      </c>
      <c r="CH740" s="1383"/>
      <c r="CI740" s="1365">
        <f t="shared" si="38"/>
        <v>0</v>
      </c>
      <c r="CJ740" s="1367"/>
      <c r="CK740" s="1381">
        <f t="shared" si="16"/>
        <v>0</v>
      </c>
      <c r="CL740" s="1383"/>
      <c r="CM740" s="1365">
        <f t="shared" si="17"/>
        <v>0</v>
      </c>
      <c r="CN740" s="1367"/>
      <c r="CO740" s="3"/>
      <c r="CP740" s="1362">
        <f t="shared" si="18"/>
        <v>0</v>
      </c>
      <c r="CQ740" s="1363"/>
      <c r="CR740" s="1363"/>
      <c r="CS740" s="1363"/>
      <c r="CT740" s="1364"/>
      <c r="CU740" s="1384">
        <f t="shared" si="19"/>
        <v>0</v>
      </c>
      <c r="CV740" s="1384"/>
      <c r="CW740" s="1384"/>
      <c r="CX740" s="1384"/>
      <c r="CY740" s="1384"/>
      <c r="CZ740" s="1384">
        <f t="shared" si="20"/>
        <v>0</v>
      </c>
      <c r="DA740" s="1384"/>
      <c r="DB740" s="1384"/>
      <c r="DC740" s="1384"/>
      <c r="DD740" s="1384"/>
      <c r="DE740" s="1384">
        <f t="shared" si="21"/>
        <v>0</v>
      </c>
      <c r="DF740" s="1384"/>
      <c r="DG740" s="1384"/>
      <c r="DH740" s="1384"/>
      <c r="DI740" s="1384"/>
      <c r="DJ740" s="1384">
        <f t="shared" si="22"/>
        <v>0</v>
      </c>
      <c r="DK740" s="1384"/>
      <c r="DL740" s="1384"/>
      <c r="DM740" s="1384"/>
      <c r="DN740" s="1384"/>
      <c r="DO740" s="1384">
        <f t="shared" si="23"/>
        <v>0</v>
      </c>
      <c r="DP740" s="1384"/>
      <c r="DQ740" s="1384"/>
      <c r="DR740" s="1384"/>
      <c r="DS740" s="1384"/>
      <c r="DT740" s="6"/>
      <c r="DU740" s="1398">
        <f t="shared" si="24"/>
        <v>0</v>
      </c>
      <c r="DV740" s="1398"/>
      <c r="DW740" s="1398"/>
      <c r="DX740" s="1398"/>
      <c r="DY740" s="1398"/>
      <c r="DZ740" s="1398">
        <f t="shared" si="25"/>
        <v>0</v>
      </c>
      <c r="EA740" s="1398"/>
      <c r="EB740" s="1398"/>
      <c r="EC740" s="1398"/>
      <c r="ED740" s="1398"/>
      <c r="EE740" s="1398">
        <f t="shared" si="26"/>
        <v>0</v>
      </c>
      <c r="EF740" s="1398"/>
      <c r="EG740" s="1398"/>
      <c r="EH740" s="1398"/>
      <c r="EI740" s="1398"/>
      <c r="EJ740" s="1398">
        <f t="shared" si="27"/>
        <v>0</v>
      </c>
      <c r="EK740" s="1398"/>
      <c r="EL740" s="1398"/>
      <c r="EM740" s="1398"/>
      <c r="EN740" s="1398"/>
      <c r="EO740" s="1398">
        <f t="shared" si="28"/>
        <v>0</v>
      </c>
      <c r="EP740" s="1398"/>
      <c r="EQ740" s="1398"/>
      <c r="ER740" s="1398"/>
      <c r="ES740" s="1398"/>
      <c r="ET740" s="1398">
        <f t="shared" si="29"/>
        <v>0</v>
      </c>
      <c r="EU740" s="1398"/>
      <c r="EV740" s="1398"/>
      <c r="EW740" s="1398"/>
      <c r="EX740" s="1398"/>
      <c r="EZ740" s="1381" t="str">
        <f t="shared" si="30"/>
        <v/>
      </c>
      <c r="FA740" s="1382"/>
      <c r="FB740" s="1382"/>
      <c r="FC740" s="1382"/>
      <c r="FD740" s="1383"/>
      <c r="FE740" s="1381" t="str">
        <f t="shared" si="31"/>
        <v/>
      </c>
      <c r="FF740" s="1382"/>
      <c r="FG740" s="1382"/>
      <c r="FH740" s="1382"/>
      <c r="FI740" s="1383"/>
      <c r="FJ740" s="1381" t="str">
        <f t="shared" si="32"/>
        <v/>
      </c>
      <c r="FK740" s="1382"/>
      <c r="FL740" s="1382"/>
      <c r="FM740" s="1382"/>
      <c r="FN740" s="1383"/>
      <c r="FO740" s="1381" t="str">
        <f t="shared" si="33"/>
        <v/>
      </c>
      <c r="FP740" s="1382"/>
      <c r="FQ740" s="1382"/>
      <c r="FR740" s="1382"/>
      <c r="FS740" s="1383"/>
      <c r="FT740" s="1381" t="str">
        <f t="shared" si="34"/>
        <v/>
      </c>
      <c r="FU740" s="1382"/>
      <c r="FV740" s="1382"/>
      <c r="FW740" s="1382"/>
      <c r="FX740" s="1383"/>
      <c r="FY740" s="1381" t="str">
        <f t="shared" si="35"/>
        <v/>
      </c>
      <c r="FZ740" s="1382"/>
      <c r="GA740" s="1382"/>
      <c r="GB740" s="1382"/>
      <c r="GC740" s="1383"/>
    </row>
    <row r="741" spans="1:185" ht="12.95" customHeight="1">
      <c r="B741" s="1385"/>
      <c r="C741" s="1386"/>
      <c r="D741" s="1386"/>
      <c r="E741" s="1386"/>
      <c r="F741" s="1387"/>
      <c r="G741" s="1394"/>
      <c r="H741" s="1395"/>
      <c r="I741" s="1395"/>
      <c r="J741" s="1396"/>
      <c r="K741" s="1341"/>
      <c r="L741" s="1342"/>
      <c r="M741" s="1342"/>
      <c r="N741" s="1343"/>
      <c r="O741" s="1462"/>
      <c r="P741" s="1463"/>
      <c r="Q741" s="1463"/>
      <c r="R741" s="1463"/>
      <c r="S741" s="1464"/>
      <c r="T741" s="1462"/>
      <c r="U741" s="1463"/>
      <c r="V741" s="1463"/>
      <c r="W741" s="1464"/>
      <c r="X741" s="1388">
        <f t="shared" si="8"/>
        <v>0</v>
      </c>
      <c r="Y741" s="1389"/>
      <c r="Z741" s="1389"/>
      <c r="AA741" s="1389"/>
      <c r="AB741" s="1390"/>
      <c r="AC741" s="1500"/>
      <c r="AD741" s="1501"/>
      <c r="AE741" s="1501"/>
      <c r="AF741" s="1501"/>
      <c r="AG741" s="1502"/>
      <c r="AH741" s="1391" t="str">
        <f t="shared" si="36"/>
        <v/>
      </c>
      <c r="AI741" s="1392"/>
      <c r="AJ741" s="1393"/>
      <c r="AK741" s="1385" t="s">
        <v>590</v>
      </c>
      <c r="AL741" s="1386"/>
      <c r="AM741" s="1386"/>
      <c r="AN741" s="1386"/>
      <c r="AO741" s="1387"/>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81">
        <f t="shared" si="37"/>
        <v>0</v>
      </c>
      <c r="CH741" s="1383"/>
      <c r="CI741" s="1365">
        <f t="shared" si="38"/>
        <v>0</v>
      </c>
      <c r="CJ741" s="1367"/>
      <c r="CK741" s="1381">
        <f t="shared" si="16"/>
        <v>0</v>
      </c>
      <c r="CL741" s="1383"/>
      <c r="CM741" s="1365">
        <f t="shared" si="17"/>
        <v>0</v>
      </c>
      <c r="CN741" s="1367"/>
      <c r="CO741" s="3"/>
      <c r="CP741" s="1362">
        <f t="shared" si="18"/>
        <v>0</v>
      </c>
      <c r="CQ741" s="1363"/>
      <c r="CR741" s="1363"/>
      <c r="CS741" s="1363"/>
      <c r="CT741" s="1364"/>
      <c r="CU741" s="1384">
        <f t="shared" si="19"/>
        <v>0</v>
      </c>
      <c r="CV741" s="1384"/>
      <c r="CW741" s="1384"/>
      <c r="CX741" s="1384"/>
      <c r="CY741" s="1384"/>
      <c r="CZ741" s="1384">
        <f t="shared" si="20"/>
        <v>0</v>
      </c>
      <c r="DA741" s="1384"/>
      <c r="DB741" s="1384"/>
      <c r="DC741" s="1384"/>
      <c r="DD741" s="1384"/>
      <c r="DE741" s="1384">
        <f t="shared" si="21"/>
        <v>0</v>
      </c>
      <c r="DF741" s="1384"/>
      <c r="DG741" s="1384"/>
      <c r="DH741" s="1384"/>
      <c r="DI741" s="1384"/>
      <c r="DJ741" s="1384">
        <f t="shared" si="22"/>
        <v>0</v>
      </c>
      <c r="DK741" s="1384"/>
      <c r="DL741" s="1384"/>
      <c r="DM741" s="1384"/>
      <c r="DN741" s="1384"/>
      <c r="DO741" s="1384">
        <f t="shared" si="23"/>
        <v>0</v>
      </c>
      <c r="DP741" s="1384"/>
      <c r="DQ741" s="1384"/>
      <c r="DR741" s="1384"/>
      <c r="DS741" s="1384"/>
      <c r="DT741" s="6"/>
      <c r="DU741" s="1398">
        <f t="shared" si="24"/>
        <v>0</v>
      </c>
      <c r="DV741" s="1398"/>
      <c r="DW741" s="1398"/>
      <c r="DX741" s="1398"/>
      <c r="DY741" s="1398"/>
      <c r="DZ741" s="1398">
        <f t="shared" si="25"/>
        <v>0</v>
      </c>
      <c r="EA741" s="1398"/>
      <c r="EB741" s="1398"/>
      <c r="EC741" s="1398"/>
      <c r="ED741" s="1398"/>
      <c r="EE741" s="1398">
        <f t="shared" si="26"/>
        <v>0</v>
      </c>
      <c r="EF741" s="1398"/>
      <c r="EG741" s="1398"/>
      <c r="EH741" s="1398"/>
      <c r="EI741" s="1398"/>
      <c r="EJ741" s="1398">
        <f t="shared" si="27"/>
        <v>0</v>
      </c>
      <c r="EK741" s="1398"/>
      <c r="EL741" s="1398"/>
      <c r="EM741" s="1398"/>
      <c r="EN741" s="1398"/>
      <c r="EO741" s="1398">
        <f t="shared" si="28"/>
        <v>0</v>
      </c>
      <c r="EP741" s="1398"/>
      <c r="EQ741" s="1398"/>
      <c r="ER741" s="1398"/>
      <c r="ES741" s="1398"/>
      <c r="ET741" s="1398">
        <f t="shared" si="29"/>
        <v>0</v>
      </c>
      <c r="EU741" s="1398"/>
      <c r="EV741" s="1398"/>
      <c r="EW741" s="1398"/>
      <c r="EX741" s="1398"/>
      <c r="EZ741" s="1381" t="str">
        <f t="shared" si="30"/>
        <v/>
      </c>
      <c r="FA741" s="1382"/>
      <c r="FB741" s="1382"/>
      <c r="FC741" s="1382"/>
      <c r="FD741" s="1383"/>
      <c r="FE741" s="1381" t="str">
        <f t="shared" si="31"/>
        <v/>
      </c>
      <c r="FF741" s="1382"/>
      <c r="FG741" s="1382"/>
      <c r="FH741" s="1382"/>
      <c r="FI741" s="1383"/>
      <c r="FJ741" s="1381" t="str">
        <f t="shared" si="32"/>
        <v/>
      </c>
      <c r="FK741" s="1382"/>
      <c r="FL741" s="1382"/>
      <c r="FM741" s="1382"/>
      <c r="FN741" s="1383"/>
      <c r="FO741" s="1381" t="str">
        <f t="shared" si="33"/>
        <v/>
      </c>
      <c r="FP741" s="1382"/>
      <c r="FQ741" s="1382"/>
      <c r="FR741" s="1382"/>
      <c r="FS741" s="1383"/>
      <c r="FT741" s="1381" t="str">
        <f t="shared" si="34"/>
        <v/>
      </c>
      <c r="FU741" s="1382"/>
      <c r="FV741" s="1382"/>
      <c r="FW741" s="1382"/>
      <c r="FX741" s="1383"/>
      <c r="FY741" s="1381" t="str">
        <f t="shared" si="35"/>
        <v/>
      </c>
      <c r="FZ741" s="1382"/>
      <c r="GA741" s="1382"/>
      <c r="GB741" s="1382"/>
      <c r="GC741" s="1383"/>
    </row>
    <row r="742" spans="1:185" ht="12.95" customHeight="1">
      <c r="B742" s="1385"/>
      <c r="C742" s="1386"/>
      <c r="D742" s="1386"/>
      <c r="E742" s="1386"/>
      <c r="F742" s="1387"/>
      <c r="G742" s="1394"/>
      <c r="H742" s="1395"/>
      <c r="I742" s="1395"/>
      <c r="J742" s="1396"/>
      <c r="K742" s="1341"/>
      <c r="L742" s="1342"/>
      <c r="M742" s="1342"/>
      <c r="N742" s="1343"/>
      <c r="O742" s="1462"/>
      <c r="P742" s="1463"/>
      <c r="Q742" s="1463"/>
      <c r="R742" s="1463"/>
      <c r="S742" s="1464"/>
      <c r="T742" s="1462"/>
      <c r="U742" s="1463"/>
      <c r="V742" s="1463"/>
      <c r="W742" s="1464"/>
      <c r="X742" s="1388">
        <f t="shared" ref="X742:X751" si="39">O742+T742</f>
        <v>0</v>
      </c>
      <c r="Y742" s="1389"/>
      <c r="Z742" s="1389"/>
      <c r="AA742" s="1389"/>
      <c r="AB742" s="1390"/>
      <c r="AC742" s="1500"/>
      <c r="AD742" s="1501"/>
      <c r="AE742" s="1501"/>
      <c r="AF742" s="1501"/>
      <c r="AG742" s="1502"/>
      <c r="AH742" s="1391" t="str">
        <f t="shared" si="36"/>
        <v/>
      </c>
      <c r="AI742" s="1392"/>
      <c r="AJ742" s="1393"/>
      <c r="AK742" s="1385" t="s">
        <v>590</v>
      </c>
      <c r="AL742" s="1386"/>
      <c r="AM742" s="1386"/>
      <c r="AN742" s="1386"/>
      <c r="AO742" s="1387"/>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81">
        <f t="shared" si="37"/>
        <v>0</v>
      </c>
      <c r="CH742" s="1383"/>
      <c r="CI742" s="1365">
        <f t="shared" si="38"/>
        <v>0</v>
      </c>
      <c r="CJ742" s="1367"/>
      <c r="CK742" s="1381">
        <f t="shared" si="16"/>
        <v>0</v>
      </c>
      <c r="CL742" s="1383"/>
      <c r="CM742" s="1365">
        <f t="shared" si="17"/>
        <v>0</v>
      </c>
      <c r="CN742" s="1367"/>
      <c r="CO742" s="3"/>
      <c r="CP742" s="1362">
        <f t="shared" si="18"/>
        <v>0</v>
      </c>
      <c r="CQ742" s="1363"/>
      <c r="CR742" s="1363"/>
      <c r="CS742" s="1363"/>
      <c r="CT742" s="1364"/>
      <c r="CU742" s="1384">
        <f t="shared" si="19"/>
        <v>0</v>
      </c>
      <c r="CV742" s="1384"/>
      <c r="CW742" s="1384"/>
      <c r="CX742" s="1384"/>
      <c r="CY742" s="1384"/>
      <c r="CZ742" s="1384">
        <f t="shared" si="20"/>
        <v>0</v>
      </c>
      <c r="DA742" s="1384"/>
      <c r="DB742" s="1384"/>
      <c r="DC742" s="1384"/>
      <c r="DD742" s="1384"/>
      <c r="DE742" s="1384">
        <f t="shared" si="21"/>
        <v>0</v>
      </c>
      <c r="DF742" s="1384"/>
      <c r="DG742" s="1384"/>
      <c r="DH742" s="1384"/>
      <c r="DI742" s="1384"/>
      <c r="DJ742" s="1384">
        <f t="shared" si="22"/>
        <v>0</v>
      </c>
      <c r="DK742" s="1384"/>
      <c r="DL742" s="1384"/>
      <c r="DM742" s="1384"/>
      <c r="DN742" s="1384"/>
      <c r="DO742" s="1384">
        <f t="shared" si="23"/>
        <v>0</v>
      </c>
      <c r="DP742" s="1384"/>
      <c r="DQ742" s="1384"/>
      <c r="DR742" s="1384"/>
      <c r="DS742" s="1384"/>
      <c r="DT742" s="6"/>
      <c r="DU742" s="1398">
        <f t="shared" si="24"/>
        <v>0</v>
      </c>
      <c r="DV742" s="1398"/>
      <c r="DW742" s="1398"/>
      <c r="DX742" s="1398"/>
      <c r="DY742" s="1398"/>
      <c r="DZ742" s="1398">
        <f t="shared" si="25"/>
        <v>0</v>
      </c>
      <c r="EA742" s="1398"/>
      <c r="EB742" s="1398"/>
      <c r="EC742" s="1398"/>
      <c r="ED742" s="1398"/>
      <c r="EE742" s="1398">
        <f t="shared" si="26"/>
        <v>0</v>
      </c>
      <c r="EF742" s="1398"/>
      <c r="EG742" s="1398"/>
      <c r="EH742" s="1398"/>
      <c r="EI742" s="1398"/>
      <c r="EJ742" s="1398">
        <f t="shared" si="27"/>
        <v>0</v>
      </c>
      <c r="EK742" s="1398"/>
      <c r="EL742" s="1398"/>
      <c r="EM742" s="1398"/>
      <c r="EN742" s="1398"/>
      <c r="EO742" s="1398">
        <f t="shared" si="28"/>
        <v>0</v>
      </c>
      <c r="EP742" s="1398"/>
      <c r="EQ742" s="1398"/>
      <c r="ER742" s="1398"/>
      <c r="ES742" s="1398"/>
      <c r="ET742" s="1398">
        <f t="shared" si="29"/>
        <v>0</v>
      </c>
      <c r="EU742" s="1398"/>
      <c r="EV742" s="1398"/>
      <c r="EW742" s="1398"/>
      <c r="EX742" s="1398"/>
      <c r="EZ742" s="1381" t="str">
        <f t="shared" si="30"/>
        <v/>
      </c>
      <c r="FA742" s="1382"/>
      <c r="FB742" s="1382"/>
      <c r="FC742" s="1382"/>
      <c r="FD742" s="1383"/>
      <c r="FE742" s="1381" t="str">
        <f t="shared" si="31"/>
        <v/>
      </c>
      <c r="FF742" s="1382"/>
      <c r="FG742" s="1382"/>
      <c r="FH742" s="1382"/>
      <c r="FI742" s="1383"/>
      <c r="FJ742" s="1381" t="str">
        <f t="shared" si="32"/>
        <v/>
      </c>
      <c r="FK742" s="1382"/>
      <c r="FL742" s="1382"/>
      <c r="FM742" s="1382"/>
      <c r="FN742" s="1383"/>
      <c r="FO742" s="1381" t="str">
        <f t="shared" si="33"/>
        <v/>
      </c>
      <c r="FP742" s="1382"/>
      <c r="FQ742" s="1382"/>
      <c r="FR742" s="1382"/>
      <c r="FS742" s="1383"/>
      <c r="FT742" s="1381" t="str">
        <f t="shared" si="34"/>
        <v/>
      </c>
      <c r="FU742" s="1382"/>
      <c r="FV742" s="1382"/>
      <c r="FW742" s="1382"/>
      <c r="FX742" s="1383"/>
      <c r="FY742" s="1381" t="str">
        <f t="shared" si="35"/>
        <v/>
      </c>
      <c r="FZ742" s="1382"/>
      <c r="GA742" s="1382"/>
      <c r="GB742" s="1382"/>
      <c r="GC742" s="1383"/>
    </row>
    <row r="743" spans="1:185" s="3" customFormat="1" ht="12.95" customHeight="1">
      <c r="A743"/>
      <c r="B743" s="1385"/>
      <c r="C743" s="1386"/>
      <c r="D743" s="1386"/>
      <c r="E743" s="1386"/>
      <c r="F743" s="1387"/>
      <c r="G743" s="1394"/>
      <c r="H743" s="1395"/>
      <c r="I743" s="1395"/>
      <c r="J743" s="1396"/>
      <c r="K743" s="1341"/>
      <c r="L743" s="1342"/>
      <c r="M743" s="1342"/>
      <c r="N743" s="1343"/>
      <c r="O743" s="1462"/>
      <c r="P743" s="1463"/>
      <c r="Q743" s="1463"/>
      <c r="R743" s="1463"/>
      <c r="S743" s="1464"/>
      <c r="T743" s="1462"/>
      <c r="U743" s="1463"/>
      <c r="V743" s="1463"/>
      <c r="W743" s="1464"/>
      <c r="X743" s="1388">
        <f t="shared" si="39"/>
        <v>0</v>
      </c>
      <c r="Y743" s="1389"/>
      <c r="Z743" s="1389"/>
      <c r="AA743" s="1389"/>
      <c r="AB743" s="1390"/>
      <c r="AC743" s="1500"/>
      <c r="AD743" s="1501"/>
      <c r="AE743" s="1501"/>
      <c r="AF743" s="1501"/>
      <c r="AG743" s="1502"/>
      <c r="AH743" s="1391" t="str">
        <f t="shared" si="36"/>
        <v/>
      </c>
      <c r="AI743" s="1392"/>
      <c r="AJ743" s="1393"/>
      <c r="AK743" s="1385" t="s">
        <v>590</v>
      </c>
      <c r="AL743" s="1386"/>
      <c r="AM743" s="1386"/>
      <c r="AN743" s="1386"/>
      <c r="AO743" s="1387"/>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81">
        <f t="shared" si="37"/>
        <v>0</v>
      </c>
      <c r="CH743" s="1383"/>
      <c r="CI743" s="1365">
        <f t="shared" si="38"/>
        <v>0</v>
      </c>
      <c r="CJ743" s="1367"/>
      <c r="CK743" s="1381">
        <f t="shared" si="16"/>
        <v>0</v>
      </c>
      <c r="CL743" s="1383"/>
      <c r="CM743" s="1365">
        <f t="shared" si="17"/>
        <v>0</v>
      </c>
      <c r="CN743" s="1367"/>
      <c r="CP743" s="1362">
        <f t="shared" si="18"/>
        <v>0</v>
      </c>
      <c r="CQ743" s="1363"/>
      <c r="CR743" s="1363"/>
      <c r="CS743" s="1363"/>
      <c r="CT743" s="1364"/>
      <c r="CU743" s="1384">
        <f t="shared" si="19"/>
        <v>0</v>
      </c>
      <c r="CV743" s="1384"/>
      <c r="CW743" s="1384"/>
      <c r="CX743" s="1384"/>
      <c r="CY743" s="1384"/>
      <c r="CZ743" s="1384">
        <f t="shared" si="20"/>
        <v>0</v>
      </c>
      <c r="DA743" s="1384"/>
      <c r="DB743" s="1384"/>
      <c r="DC743" s="1384"/>
      <c r="DD743" s="1384"/>
      <c r="DE743" s="1384">
        <f t="shared" si="21"/>
        <v>0</v>
      </c>
      <c r="DF743" s="1384"/>
      <c r="DG743" s="1384"/>
      <c r="DH743" s="1384"/>
      <c r="DI743" s="1384"/>
      <c r="DJ743" s="1384">
        <f t="shared" si="22"/>
        <v>0</v>
      </c>
      <c r="DK743" s="1384"/>
      <c r="DL743" s="1384"/>
      <c r="DM743" s="1384"/>
      <c r="DN743" s="1384"/>
      <c r="DO743" s="1384">
        <f t="shared" si="23"/>
        <v>0</v>
      </c>
      <c r="DP743" s="1384"/>
      <c r="DQ743" s="1384"/>
      <c r="DR743" s="1384"/>
      <c r="DS743" s="1384"/>
      <c r="DT743" s="6"/>
      <c r="DU743" s="1398">
        <f t="shared" si="24"/>
        <v>0</v>
      </c>
      <c r="DV743" s="1398"/>
      <c r="DW743" s="1398"/>
      <c r="DX743" s="1398"/>
      <c r="DY743" s="1398"/>
      <c r="DZ743" s="1398">
        <f t="shared" si="25"/>
        <v>0</v>
      </c>
      <c r="EA743" s="1398"/>
      <c r="EB743" s="1398"/>
      <c r="EC743" s="1398"/>
      <c r="ED743" s="1398"/>
      <c r="EE743" s="1398">
        <f t="shared" si="26"/>
        <v>0</v>
      </c>
      <c r="EF743" s="1398"/>
      <c r="EG743" s="1398"/>
      <c r="EH743" s="1398"/>
      <c r="EI743" s="1398"/>
      <c r="EJ743" s="1398">
        <f t="shared" si="27"/>
        <v>0</v>
      </c>
      <c r="EK743" s="1398"/>
      <c r="EL743" s="1398"/>
      <c r="EM743" s="1398"/>
      <c r="EN743" s="1398"/>
      <c r="EO743" s="1398">
        <f t="shared" si="28"/>
        <v>0</v>
      </c>
      <c r="EP743" s="1398"/>
      <c r="EQ743" s="1398"/>
      <c r="ER743" s="1398"/>
      <c r="ES743" s="1398"/>
      <c r="ET743" s="1398">
        <f t="shared" si="29"/>
        <v>0</v>
      </c>
      <c r="EU743" s="1398"/>
      <c r="EV743" s="1398"/>
      <c r="EW743" s="1398"/>
      <c r="EX743" s="1398"/>
      <c r="EY743"/>
      <c r="EZ743" s="1381" t="str">
        <f t="shared" si="30"/>
        <v/>
      </c>
      <c r="FA743" s="1382"/>
      <c r="FB743" s="1382"/>
      <c r="FC743" s="1382"/>
      <c r="FD743" s="1383"/>
      <c r="FE743" s="1381" t="str">
        <f t="shared" si="31"/>
        <v/>
      </c>
      <c r="FF743" s="1382"/>
      <c r="FG743" s="1382"/>
      <c r="FH743" s="1382"/>
      <c r="FI743" s="1383"/>
      <c r="FJ743" s="1381" t="str">
        <f t="shared" si="32"/>
        <v/>
      </c>
      <c r="FK743" s="1382"/>
      <c r="FL743" s="1382"/>
      <c r="FM743" s="1382"/>
      <c r="FN743" s="1383"/>
      <c r="FO743" s="1381" t="str">
        <f t="shared" si="33"/>
        <v/>
      </c>
      <c r="FP743" s="1382"/>
      <c r="FQ743" s="1382"/>
      <c r="FR743" s="1382"/>
      <c r="FS743" s="1383"/>
      <c r="FT743" s="1381" t="str">
        <f t="shared" si="34"/>
        <v/>
      </c>
      <c r="FU743" s="1382"/>
      <c r="FV743" s="1382"/>
      <c r="FW743" s="1382"/>
      <c r="FX743" s="1383"/>
      <c r="FY743" s="1381" t="str">
        <f t="shared" si="35"/>
        <v/>
      </c>
      <c r="FZ743" s="1382"/>
      <c r="GA743" s="1382"/>
      <c r="GB743" s="1382"/>
      <c r="GC743" s="1383"/>
    </row>
    <row r="744" spans="1:185" ht="12.95" customHeight="1">
      <c r="B744" s="1385"/>
      <c r="C744" s="1386"/>
      <c r="D744" s="1386"/>
      <c r="E744" s="1386"/>
      <c r="F744" s="1387"/>
      <c r="G744" s="1394"/>
      <c r="H744" s="1395"/>
      <c r="I744" s="1395"/>
      <c r="J744" s="1396"/>
      <c r="K744" s="1341"/>
      <c r="L744" s="1342"/>
      <c r="M744" s="1342"/>
      <c r="N744" s="1343"/>
      <c r="O744" s="1462"/>
      <c r="P744" s="1463"/>
      <c r="Q744" s="1463"/>
      <c r="R744" s="1463"/>
      <c r="S744" s="1464"/>
      <c r="T744" s="1462"/>
      <c r="U744" s="1463"/>
      <c r="V744" s="1463"/>
      <c r="W744" s="1464"/>
      <c r="X744" s="1388">
        <f t="shared" si="39"/>
        <v>0</v>
      </c>
      <c r="Y744" s="1389"/>
      <c r="Z744" s="1389"/>
      <c r="AA744" s="1389"/>
      <c r="AB744" s="1390"/>
      <c r="AC744" s="1500"/>
      <c r="AD744" s="1501"/>
      <c r="AE744" s="1501"/>
      <c r="AF744" s="1501"/>
      <c r="AG744" s="1502"/>
      <c r="AH744" s="1391" t="str">
        <f t="shared" si="36"/>
        <v/>
      </c>
      <c r="AI744" s="1392"/>
      <c r="AJ744" s="1393"/>
      <c r="AK744" s="1385" t="s">
        <v>590</v>
      </c>
      <c r="AL744" s="1386"/>
      <c r="AM744" s="1386"/>
      <c r="AN744" s="1386"/>
      <c r="AO744" s="1387"/>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81">
        <f t="shared" si="37"/>
        <v>0</v>
      </c>
      <c r="CH744" s="1383"/>
      <c r="CI744" s="1365">
        <f t="shared" si="38"/>
        <v>0</v>
      </c>
      <c r="CJ744" s="1367"/>
      <c r="CK744" s="1381">
        <f t="shared" si="16"/>
        <v>0</v>
      </c>
      <c r="CL744" s="1383"/>
      <c r="CM744" s="1365">
        <f t="shared" si="17"/>
        <v>0</v>
      </c>
      <c r="CN744" s="1367"/>
      <c r="CO744" s="3"/>
      <c r="CP744" s="1362">
        <f t="shared" si="18"/>
        <v>0</v>
      </c>
      <c r="CQ744" s="1363"/>
      <c r="CR744" s="1363"/>
      <c r="CS744" s="1363"/>
      <c r="CT744" s="1364"/>
      <c r="CU744" s="1384">
        <f t="shared" si="19"/>
        <v>0</v>
      </c>
      <c r="CV744" s="1384"/>
      <c r="CW744" s="1384"/>
      <c r="CX744" s="1384"/>
      <c r="CY744" s="1384"/>
      <c r="CZ744" s="1384">
        <f t="shared" si="20"/>
        <v>0</v>
      </c>
      <c r="DA744" s="1384"/>
      <c r="DB744" s="1384"/>
      <c r="DC744" s="1384"/>
      <c r="DD744" s="1384"/>
      <c r="DE744" s="1384">
        <f t="shared" si="21"/>
        <v>0</v>
      </c>
      <c r="DF744" s="1384"/>
      <c r="DG744" s="1384"/>
      <c r="DH744" s="1384"/>
      <c r="DI744" s="1384"/>
      <c r="DJ744" s="1384">
        <f t="shared" si="22"/>
        <v>0</v>
      </c>
      <c r="DK744" s="1384"/>
      <c r="DL744" s="1384"/>
      <c r="DM744" s="1384"/>
      <c r="DN744" s="1384"/>
      <c r="DO744" s="1384">
        <f t="shared" si="23"/>
        <v>0</v>
      </c>
      <c r="DP744" s="1384"/>
      <c r="DQ744" s="1384"/>
      <c r="DR744" s="1384"/>
      <c r="DS744" s="1384"/>
      <c r="DT744" s="6"/>
      <c r="DU744" s="1398">
        <f t="shared" si="24"/>
        <v>0</v>
      </c>
      <c r="DV744" s="1398"/>
      <c r="DW744" s="1398"/>
      <c r="DX744" s="1398"/>
      <c r="DY744" s="1398"/>
      <c r="DZ744" s="1398">
        <f t="shared" si="25"/>
        <v>0</v>
      </c>
      <c r="EA744" s="1398"/>
      <c r="EB744" s="1398"/>
      <c r="EC744" s="1398"/>
      <c r="ED744" s="1398"/>
      <c r="EE744" s="1398">
        <f t="shared" si="26"/>
        <v>0</v>
      </c>
      <c r="EF744" s="1398"/>
      <c r="EG744" s="1398"/>
      <c r="EH744" s="1398"/>
      <c r="EI744" s="1398"/>
      <c r="EJ744" s="1398">
        <f t="shared" si="27"/>
        <v>0</v>
      </c>
      <c r="EK744" s="1398"/>
      <c r="EL744" s="1398"/>
      <c r="EM744" s="1398"/>
      <c r="EN744" s="1398"/>
      <c r="EO744" s="1398">
        <f t="shared" si="28"/>
        <v>0</v>
      </c>
      <c r="EP744" s="1398"/>
      <c r="EQ744" s="1398"/>
      <c r="ER744" s="1398"/>
      <c r="ES744" s="1398"/>
      <c r="ET744" s="1398">
        <f t="shared" si="29"/>
        <v>0</v>
      </c>
      <c r="EU744" s="1398"/>
      <c r="EV744" s="1398"/>
      <c r="EW744" s="1398"/>
      <c r="EX744" s="1398"/>
      <c r="EZ744" s="1381" t="str">
        <f t="shared" si="30"/>
        <v/>
      </c>
      <c r="FA744" s="1382"/>
      <c r="FB744" s="1382"/>
      <c r="FC744" s="1382"/>
      <c r="FD744" s="1383"/>
      <c r="FE744" s="1381" t="str">
        <f t="shared" si="31"/>
        <v/>
      </c>
      <c r="FF744" s="1382"/>
      <c r="FG744" s="1382"/>
      <c r="FH744" s="1382"/>
      <c r="FI744" s="1383"/>
      <c r="FJ744" s="1381" t="str">
        <f t="shared" si="32"/>
        <v/>
      </c>
      <c r="FK744" s="1382"/>
      <c r="FL744" s="1382"/>
      <c r="FM744" s="1382"/>
      <c r="FN744" s="1383"/>
      <c r="FO744" s="1381" t="str">
        <f t="shared" si="33"/>
        <v/>
      </c>
      <c r="FP744" s="1382"/>
      <c r="FQ744" s="1382"/>
      <c r="FR744" s="1382"/>
      <c r="FS744" s="1383"/>
      <c r="FT744" s="1381" t="str">
        <f t="shared" si="34"/>
        <v/>
      </c>
      <c r="FU744" s="1382"/>
      <c r="FV744" s="1382"/>
      <c r="FW744" s="1382"/>
      <c r="FX744" s="1383"/>
      <c r="FY744" s="1381" t="str">
        <f t="shared" si="35"/>
        <v/>
      </c>
      <c r="FZ744" s="1382"/>
      <c r="GA744" s="1382"/>
      <c r="GB744" s="1382"/>
      <c r="GC744" s="1383"/>
    </row>
    <row r="745" spans="1:185" ht="12.95" customHeight="1">
      <c r="B745" s="1385"/>
      <c r="C745" s="1386"/>
      <c r="D745" s="1386"/>
      <c r="E745" s="1386"/>
      <c r="F745" s="1387"/>
      <c r="G745" s="1394"/>
      <c r="H745" s="1395"/>
      <c r="I745" s="1395"/>
      <c r="J745" s="1396"/>
      <c r="K745" s="1341"/>
      <c r="L745" s="1342"/>
      <c r="M745" s="1342"/>
      <c r="N745" s="1343"/>
      <c r="O745" s="1462"/>
      <c r="P745" s="1463"/>
      <c r="Q745" s="1463"/>
      <c r="R745" s="1463"/>
      <c r="S745" s="1464"/>
      <c r="T745" s="1462"/>
      <c r="U745" s="1463"/>
      <c r="V745" s="1463"/>
      <c r="W745" s="1464"/>
      <c r="X745" s="1388">
        <f t="shared" si="39"/>
        <v>0</v>
      </c>
      <c r="Y745" s="1389"/>
      <c r="Z745" s="1389"/>
      <c r="AA745" s="1389"/>
      <c r="AB745" s="1390"/>
      <c r="AC745" s="1500"/>
      <c r="AD745" s="1501"/>
      <c r="AE745" s="1501"/>
      <c r="AF745" s="1501"/>
      <c r="AG745" s="1502"/>
      <c r="AH745" s="1391" t="str">
        <f t="shared" si="36"/>
        <v/>
      </c>
      <c r="AI745" s="1392"/>
      <c r="AJ745" s="1393"/>
      <c r="AK745" s="1385" t="s">
        <v>590</v>
      </c>
      <c r="AL745" s="1386"/>
      <c r="AM745" s="1386"/>
      <c r="AN745" s="1386"/>
      <c r="AO745" s="1387"/>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81">
        <f t="shared" si="37"/>
        <v>0</v>
      </c>
      <c r="CH745" s="1383"/>
      <c r="CI745" s="1365">
        <f t="shared" si="38"/>
        <v>0</v>
      </c>
      <c r="CJ745" s="1367"/>
      <c r="CK745" s="1381">
        <f t="shared" si="16"/>
        <v>0</v>
      </c>
      <c r="CL745" s="1383"/>
      <c r="CM745" s="1365">
        <f t="shared" si="17"/>
        <v>0</v>
      </c>
      <c r="CN745" s="1367"/>
      <c r="CO745" s="3"/>
      <c r="CP745" s="1362">
        <f t="shared" si="18"/>
        <v>0</v>
      </c>
      <c r="CQ745" s="1363"/>
      <c r="CR745" s="1363"/>
      <c r="CS745" s="1363"/>
      <c r="CT745" s="1364"/>
      <c r="CU745" s="1384">
        <f t="shared" si="19"/>
        <v>0</v>
      </c>
      <c r="CV745" s="1384"/>
      <c r="CW745" s="1384"/>
      <c r="CX745" s="1384"/>
      <c r="CY745" s="1384"/>
      <c r="CZ745" s="1384">
        <f t="shared" si="20"/>
        <v>0</v>
      </c>
      <c r="DA745" s="1384"/>
      <c r="DB745" s="1384"/>
      <c r="DC745" s="1384"/>
      <c r="DD745" s="1384"/>
      <c r="DE745" s="1384">
        <f t="shared" si="21"/>
        <v>0</v>
      </c>
      <c r="DF745" s="1384"/>
      <c r="DG745" s="1384"/>
      <c r="DH745" s="1384"/>
      <c r="DI745" s="1384"/>
      <c r="DJ745" s="1384">
        <f t="shared" si="22"/>
        <v>0</v>
      </c>
      <c r="DK745" s="1384"/>
      <c r="DL745" s="1384"/>
      <c r="DM745" s="1384"/>
      <c r="DN745" s="1384"/>
      <c r="DO745" s="1384">
        <f t="shared" si="23"/>
        <v>0</v>
      </c>
      <c r="DP745" s="1384"/>
      <c r="DQ745" s="1384"/>
      <c r="DR745" s="1384"/>
      <c r="DS745" s="1384"/>
      <c r="DT745" s="6"/>
      <c r="DU745" s="1398">
        <f t="shared" si="24"/>
        <v>0</v>
      </c>
      <c r="DV745" s="1398"/>
      <c r="DW745" s="1398"/>
      <c r="DX745" s="1398"/>
      <c r="DY745" s="1398"/>
      <c r="DZ745" s="1398">
        <f t="shared" si="25"/>
        <v>0</v>
      </c>
      <c r="EA745" s="1398"/>
      <c r="EB745" s="1398"/>
      <c r="EC745" s="1398"/>
      <c r="ED745" s="1398"/>
      <c r="EE745" s="1398">
        <f t="shared" si="26"/>
        <v>0</v>
      </c>
      <c r="EF745" s="1398"/>
      <c r="EG745" s="1398"/>
      <c r="EH745" s="1398"/>
      <c r="EI745" s="1398"/>
      <c r="EJ745" s="1398">
        <f t="shared" si="27"/>
        <v>0</v>
      </c>
      <c r="EK745" s="1398"/>
      <c r="EL745" s="1398"/>
      <c r="EM745" s="1398"/>
      <c r="EN745" s="1398"/>
      <c r="EO745" s="1398">
        <f t="shared" si="28"/>
        <v>0</v>
      </c>
      <c r="EP745" s="1398"/>
      <c r="EQ745" s="1398"/>
      <c r="ER745" s="1398"/>
      <c r="ES745" s="1398"/>
      <c r="ET745" s="1398">
        <f t="shared" si="29"/>
        <v>0</v>
      </c>
      <c r="EU745" s="1398"/>
      <c r="EV745" s="1398"/>
      <c r="EW745" s="1398"/>
      <c r="EX745" s="1398"/>
      <c r="EZ745" s="1381" t="str">
        <f t="shared" si="30"/>
        <v/>
      </c>
      <c r="FA745" s="1382"/>
      <c r="FB745" s="1382"/>
      <c r="FC745" s="1382"/>
      <c r="FD745" s="1383"/>
      <c r="FE745" s="1381" t="str">
        <f t="shared" si="31"/>
        <v/>
      </c>
      <c r="FF745" s="1382"/>
      <c r="FG745" s="1382"/>
      <c r="FH745" s="1382"/>
      <c r="FI745" s="1383"/>
      <c r="FJ745" s="1381" t="str">
        <f t="shared" si="32"/>
        <v/>
      </c>
      <c r="FK745" s="1382"/>
      <c r="FL745" s="1382"/>
      <c r="FM745" s="1382"/>
      <c r="FN745" s="1383"/>
      <c r="FO745" s="1381" t="str">
        <f t="shared" si="33"/>
        <v/>
      </c>
      <c r="FP745" s="1382"/>
      <c r="FQ745" s="1382"/>
      <c r="FR745" s="1382"/>
      <c r="FS745" s="1383"/>
      <c r="FT745" s="1381" t="str">
        <f t="shared" si="34"/>
        <v/>
      </c>
      <c r="FU745" s="1382"/>
      <c r="FV745" s="1382"/>
      <c r="FW745" s="1382"/>
      <c r="FX745" s="1383"/>
      <c r="FY745" s="1381" t="str">
        <f t="shared" si="35"/>
        <v/>
      </c>
      <c r="FZ745" s="1382"/>
      <c r="GA745" s="1382"/>
      <c r="GB745" s="1382"/>
      <c r="GC745" s="1383"/>
    </row>
    <row r="746" spans="1:185" ht="12.95" customHeight="1">
      <c r="B746" s="1385"/>
      <c r="C746" s="1386"/>
      <c r="D746" s="1386"/>
      <c r="E746" s="1386"/>
      <c r="F746" s="1387"/>
      <c r="G746" s="1394"/>
      <c r="H746" s="1395"/>
      <c r="I746" s="1395"/>
      <c r="J746" s="1396"/>
      <c r="K746" s="1341"/>
      <c r="L746" s="1342"/>
      <c r="M746" s="1342"/>
      <c r="N746" s="1343"/>
      <c r="O746" s="1462"/>
      <c r="P746" s="1463"/>
      <c r="Q746" s="1463"/>
      <c r="R746" s="1463"/>
      <c r="S746" s="1464"/>
      <c r="T746" s="1462"/>
      <c r="U746" s="1463"/>
      <c r="V746" s="1463"/>
      <c r="W746" s="1464"/>
      <c r="X746" s="1388">
        <f t="shared" si="39"/>
        <v>0</v>
      </c>
      <c r="Y746" s="1389"/>
      <c r="Z746" s="1389"/>
      <c r="AA746" s="1389"/>
      <c r="AB746" s="1390"/>
      <c r="AC746" s="1500"/>
      <c r="AD746" s="1501"/>
      <c r="AE746" s="1501"/>
      <c r="AF746" s="1501"/>
      <c r="AG746" s="1502"/>
      <c r="AH746" s="1391" t="str">
        <f t="shared" si="36"/>
        <v/>
      </c>
      <c r="AI746" s="1392"/>
      <c r="AJ746" s="1393"/>
      <c r="AK746" s="1385" t="s">
        <v>590</v>
      </c>
      <c r="AL746" s="1386"/>
      <c r="AM746" s="1386"/>
      <c r="AN746" s="1386"/>
      <c r="AO746" s="1387"/>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81">
        <f t="shared" si="37"/>
        <v>0</v>
      </c>
      <c r="CH746" s="1383"/>
      <c r="CI746" s="1365">
        <f t="shared" si="38"/>
        <v>0</v>
      </c>
      <c r="CJ746" s="1367"/>
      <c r="CK746" s="1381">
        <f t="shared" si="16"/>
        <v>0</v>
      </c>
      <c r="CL746" s="1383"/>
      <c r="CM746" s="1365">
        <f t="shared" si="17"/>
        <v>0</v>
      </c>
      <c r="CN746" s="1367"/>
      <c r="CO746" s="3"/>
      <c r="CP746" s="1362">
        <f t="shared" si="18"/>
        <v>0</v>
      </c>
      <c r="CQ746" s="1363"/>
      <c r="CR746" s="1363"/>
      <c r="CS746" s="1363"/>
      <c r="CT746" s="1364"/>
      <c r="CU746" s="1384">
        <f t="shared" si="19"/>
        <v>0</v>
      </c>
      <c r="CV746" s="1384"/>
      <c r="CW746" s="1384"/>
      <c r="CX746" s="1384"/>
      <c r="CY746" s="1384"/>
      <c r="CZ746" s="1384">
        <f t="shared" si="20"/>
        <v>0</v>
      </c>
      <c r="DA746" s="1384"/>
      <c r="DB746" s="1384"/>
      <c r="DC746" s="1384"/>
      <c r="DD746" s="1384"/>
      <c r="DE746" s="1384">
        <f t="shared" si="21"/>
        <v>0</v>
      </c>
      <c r="DF746" s="1384"/>
      <c r="DG746" s="1384"/>
      <c r="DH746" s="1384"/>
      <c r="DI746" s="1384"/>
      <c r="DJ746" s="1384">
        <f t="shared" si="22"/>
        <v>0</v>
      </c>
      <c r="DK746" s="1384"/>
      <c r="DL746" s="1384"/>
      <c r="DM746" s="1384"/>
      <c r="DN746" s="1384"/>
      <c r="DO746" s="1384">
        <f t="shared" si="23"/>
        <v>0</v>
      </c>
      <c r="DP746" s="1384"/>
      <c r="DQ746" s="1384"/>
      <c r="DR746" s="1384"/>
      <c r="DS746" s="1384"/>
      <c r="DT746" s="6"/>
      <c r="DU746" s="1398">
        <f t="shared" si="24"/>
        <v>0</v>
      </c>
      <c r="DV746" s="1398"/>
      <c r="DW746" s="1398"/>
      <c r="DX746" s="1398"/>
      <c r="DY746" s="1398"/>
      <c r="DZ746" s="1398">
        <f t="shared" si="25"/>
        <v>0</v>
      </c>
      <c r="EA746" s="1398"/>
      <c r="EB746" s="1398"/>
      <c r="EC746" s="1398"/>
      <c r="ED746" s="1398"/>
      <c r="EE746" s="1398">
        <f t="shared" si="26"/>
        <v>0</v>
      </c>
      <c r="EF746" s="1398"/>
      <c r="EG746" s="1398"/>
      <c r="EH746" s="1398"/>
      <c r="EI746" s="1398"/>
      <c r="EJ746" s="1398">
        <f t="shared" si="27"/>
        <v>0</v>
      </c>
      <c r="EK746" s="1398"/>
      <c r="EL746" s="1398"/>
      <c r="EM746" s="1398"/>
      <c r="EN746" s="1398"/>
      <c r="EO746" s="1398">
        <f t="shared" si="28"/>
        <v>0</v>
      </c>
      <c r="EP746" s="1398"/>
      <c r="EQ746" s="1398"/>
      <c r="ER746" s="1398"/>
      <c r="ES746" s="1398"/>
      <c r="ET746" s="1398">
        <f t="shared" si="29"/>
        <v>0</v>
      </c>
      <c r="EU746" s="1398"/>
      <c r="EV746" s="1398"/>
      <c r="EW746" s="1398"/>
      <c r="EX746" s="1398"/>
      <c r="EZ746" s="1381" t="str">
        <f t="shared" si="30"/>
        <v/>
      </c>
      <c r="FA746" s="1382"/>
      <c r="FB746" s="1382"/>
      <c r="FC746" s="1382"/>
      <c r="FD746" s="1383"/>
      <c r="FE746" s="1381" t="str">
        <f t="shared" si="31"/>
        <v/>
      </c>
      <c r="FF746" s="1382"/>
      <c r="FG746" s="1382"/>
      <c r="FH746" s="1382"/>
      <c r="FI746" s="1383"/>
      <c r="FJ746" s="1381" t="str">
        <f t="shared" si="32"/>
        <v/>
      </c>
      <c r="FK746" s="1382"/>
      <c r="FL746" s="1382"/>
      <c r="FM746" s="1382"/>
      <c r="FN746" s="1383"/>
      <c r="FO746" s="1381" t="str">
        <f t="shared" si="33"/>
        <v/>
      </c>
      <c r="FP746" s="1382"/>
      <c r="FQ746" s="1382"/>
      <c r="FR746" s="1382"/>
      <c r="FS746" s="1383"/>
      <c r="FT746" s="1381" t="str">
        <f t="shared" si="34"/>
        <v/>
      </c>
      <c r="FU746" s="1382"/>
      <c r="FV746" s="1382"/>
      <c r="FW746" s="1382"/>
      <c r="FX746" s="1383"/>
      <c r="FY746" s="1381" t="str">
        <f t="shared" si="35"/>
        <v/>
      </c>
      <c r="FZ746" s="1382"/>
      <c r="GA746" s="1382"/>
      <c r="GB746" s="1382"/>
      <c r="GC746" s="1383"/>
    </row>
    <row r="747" spans="1:185" ht="12.95" customHeight="1">
      <c r="B747" s="1385"/>
      <c r="C747" s="1386"/>
      <c r="D747" s="1386"/>
      <c r="E747" s="1386"/>
      <c r="F747" s="1387"/>
      <c r="G747" s="1394"/>
      <c r="H747" s="1395"/>
      <c r="I747" s="1395"/>
      <c r="J747" s="1396"/>
      <c r="K747" s="1341"/>
      <c r="L747" s="1342"/>
      <c r="M747" s="1342"/>
      <c r="N747" s="1343"/>
      <c r="O747" s="1462"/>
      <c r="P747" s="1463"/>
      <c r="Q747" s="1463"/>
      <c r="R747" s="1463"/>
      <c r="S747" s="1464"/>
      <c r="T747" s="1462"/>
      <c r="U747" s="1463"/>
      <c r="V747" s="1463"/>
      <c r="W747" s="1464"/>
      <c r="X747" s="1388">
        <f t="shared" si="39"/>
        <v>0</v>
      </c>
      <c r="Y747" s="1389"/>
      <c r="Z747" s="1389"/>
      <c r="AA747" s="1389"/>
      <c r="AB747" s="1390"/>
      <c r="AC747" s="1500"/>
      <c r="AD747" s="1501"/>
      <c r="AE747" s="1501"/>
      <c r="AF747" s="1501"/>
      <c r="AG747" s="1502"/>
      <c r="AH747" s="1391" t="str">
        <f t="shared" si="36"/>
        <v/>
      </c>
      <c r="AI747" s="1392"/>
      <c r="AJ747" s="1393"/>
      <c r="AK747" s="1385" t="s">
        <v>590</v>
      </c>
      <c r="AL747" s="1386"/>
      <c r="AM747" s="1386"/>
      <c r="AN747" s="1386"/>
      <c r="AO747" s="1387"/>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81">
        <f t="shared" si="37"/>
        <v>0</v>
      </c>
      <c r="CH747" s="1383"/>
      <c r="CI747" s="1365">
        <f t="shared" si="38"/>
        <v>0</v>
      </c>
      <c r="CJ747" s="1367"/>
      <c r="CK747" s="1381">
        <f t="shared" si="16"/>
        <v>0</v>
      </c>
      <c r="CL747" s="1383"/>
      <c r="CM747" s="1365">
        <f t="shared" si="17"/>
        <v>0</v>
      </c>
      <c r="CN747" s="1367"/>
      <c r="CO747" s="3"/>
      <c r="CP747" s="1362">
        <f t="shared" si="18"/>
        <v>0</v>
      </c>
      <c r="CQ747" s="1363"/>
      <c r="CR747" s="1363"/>
      <c r="CS747" s="1363"/>
      <c r="CT747" s="1364"/>
      <c r="CU747" s="1384">
        <f t="shared" si="19"/>
        <v>0</v>
      </c>
      <c r="CV747" s="1384"/>
      <c r="CW747" s="1384"/>
      <c r="CX747" s="1384"/>
      <c r="CY747" s="1384"/>
      <c r="CZ747" s="1384">
        <f t="shared" si="20"/>
        <v>0</v>
      </c>
      <c r="DA747" s="1384"/>
      <c r="DB747" s="1384"/>
      <c r="DC747" s="1384"/>
      <c r="DD747" s="1384"/>
      <c r="DE747" s="1384">
        <f t="shared" si="21"/>
        <v>0</v>
      </c>
      <c r="DF747" s="1384"/>
      <c r="DG747" s="1384"/>
      <c r="DH747" s="1384"/>
      <c r="DI747" s="1384"/>
      <c r="DJ747" s="1384">
        <f t="shared" si="22"/>
        <v>0</v>
      </c>
      <c r="DK747" s="1384"/>
      <c r="DL747" s="1384"/>
      <c r="DM747" s="1384"/>
      <c r="DN747" s="1384"/>
      <c r="DO747" s="1384">
        <f t="shared" si="23"/>
        <v>0</v>
      </c>
      <c r="DP747" s="1384"/>
      <c r="DQ747" s="1384"/>
      <c r="DR747" s="1384"/>
      <c r="DS747" s="1384"/>
      <c r="DT747" s="6"/>
      <c r="DU747" s="1398">
        <f t="shared" si="24"/>
        <v>0</v>
      </c>
      <c r="DV747" s="1398"/>
      <c r="DW747" s="1398"/>
      <c r="DX747" s="1398"/>
      <c r="DY747" s="1398"/>
      <c r="DZ747" s="1398">
        <f t="shared" si="25"/>
        <v>0</v>
      </c>
      <c r="EA747" s="1398"/>
      <c r="EB747" s="1398"/>
      <c r="EC747" s="1398"/>
      <c r="ED747" s="1398"/>
      <c r="EE747" s="1398">
        <f t="shared" si="26"/>
        <v>0</v>
      </c>
      <c r="EF747" s="1398"/>
      <c r="EG747" s="1398"/>
      <c r="EH747" s="1398"/>
      <c r="EI747" s="1398"/>
      <c r="EJ747" s="1398">
        <f t="shared" si="27"/>
        <v>0</v>
      </c>
      <c r="EK747" s="1398"/>
      <c r="EL747" s="1398"/>
      <c r="EM747" s="1398"/>
      <c r="EN747" s="1398"/>
      <c r="EO747" s="1398">
        <f t="shared" si="28"/>
        <v>0</v>
      </c>
      <c r="EP747" s="1398"/>
      <c r="EQ747" s="1398"/>
      <c r="ER747" s="1398"/>
      <c r="ES747" s="1398"/>
      <c r="ET747" s="1398">
        <f t="shared" si="29"/>
        <v>0</v>
      </c>
      <c r="EU747" s="1398"/>
      <c r="EV747" s="1398"/>
      <c r="EW747" s="1398"/>
      <c r="EX747" s="1398"/>
      <c r="EZ747" s="1381" t="str">
        <f t="shared" si="30"/>
        <v/>
      </c>
      <c r="FA747" s="1382"/>
      <c r="FB747" s="1382"/>
      <c r="FC747" s="1382"/>
      <c r="FD747" s="1383"/>
      <c r="FE747" s="1381" t="str">
        <f t="shared" si="31"/>
        <v/>
      </c>
      <c r="FF747" s="1382"/>
      <c r="FG747" s="1382"/>
      <c r="FH747" s="1382"/>
      <c r="FI747" s="1383"/>
      <c r="FJ747" s="1381" t="str">
        <f t="shared" si="32"/>
        <v/>
      </c>
      <c r="FK747" s="1382"/>
      <c r="FL747" s="1382"/>
      <c r="FM747" s="1382"/>
      <c r="FN747" s="1383"/>
      <c r="FO747" s="1381" t="str">
        <f t="shared" si="33"/>
        <v/>
      </c>
      <c r="FP747" s="1382"/>
      <c r="FQ747" s="1382"/>
      <c r="FR747" s="1382"/>
      <c r="FS747" s="1383"/>
      <c r="FT747" s="1381" t="str">
        <f t="shared" si="34"/>
        <v/>
      </c>
      <c r="FU747" s="1382"/>
      <c r="FV747" s="1382"/>
      <c r="FW747" s="1382"/>
      <c r="FX747" s="1383"/>
      <c r="FY747" s="1381" t="str">
        <f t="shared" si="35"/>
        <v/>
      </c>
      <c r="FZ747" s="1382"/>
      <c r="GA747" s="1382"/>
      <c r="GB747" s="1382"/>
      <c r="GC747" s="1383"/>
    </row>
    <row r="748" spans="1:185" s="3" customFormat="1" ht="12.95" customHeight="1">
      <c r="A748"/>
      <c r="B748" s="1385"/>
      <c r="C748" s="1386"/>
      <c r="D748" s="1386"/>
      <c r="E748" s="1386"/>
      <c r="F748" s="1387"/>
      <c r="G748" s="1394"/>
      <c r="H748" s="1395"/>
      <c r="I748" s="1395"/>
      <c r="J748" s="1396"/>
      <c r="K748" s="1341"/>
      <c r="L748" s="1342"/>
      <c r="M748" s="1342"/>
      <c r="N748" s="1343"/>
      <c r="O748" s="1462"/>
      <c r="P748" s="1463"/>
      <c r="Q748" s="1463"/>
      <c r="R748" s="1463"/>
      <c r="S748" s="1464"/>
      <c r="T748" s="1462"/>
      <c r="U748" s="1463"/>
      <c r="V748" s="1463"/>
      <c r="W748" s="1464"/>
      <c r="X748" s="1388">
        <f t="shared" si="39"/>
        <v>0</v>
      </c>
      <c r="Y748" s="1389"/>
      <c r="Z748" s="1389"/>
      <c r="AA748" s="1389"/>
      <c r="AB748" s="1390"/>
      <c r="AC748" s="1500"/>
      <c r="AD748" s="1501"/>
      <c r="AE748" s="1501"/>
      <c r="AF748" s="1501"/>
      <c r="AG748" s="1502"/>
      <c r="AH748" s="1391" t="str">
        <f t="shared" si="36"/>
        <v/>
      </c>
      <c r="AI748" s="1392"/>
      <c r="AJ748" s="1393"/>
      <c r="AK748" s="1385" t="s">
        <v>590</v>
      </c>
      <c r="AL748" s="1386"/>
      <c r="AM748" s="1386"/>
      <c r="AN748" s="1386"/>
      <c r="AO748" s="1387"/>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81">
        <f t="shared" si="37"/>
        <v>0</v>
      </c>
      <c r="CH748" s="1383"/>
      <c r="CI748" s="1365">
        <f t="shared" si="38"/>
        <v>0</v>
      </c>
      <c r="CJ748" s="1367"/>
      <c r="CK748" s="1381">
        <f t="shared" si="16"/>
        <v>0</v>
      </c>
      <c r="CL748" s="1383"/>
      <c r="CM748" s="1365">
        <f t="shared" si="17"/>
        <v>0</v>
      </c>
      <c r="CN748" s="1367"/>
      <c r="CP748" s="1362">
        <f t="shared" si="18"/>
        <v>0</v>
      </c>
      <c r="CQ748" s="1363"/>
      <c r="CR748" s="1363"/>
      <c r="CS748" s="1363"/>
      <c r="CT748" s="1364"/>
      <c r="CU748" s="1384">
        <f t="shared" si="19"/>
        <v>0</v>
      </c>
      <c r="CV748" s="1384"/>
      <c r="CW748" s="1384"/>
      <c r="CX748" s="1384"/>
      <c r="CY748" s="1384"/>
      <c r="CZ748" s="1384">
        <f t="shared" si="20"/>
        <v>0</v>
      </c>
      <c r="DA748" s="1384"/>
      <c r="DB748" s="1384"/>
      <c r="DC748" s="1384"/>
      <c r="DD748" s="1384"/>
      <c r="DE748" s="1384">
        <f t="shared" si="21"/>
        <v>0</v>
      </c>
      <c r="DF748" s="1384"/>
      <c r="DG748" s="1384"/>
      <c r="DH748" s="1384"/>
      <c r="DI748" s="1384"/>
      <c r="DJ748" s="1384">
        <f t="shared" si="22"/>
        <v>0</v>
      </c>
      <c r="DK748" s="1384"/>
      <c r="DL748" s="1384"/>
      <c r="DM748" s="1384"/>
      <c r="DN748" s="1384"/>
      <c r="DO748" s="1384">
        <f t="shared" si="23"/>
        <v>0</v>
      </c>
      <c r="DP748" s="1384"/>
      <c r="DQ748" s="1384"/>
      <c r="DR748" s="1384"/>
      <c r="DS748" s="1384"/>
      <c r="DT748" s="6"/>
      <c r="DU748" s="1398">
        <f t="shared" si="24"/>
        <v>0</v>
      </c>
      <c r="DV748" s="1398"/>
      <c r="DW748" s="1398"/>
      <c r="DX748" s="1398"/>
      <c r="DY748" s="1398"/>
      <c r="DZ748" s="1398">
        <f t="shared" si="25"/>
        <v>0</v>
      </c>
      <c r="EA748" s="1398"/>
      <c r="EB748" s="1398"/>
      <c r="EC748" s="1398"/>
      <c r="ED748" s="1398"/>
      <c r="EE748" s="1398">
        <f t="shared" si="26"/>
        <v>0</v>
      </c>
      <c r="EF748" s="1398"/>
      <c r="EG748" s="1398"/>
      <c r="EH748" s="1398"/>
      <c r="EI748" s="1398"/>
      <c r="EJ748" s="1398">
        <f t="shared" si="27"/>
        <v>0</v>
      </c>
      <c r="EK748" s="1398"/>
      <c r="EL748" s="1398"/>
      <c r="EM748" s="1398"/>
      <c r="EN748" s="1398"/>
      <c r="EO748" s="1398">
        <f t="shared" si="28"/>
        <v>0</v>
      </c>
      <c r="EP748" s="1398"/>
      <c r="EQ748" s="1398"/>
      <c r="ER748" s="1398"/>
      <c r="ES748" s="1398"/>
      <c r="ET748" s="1398">
        <f t="shared" si="29"/>
        <v>0</v>
      </c>
      <c r="EU748" s="1398"/>
      <c r="EV748" s="1398"/>
      <c r="EW748" s="1398"/>
      <c r="EX748" s="1398"/>
      <c r="EY748"/>
      <c r="EZ748" s="1381" t="str">
        <f t="shared" si="30"/>
        <v/>
      </c>
      <c r="FA748" s="1382"/>
      <c r="FB748" s="1382"/>
      <c r="FC748" s="1382"/>
      <c r="FD748" s="1383"/>
      <c r="FE748" s="1381" t="str">
        <f t="shared" si="31"/>
        <v/>
      </c>
      <c r="FF748" s="1382"/>
      <c r="FG748" s="1382"/>
      <c r="FH748" s="1382"/>
      <c r="FI748" s="1383"/>
      <c r="FJ748" s="1381" t="str">
        <f t="shared" si="32"/>
        <v/>
      </c>
      <c r="FK748" s="1382"/>
      <c r="FL748" s="1382"/>
      <c r="FM748" s="1382"/>
      <c r="FN748" s="1383"/>
      <c r="FO748" s="1381" t="str">
        <f t="shared" si="33"/>
        <v/>
      </c>
      <c r="FP748" s="1382"/>
      <c r="FQ748" s="1382"/>
      <c r="FR748" s="1382"/>
      <c r="FS748" s="1383"/>
      <c r="FT748" s="1381" t="str">
        <f t="shared" si="34"/>
        <v/>
      </c>
      <c r="FU748" s="1382"/>
      <c r="FV748" s="1382"/>
      <c r="FW748" s="1382"/>
      <c r="FX748" s="1383"/>
      <c r="FY748" s="1381" t="str">
        <f t="shared" si="35"/>
        <v/>
      </c>
      <c r="FZ748" s="1382"/>
      <c r="GA748" s="1382"/>
      <c r="GB748" s="1382"/>
      <c r="GC748" s="1383"/>
    </row>
    <row r="749" spans="1:185" s="3" customFormat="1" ht="12.95" customHeight="1">
      <c r="A749"/>
      <c r="B749" s="1385"/>
      <c r="C749" s="1386"/>
      <c r="D749" s="1386"/>
      <c r="E749" s="1386"/>
      <c r="F749" s="1387"/>
      <c r="G749" s="1394"/>
      <c r="H749" s="1395"/>
      <c r="I749" s="1395"/>
      <c r="J749" s="1396"/>
      <c r="K749" s="1341"/>
      <c r="L749" s="1342"/>
      <c r="M749" s="1342"/>
      <c r="N749" s="1343"/>
      <c r="O749" s="1462"/>
      <c r="P749" s="1463"/>
      <c r="Q749" s="1463"/>
      <c r="R749" s="1463"/>
      <c r="S749" s="1464"/>
      <c r="T749" s="1462"/>
      <c r="U749" s="1463"/>
      <c r="V749" s="1463"/>
      <c r="W749" s="1464"/>
      <c r="X749" s="1388">
        <f t="shared" si="39"/>
        <v>0</v>
      </c>
      <c r="Y749" s="1389"/>
      <c r="Z749" s="1389"/>
      <c r="AA749" s="1389"/>
      <c r="AB749" s="1390"/>
      <c r="AC749" s="1500"/>
      <c r="AD749" s="1501"/>
      <c r="AE749" s="1501"/>
      <c r="AF749" s="1501"/>
      <c r="AG749" s="1502"/>
      <c r="AH749" s="1391" t="str">
        <f t="shared" si="36"/>
        <v/>
      </c>
      <c r="AI749" s="1392"/>
      <c r="AJ749" s="1393"/>
      <c r="AK749" s="1385" t="s">
        <v>590</v>
      </c>
      <c r="AL749" s="1386"/>
      <c r="AM749" s="1386"/>
      <c r="AN749" s="1386"/>
      <c r="AO749" s="1387"/>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81">
        <f t="shared" si="37"/>
        <v>0</v>
      </c>
      <c r="CH749" s="1383"/>
      <c r="CI749" s="1365">
        <f t="shared" si="38"/>
        <v>0</v>
      </c>
      <c r="CJ749" s="1367"/>
      <c r="CK749" s="1381">
        <f t="shared" si="16"/>
        <v>0</v>
      </c>
      <c r="CL749" s="1383"/>
      <c r="CM749" s="1365">
        <f t="shared" si="17"/>
        <v>0</v>
      </c>
      <c r="CN749" s="1367"/>
      <c r="CP749" s="1362">
        <f t="shared" si="18"/>
        <v>0</v>
      </c>
      <c r="CQ749" s="1363"/>
      <c r="CR749" s="1363"/>
      <c r="CS749" s="1363"/>
      <c r="CT749" s="1364"/>
      <c r="CU749" s="1384">
        <f t="shared" si="19"/>
        <v>0</v>
      </c>
      <c r="CV749" s="1384"/>
      <c r="CW749" s="1384"/>
      <c r="CX749" s="1384"/>
      <c r="CY749" s="1384"/>
      <c r="CZ749" s="1384">
        <f t="shared" si="20"/>
        <v>0</v>
      </c>
      <c r="DA749" s="1384"/>
      <c r="DB749" s="1384"/>
      <c r="DC749" s="1384"/>
      <c r="DD749" s="1384"/>
      <c r="DE749" s="1384">
        <f t="shared" si="21"/>
        <v>0</v>
      </c>
      <c r="DF749" s="1384"/>
      <c r="DG749" s="1384"/>
      <c r="DH749" s="1384"/>
      <c r="DI749" s="1384"/>
      <c r="DJ749" s="1384">
        <f t="shared" si="22"/>
        <v>0</v>
      </c>
      <c r="DK749" s="1384"/>
      <c r="DL749" s="1384"/>
      <c r="DM749" s="1384"/>
      <c r="DN749" s="1384"/>
      <c r="DO749" s="1384">
        <f t="shared" si="23"/>
        <v>0</v>
      </c>
      <c r="DP749" s="1384"/>
      <c r="DQ749" s="1384"/>
      <c r="DR749" s="1384"/>
      <c r="DS749" s="1384"/>
      <c r="DT749" s="6"/>
      <c r="DU749" s="1398">
        <f t="shared" si="24"/>
        <v>0</v>
      </c>
      <c r="DV749" s="1398"/>
      <c r="DW749" s="1398"/>
      <c r="DX749" s="1398"/>
      <c r="DY749" s="1398"/>
      <c r="DZ749" s="1398">
        <f t="shared" si="25"/>
        <v>0</v>
      </c>
      <c r="EA749" s="1398"/>
      <c r="EB749" s="1398"/>
      <c r="EC749" s="1398"/>
      <c r="ED749" s="1398"/>
      <c r="EE749" s="1398">
        <f t="shared" si="26"/>
        <v>0</v>
      </c>
      <c r="EF749" s="1398"/>
      <c r="EG749" s="1398"/>
      <c r="EH749" s="1398"/>
      <c r="EI749" s="1398"/>
      <c r="EJ749" s="1398">
        <f t="shared" si="27"/>
        <v>0</v>
      </c>
      <c r="EK749" s="1398"/>
      <c r="EL749" s="1398"/>
      <c r="EM749" s="1398"/>
      <c r="EN749" s="1398"/>
      <c r="EO749" s="1398">
        <f t="shared" si="28"/>
        <v>0</v>
      </c>
      <c r="EP749" s="1398"/>
      <c r="EQ749" s="1398"/>
      <c r="ER749" s="1398"/>
      <c r="ES749" s="1398"/>
      <c r="ET749" s="1398">
        <f t="shared" si="29"/>
        <v>0</v>
      </c>
      <c r="EU749" s="1398"/>
      <c r="EV749" s="1398"/>
      <c r="EW749" s="1398"/>
      <c r="EX749" s="1398"/>
      <c r="EY749"/>
      <c r="EZ749" s="1381" t="str">
        <f t="shared" si="30"/>
        <v/>
      </c>
      <c r="FA749" s="1382"/>
      <c r="FB749" s="1382"/>
      <c r="FC749" s="1382"/>
      <c r="FD749" s="1383"/>
      <c r="FE749" s="1381" t="str">
        <f t="shared" si="31"/>
        <v/>
      </c>
      <c r="FF749" s="1382"/>
      <c r="FG749" s="1382"/>
      <c r="FH749" s="1382"/>
      <c r="FI749" s="1383"/>
      <c r="FJ749" s="1381" t="str">
        <f t="shared" si="32"/>
        <v/>
      </c>
      <c r="FK749" s="1382"/>
      <c r="FL749" s="1382"/>
      <c r="FM749" s="1382"/>
      <c r="FN749" s="1383"/>
      <c r="FO749" s="1381" t="str">
        <f t="shared" si="33"/>
        <v/>
      </c>
      <c r="FP749" s="1382"/>
      <c r="FQ749" s="1382"/>
      <c r="FR749" s="1382"/>
      <c r="FS749" s="1383"/>
      <c r="FT749" s="1381" t="str">
        <f t="shared" si="34"/>
        <v/>
      </c>
      <c r="FU749" s="1382"/>
      <c r="FV749" s="1382"/>
      <c r="FW749" s="1382"/>
      <c r="FX749" s="1383"/>
      <c r="FY749" s="1381" t="str">
        <f t="shared" si="35"/>
        <v/>
      </c>
      <c r="FZ749" s="1382"/>
      <c r="GA749" s="1382"/>
      <c r="GB749" s="1382"/>
      <c r="GC749" s="1383"/>
    </row>
    <row r="750" spans="1:185" s="3" customFormat="1" ht="12.95" customHeight="1">
      <c r="A750"/>
      <c r="B750" s="1385"/>
      <c r="C750" s="1386"/>
      <c r="D750" s="1386"/>
      <c r="E750" s="1386"/>
      <c r="F750" s="1387"/>
      <c r="G750" s="1394"/>
      <c r="H750" s="1395"/>
      <c r="I750" s="1395"/>
      <c r="J750" s="1396"/>
      <c r="K750" s="1341"/>
      <c r="L750" s="1342"/>
      <c r="M750" s="1342"/>
      <c r="N750" s="1343"/>
      <c r="O750" s="1462"/>
      <c r="P750" s="1463"/>
      <c r="Q750" s="1463"/>
      <c r="R750" s="1463"/>
      <c r="S750" s="1464"/>
      <c r="T750" s="1462"/>
      <c r="U750" s="1463"/>
      <c r="V750" s="1463"/>
      <c r="W750" s="1464"/>
      <c r="X750" s="1388">
        <f t="shared" si="39"/>
        <v>0</v>
      </c>
      <c r="Y750" s="1389"/>
      <c r="Z750" s="1389"/>
      <c r="AA750" s="1389"/>
      <c r="AB750" s="1390"/>
      <c r="AC750" s="1500"/>
      <c r="AD750" s="1501"/>
      <c r="AE750" s="1501"/>
      <c r="AF750" s="1501"/>
      <c r="AG750" s="1502"/>
      <c r="AH750" s="1391" t="str">
        <f t="shared" si="36"/>
        <v/>
      </c>
      <c r="AI750" s="1392"/>
      <c r="AJ750" s="1393"/>
      <c r="AK750" s="1385" t="s">
        <v>590</v>
      </c>
      <c r="AL750" s="1386"/>
      <c r="AM750" s="1386"/>
      <c r="AN750" s="1386"/>
      <c r="AO750" s="1387"/>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81">
        <f t="shared" si="37"/>
        <v>0</v>
      </c>
      <c r="CH750" s="1383"/>
      <c r="CI750" s="1365">
        <f t="shared" si="38"/>
        <v>0</v>
      </c>
      <c r="CJ750" s="1367"/>
      <c r="CK750" s="1381">
        <f t="shared" si="16"/>
        <v>0</v>
      </c>
      <c r="CL750" s="1383"/>
      <c r="CM750" s="1365">
        <f t="shared" si="17"/>
        <v>0</v>
      </c>
      <c r="CN750" s="1367"/>
      <c r="CP750" s="1362">
        <f t="shared" si="18"/>
        <v>0</v>
      </c>
      <c r="CQ750" s="1363"/>
      <c r="CR750" s="1363"/>
      <c r="CS750" s="1363"/>
      <c r="CT750" s="1364"/>
      <c r="CU750" s="1384">
        <f t="shared" si="19"/>
        <v>0</v>
      </c>
      <c r="CV750" s="1384"/>
      <c r="CW750" s="1384"/>
      <c r="CX750" s="1384"/>
      <c r="CY750" s="1384"/>
      <c r="CZ750" s="1384">
        <f t="shared" si="20"/>
        <v>0</v>
      </c>
      <c r="DA750" s="1384"/>
      <c r="DB750" s="1384"/>
      <c r="DC750" s="1384"/>
      <c r="DD750" s="1384"/>
      <c r="DE750" s="1384">
        <f t="shared" si="21"/>
        <v>0</v>
      </c>
      <c r="DF750" s="1384"/>
      <c r="DG750" s="1384"/>
      <c r="DH750" s="1384"/>
      <c r="DI750" s="1384"/>
      <c r="DJ750" s="1384">
        <f t="shared" si="22"/>
        <v>0</v>
      </c>
      <c r="DK750" s="1384"/>
      <c r="DL750" s="1384"/>
      <c r="DM750" s="1384"/>
      <c r="DN750" s="1384"/>
      <c r="DO750" s="1384">
        <f t="shared" si="23"/>
        <v>0</v>
      </c>
      <c r="DP750" s="1384"/>
      <c r="DQ750" s="1384"/>
      <c r="DR750" s="1384"/>
      <c r="DS750" s="1384"/>
      <c r="DT750" s="6"/>
      <c r="DU750" s="1398">
        <f t="shared" si="24"/>
        <v>0</v>
      </c>
      <c r="DV750" s="1398"/>
      <c r="DW750" s="1398"/>
      <c r="DX750" s="1398"/>
      <c r="DY750" s="1398"/>
      <c r="DZ750" s="1398">
        <f t="shared" si="25"/>
        <v>0</v>
      </c>
      <c r="EA750" s="1398"/>
      <c r="EB750" s="1398"/>
      <c r="EC750" s="1398"/>
      <c r="ED750" s="1398"/>
      <c r="EE750" s="1398">
        <f t="shared" si="26"/>
        <v>0</v>
      </c>
      <c r="EF750" s="1398"/>
      <c r="EG750" s="1398"/>
      <c r="EH750" s="1398"/>
      <c r="EI750" s="1398"/>
      <c r="EJ750" s="1398">
        <f t="shared" si="27"/>
        <v>0</v>
      </c>
      <c r="EK750" s="1398"/>
      <c r="EL750" s="1398"/>
      <c r="EM750" s="1398"/>
      <c r="EN750" s="1398"/>
      <c r="EO750" s="1398">
        <f t="shared" si="28"/>
        <v>0</v>
      </c>
      <c r="EP750" s="1398"/>
      <c r="EQ750" s="1398"/>
      <c r="ER750" s="1398"/>
      <c r="ES750" s="1398"/>
      <c r="ET750" s="1398">
        <f t="shared" si="29"/>
        <v>0</v>
      </c>
      <c r="EU750" s="1398"/>
      <c r="EV750" s="1398"/>
      <c r="EW750" s="1398"/>
      <c r="EX750" s="1398"/>
      <c r="EY750"/>
      <c r="EZ750" s="1381" t="str">
        <f t="shared" si="30"/>
        <v/>
      </c>
      <c r="FA750" s="1382"/>
      <c r="FB750" s="1382"/>
      <c r="FC750" s="1382"/>
      <c r="FD750" s="1383"/>
      <c r="FE750" s="1381" t="str">
        <f t="shared" si="31"/>
        <v/>
      </c>
      <c r="FF750" s="1382"/>
      <c r="FG750" s="1382"/>
      <c r="FH750" s="1382"/>
      <c r="FI750" s="1383"/>
      <c r="FJ750" s="1381" t="str">
        <f t="shared" si="32"/>
        <v/>
      </c>
      <c r="FK750" s="1382"/>
      <c r="FL750" s="1382"/>
      <c r="FM750" s="1382"/>
      <c r="FN750" s="1383"/>
      <c r="FO750" s="1381" t="str">
        <f t="shared" si="33"/>
        <v/>
      </c>
      <c r="FP750" s="1382"/>
      <c r="FQ750" s="1382"/>
      <c r="FR750" s="1382"/>
      <c r="FS750" s="1383"/>
      <c r="FT750" s="1381" t="str">
        <f t="shared" si="34"/>
        <v/>
      </c>
      <c r="FU750" s="1382"/>
      <c r="FV750" s="1382"/>
      <c r="FW750" s="1382"/>
      <c r="FX750" s="1383"/>
      <c r="FY750" s="1381" t="str">
        <f t="shared" si="35"/>
        <v/>
      </c>
      <c r="FZ750" s="1382"/>
      <c r="GA750" s="1382"/>
      <c r="GB750" s="1382"/>
      <c r="GC750" s="1383"/>
    </row>
    <row r="751" spans="1:185" s="3" customFormat="1" ht="12.95" customHeight="1">
      <c r="A751"/>
      <c r="B751" s="1385"/>
      <c r="C751" s="1386"/>
      <c r="D751" s="1386"/>
      <c r="E751" s="1386"/>
      <c r="F751" s="1387"/>
      <c r="G751" s="1394"/>
      <c r="H751" s="1395"/>
      <c r="I751" s="1395"/>
      <c r="J751" s="1396"/>
      <c r="K751" s="1341"/>
      <c r="L751" s="1342"/>
      <c r="M751" s="1342"/>
      <c r="N751" s="1343"/>
      <c r="O751" s="1462"/>
      <c r="P751" s="1463"/>
      <c r="Q751" s="1463"/>
      <c r="R751" s="1463"/>
      <c r="S751" s="1464"/>
      <c r="T751" s="1462"/>
      <c r="U751" s="1463"/>
      <c r="V751" s="1463"/>
      <c r="W751" s="1464"/>
      <c r="X751" s="1388">
        <f t="shared" si="39"/>
        <v>0</v>
      </c>
      <c r="Y751" s="1389"/>
      <c r="Z751" s="1389"/>
      <c r="AA751" s="1389"/>
      <c r="AB751" s="1390"/>
      <c r="AC751" s="1500"/>
      <c r="AD751" s="1501"/>
      <c r="AE751" s="1501"/>
      <c r="AF751" s="1501"/>
      <c r="AG751" s="1502"/>
      <c r="AH751" s="1391" t="str">
        <f t="shared" si="36"/>
        <v/>
      </c>
      <c r="AI751" s="1392"/>
      <c r="AJ751" s="1393"/>
      <c r="AK751" s="1385" t="s">
        <v>590</v>
      </c>
      <c r="AL751" s="1386"/>
      <c r="AM751" s="1386"/>
      <c r="AN751" s="1386"/>
      <c r="AO751" s="1387"/>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81">
        <f t="shared" si="37"/>
        <v>0</v>
      </c>
      <c r="CH751" s="1383"/>
      <c r="CI751" s="1365">
        <f t="shared" si="38"/>
        <v>0</v>
      </c>
      <c r="CJ751" s="1367"/>
      <c r="CK751" s="1381">
        <f t="shared" si="16"/>
        <v>0</v>
      </c>
      <c r="CL751" s="1383"/>
      <c r="CM751" s="1365">
        <f t="shared" si="17"/>
        <v>0</v>
      </c>
      <c r="CN751" s="1367"/>
      <c r="CP751" s="1362">
        <f t="shared" si="18"/>
        <v>0</v>
      </c>
      <c r="CQ751" s="1363"/>
      <c r="CR751" s="1363"/>
      <c r="CS751" s="1363"/>
      <c r="CT751" s="1364"/>
      <c r="CU751" s="1384">
        <f t="shared" si="19"/>
        <v>0</v>
      </c>
      <c r="CV751" s="1384"/>
      <c r="CW751" s="1384"/>
      <c r="CX751" s="1384"/>
      <c r="CY751" s="1384"/>
      <c r="CZ751" s="1384">
        <f t="shared" si="20"/>
        <v>0</v>
      </c>
      <c r="DA751" s="1384"/>
      <c r="DB751" s="1384"/>
      <c r="DC751" s="1384"/>
      <c r="DD751" s="1384"/>
      <c r="DE751" s="1384">
        <f t="shared" si="21"/>
        <v>0</v>
      </c>
      <c r="DF751" s="1384"/>
      <c r="DG751" s="1384"/>
      <c r="DH751" s="1384"/>
      <c r="DI751" s="1384"/>
      <c r="DJ751" s="1384">
        <f t="shared" si="22"/>
        <v>0</v>
      </c>
      <c r="DK751" s="1384"/>
      <c r="DL751" s="1384"/>
      <c r="DM751" s="1384"/>
      <c r="DN751" s="1384"/>
      <c r="DO751" s="1384">
        <f t="shared" si="23"/>
        <v>0</v>
      </c>
      <c r="DP751" s="1384"/>
      <c r="DQ751" s="1384"/>
      <c r="DR751" s="1384"/>
      <c r="DS751" s="1384"/>
      <c r="DT751" s="6"/>
      <c r="DU751" s="1398">
        <f t="shared" si="24"/>
        <v>0</v>
      </c>
      <c r="DV751" s="1398"/>
      <c r="DW751" s="1398"/>
      <c r="DX751" s="1398"/>
      <c r="DY751" s="1398"/>
      <c r="DZ751" s="1398">
        <f t="shared" si="25"/>
        <v>0</v>
      </c>
      <c r="EA751" s="1398"/>
      <c r="EB751" s="1398"/>
      <c r="EC751" s="1398"/>
      <c r="ED751" s="1398"/>
      <c r="EE751" s="1398">
        <f t="shared" si="26"/>
        <v>0</v>
      </c>
      <c r="EF751" s="1398"/>
      <c r="EG751" s="1398"/>
      <c r="EH751" s="1398"/>
      <c r="EI751" s="1398"/>
      <c r="EJ751" s="1398">
        <f t="shared" si="27"/>
        <v>0</v>
      </c>
      <c r="EK751" s="1398"/>
      <c r="EL751" s="1398"/>
      <c r="EM751" s="1398"/>
      <c r="EN751" s="1398"/>
      <c r="EO751" s="1398">
        <f t="shared" si="28"/>
        <v>0</v>
      </c>
      <c r="EP751" s="1398"/>
      <c r="EQ751" s="1398"/>
      <c r="ER751" s="1398"/>
      <c r="ES751" s="1398"/>
      <c r="ET751" s="1398">
        <f t="shared" si="29"/>
        <v>0</v>
      </c>
      <c r="EU751" s="1398"/>
      <c r="EV751" s="1398"/>
      <c r="EW751" s="1398"/>
      <c r="EX751" s="1398"/>
      <c r="EY751"/>
      <c r="EZ751" s="1381" t="str">
        <f t="shared" si="30"/>
        <v/>
      </c>
      <c r="FA751" s="1382"/>
      <c r="FB751" s="1382"/>
      <c r="FC751" s="1382"/>
      <c r="FD751" s="1383"/>
      <c r="FE751" s="1381" t="str">
        <f t="shared" si="31"/>
        <v/>
      </c>
      <c r="FF751" s="1382"/>
      <c r="FG751" s="1382"/>
      <c r="FH751" s="1382"/>
      <c r="FI751" s="1383"/>
      <c r="FJ751" s="1381" t="str">
        <f t="shared" si="32"/>
        <v/>
      </c>
      <c r="FK751" s="1382"/>
      <c r="FL751" s="1382"/>
      <c r="FM751" s="1382"/>
      <c r="FN751" s="1383"/>
      <c r="FO751" s="1381" t="str">
        <f t="shared" si="33"/>
        <v/>
      </c>
      <c r="FP751" s="1382"/>
      <c r="FQ751" s="1382"/>
      <c r="FR751" s="1382"/>
      <c r="FS751" s="1383"/>
      <c r="FT751" s="1381" t="str">
        <f t="shared" si="34"/>
        <v/>
      </c>
      <c r="FU751" s="1382"/>
      <c r="FV751" s="1382"/>
      <c r="FW751" s="1382"/>
      <c r="FX751" s="1383"/>
      <c r="FY751" s="1381" t="str">
        <f t="shared" si="35"/>
        <v/>
      </c>
      <c r="FZ751" s="1382"/>
      <c r="GA751" s="1382"/>
      <c r="GB751" s="1382"/>
      <c r="GC751" s="1383"/>
    </row>
    <row r="752" spans="1:185" s="3" customFormat="1" ht="12.95" customHeight="1">
      <c r="A752"/>
      <c r="B752" s="1385"/>
      <c r="C752" s="1386"/>
      <c r="D752" s="1386"/>
      <c r="E752" s="1386"/>
      <c r="F752" s="1387"/>
      <c r="G752" s="1394"/>
      <c r="H752" s="1395"/>
      <c r="I752" s="1395"/>
      <c r="J752" s="1396"/>
      <c r="K752" s="1341"/>
      <c r="L752" s="1342"/>
      <c r="M752" s="1342"/>
      <c r="N752" s="1343"/>
      <c r="O752" s="1462"/>
      <c r="P752" s="1463"/>
      <c r="Q752" s="1463"/>
      <c r="R752" s="1463"/>
      <c r="S752" s="1464"/>
      <c r="T752" s="1462"/>
      <c r="U752" s="1463"/>
      <c r="V752" s="1463"/>
      <c r="W752" s="1464"/>
      <c r="X752" s="1388">
        <f>O752+T752</f>
        <v>0</v>
      </c>
      <c r="Y752" s="1389"/>
      <c r="Z752" s="1389"/>
      <c r="AA752" s="1389"/>
      <c r="AB752" s="1390"/>
      <c r="AC752" s="1500"/>
      <c r="AD752" s="1501"/>
      <c r="AE752" s="1501"/>
      <c r="AF752" s="1501"/>
      <c r="AG752" s="1502"/>
      <c r="AH752" s="1391" t="str">
        <f t="shared" si="36"/>
        <v/>
      </c>
      <c r="AI752" s="1392"/>
      <c r="AJ752" s="1393"/>
      <c r="AK752" s="1385" t="s">
        <v>590</v>
      </c>
      <c r="AL752" s="1386"/>
      <c r="AM752" s="1386"/>
      <c r="AN752" s="1386"/>
      <c r="AO752" s="1387"/>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81">
        <f t="shared" si="37"/>
        <v>0</v>
      </c>
      <c r="CH752" s="1383"/>
      <c r="CI752" s="1365">
        <f t="shared" si="38"/>
        <v>0</v>
      </c>
      <c r="CJ752" s="1367"/>
      <c r="CK752" s="1381">
        <f t="shared" si="16"/>
        <v>0</v>
      </c>
      <c r="CL752" s="1383"/>
      <c r="CM752" s="1365">
        <f t="shared" si="17"/>
        <v>0</v>
      </c>
      <c r="CN752" s="1367"/>
      <c r="CP752" s="1362">
        <f t="shared" si="18"/>
        <v>0</v>
      </c>
      <c r="CQ752" s="1363"/>
      <c r="CR752" s="1363"/>
      <c r="CS752" s="1363"/>
      <c r="CT752" s="1364"/>
      <c r="CU752" s="1384">
        <f t="shared" si="19"/>
        <v>0</v>
      </c>
      <c r="CV752" s="1384"/>
      <c r="CW752" s="1384"/>
      <c r="CX752" s="1384"/>
      <c r="CY752" s="1384"/>
      <c r="CZ752" s="1384">
        <f t="shared" si="20"/>
        <v>0</v>
      </c>
      <c r="DA752" s="1384"/>
      <c r="DB752" s="1384"/>
      <c r="DC752" s="1384"/>
      <c r="DD752" s="1384"/>
      <c r="DE752" s="1384">
        <f t="shared" si="21"/>
        <v>0</v>
      </c>
      <c r="DF752" s="1384"/>
      <c r="DG752" s="1384"/>
      <c r="DH752" s="1384"/>
      <c r="DI752" s="1384"/>
      <c r="DJ752" s="1384">
        <f t="shared" si="22"/>
        <v>0</v>
      </c>
      <c r="DK752" s="1384"/>
      <c r="DL752" s="1384"/>
      <c r="DM752" s="1384"/>
      <c r="DN752" s="1384"/>
      <c r="DO752" s="1384">
        <f t="shared" si="23"/>
        <v>0</v>
      </c>
      <c r="DP752" s="1384"/>
      <c r="DQ752" s="1384"/>
      <c r="DR752" s="1384"/>
      <c r="DS752" s="1384"/>
      <c r="DT752" s="6"/>
      <c r="DU752" s="1398">
        <f t="shared" si="24"/>
        <v>0</v>
      </c>
      <c r="DV752" s="1398"/>
      <c r="DW752" s="1398"/>
      <c r="DX752" s="1398"/>
      <c r="DY752" s="1398"/>
      <c r="DZ752" s="1398">
        <f t="shared" si="25"/>
        <v>0</v>
      </c>
      <c r="EA752" s="1398"/>
      <c r="EB752" s="1398"/>
      <c r="EC752" s="1398"/>
      <c r="ED752" s="1398"/>
      <c r="EE752" s="1398">
        <f t="shared" si="26"/>
        <v>0</v>
      </c>
      <c r="EF752" s="1398"/>
      <c r="EG752" s="1398"/>
      <c r="EH752" s="1398"/>
      <c r="EI752" s="1398"/>
      <c r="EJ752" s="1398">
        <f t="shared" si="27"/>
        <v>0</v>
      </c>
      <c r="EK752" s="1398"/>
      <c r="EL752" s="1398"/>
      <c r="EM752" s="1398"/>
      <c r="EN752" s="1398"/>
      <c r="EO752" s="1398">
        <f t="shared" si="28"/>
        <v>0</v>
      </c>
      <c r="EP752" s="1398"/>
      <c r="EQ752" s="1398"/>
      <c r="ER752" s="1398"/>
      <c r="ES752" s="1398"/>
      <c r="ET752" s="1398">
        <f t="shared" si="29"/>
        <v>0</v>
      </c>
      <c r="EU752" s="1398"/>
      <c r="EV752" s="1398"/>
      <c r="EW752" s="1398"/>
      <c r="EX752" s="1398"/>
      <c r="EY752"/>
      <c r="EZ752" s="1381" t="str">
        <f t="shared" si="30"/>
        <v/>
      </c>
      <c r="FA752" s="1382"/>
      <c r="FB752" s="1382"/>
      <c r="FC752" s="1382"/>
      <c r="FD752" s="1383"/>
      <c r="FE752" s="1381" t="str">
        <f t="shared" si="31"/>
        <v/>
      </c>
      <c r="FF752" s="1382"/>
      <c r="FG752" s="1382"/>
      <c r="FH752" s="1382"/>
      <c r="FI752" s="1383"/>
      <c r="FJ752" s="1381" t="str">
        <f t="shared" si="32"/>
        <v/>
      </c>
      <c r="FK752" s="1382"/>
      <c r="FL752" s="1382"/>
      <c r="FM752" s="1382"/>
      <c r="FN752" s="1383"/>
      <c r="FO752" s="1381" t="str">
        <f t="shared" si="33"/>
        <v/>
      </c>
      <c r="FP752" s="1382"/>
      <c r="FQ752" s="1382"/>
      <c r="FR752" s="1382"/>
      <c r="FS752" s="1383"/>
      <c r="FT752" s="1381" t="str">
        <f t="shared" si="34"/>
        <v/>
      </c>
      <c r="FU752" s="1382"/>
      <c r="FV752" s="1382"/>
      <c r="FW752" s="1382"/>
      <c r="FX752" s="1383"/>
      <c r="FY752" s="1381" t="str">
        <f t="shared" si="35"/>
        <v/>
      </c>
      <c r="FZ752" s="1382"/>
      <c r="GA752" s="1382"/>
      <c r="GB752" s="1382"/>
      <c r="GC752" s="1383"/>
    </row>
    <row r="753" spans="1:185" s="3" customFormat="1" ht="12.95" customHeight="1">
      <c r="A753"/>
      <c r="B753" s="1345" t="s">
        <v>125</v>
      </c>
      <c r="C753" s="1346"/>
      <c r="D753" s="1346"/>
      <c r="E753" s="1346"/>
      <c r="F753" s="1348"/>
      <c r="G753" s="1737">
        <f>SUM(G718:G752)</f>
        <v>130</v>
      </c>
      <c r="H753" s="1738"/>
      <c r="I753" s="1738"/>
      <c r="J753" s="1739"/>
      <c r="K753" s="902" t="s">
        <v>124</v>
      </c>
      <c r="L753" s="5"/>
      <c r="M753" s="5"/>
      <c r="N753" s="46"/>
      <c r="O753" s="1388">
        <f>SUMPRODUCT(G718:G752,O718:O752)</f>
        <v>264022</v>
      </c>
      <c r="P753" s="1389"/>
      <c r="Q753" s="1389"/>
      <c r="R753" s="1389"/>
      <c r="S753" s="1390"/>
      <c r="T753"/>
      <c r="U753"/>
      <c r="V753"/>
      <c r="W753"/>
      <c r="X753" s="904" t="s">
        <v>899</v>
      </c>
      <c r="Y753" s="903"/>
      <c r="Z753" s="903"/>
      <c r="AA753" s="903"/>
      <c r="AB753" s="905"/>
      <c r="AC753" s="1609">
        <f>BH753</f>
        <v>0.596923076923077</v>
      </c>
      <c r="AD753" s="1610"/>
      <c r="AE753" s="1610"/>
      <c r="AF753" s="1610"/>
      <c r="AG753" s="1611"/>
      <c r="AH753" s="1609">
        <f>IFERROR(BU753,"")</f>
        <v>0.58657285678644799</v>
      </c>
      <c r="AI753" s="1610"/>
      <c r="AJ753" s="1611"/>
      <c r="AK753"/>
      <c r="AL753"/>
      <c r="AM753"/>
      <c r="AN753"/>
      <c r="AO753"/>
      <c r="AP753" s="205"/>
      <c r="AQ753" s="205"/>
      <c r="AR753" s="205"/>
      <c r="AS753" s="205"/>
      <c r="AT753"/>
      <c r="AU753"/>
      <c r="AV753"/>
      <c r="AW753"/>
      <c r="AX753"/>
      <c r="AY753"/>
      <c r="AZ753" s="34"/>
      <c r="BA753" s="34"/>
      <c r="BB753" s="34"/>
      <c r="BC753" s="34"/>
      <c r="BE753" s="290" t="s">
        <v>898</v>
      </c>
      <c r="BF753" s="299">
        <f>SUM(BF718:BF752)</f>
        <v>130</v>
      </c>
      <c r="BG753" s="300">
        <f>SUM(BG718:BG752)</f>
        <v>0.99999999999999989</v>
      </c>
      <c r="BH753" s="300">
        <f>SUM(BH718:BH752)</f>
        <v>0.596923076923077</v>
      </c>
      <c r="BI753"/>
      <c r="BJ753"/>
      <c r="BK753"/>
      <c r="BL753"/>
      <c r="BO753"/>
      <c r="BP753"/>
      <c r="BQ753"/>
      <c r="BR753"/>
      <c r="BS753" s="859">
        <f>SUM(BS718:BS752)</f>
        <v>130</v>
      </c>
      <c r="BT753" s="300">
        <f>SUM(BT718:BT752)</f>
        <v>0.99999999999999989</v>
      </c>
      <c r="BU753" s="300">
        <f>SUM(BU718:BU752)</f>
        <v>0.58657285678644799</v>
      </c>
      <c r="CI753" s="1381">
        <f>SUM(CI718:CJ752)</f>
        <v>27</v>
      </c>
      <c r="CJ753" s="1383"/>
      <c r="CM753" s="1381">
        <f>SUM(CM718:CN752)</f>
        <v>23</v>
      </c>
      <c r="CN753" s="1383"/>
      <c r="CP753" s="1381">
        <f>SUM(CP718:CT752)</f>
        <v>0</v>
      </c>
      <c r="CQ753" s="1382"/>
      <c r="CR753" s="1382"/>
      <c r="CS753" s="1382"/>
      <c r="CT753" s="1383"/>
      <c r="CU753" s="1397">
        <f>SUM(CU718:CY752)</f>
        <v>46</v>
      </c>
      <c r="CV753" s="1397"/>
      <c r="CW753" s="1397"/>
      <c r="CX753" s="1397"/>
      <c r="CY753" s="1397"/>
      <c r="CZ753" s="1397">
        <f>SUM(CZ718:DD752)</f>
        <v>42</v>
      </c>
      <c r="DA753" s="1397"/>
      <c r="DB753" s="1397"/>
      <c r="DC753" s="1397"/>
      <c r="DD753" s="1397"/>
      <c r="DE753" s="1397">
        <f>SUM(DE718:DI752)</f>
        <v>42</v>
      </c>
      <c r="DF753" s="1397"/>
      <c r="DG753" s="1397"/>
      <c r="DH753" s="1397"/>
      <c r="DI753" s="1397"/>
      <c r="DJ753" s="1397">
        <f>SUM(DJ718:DN752)</f>
        <v>0</v>
      </c>
      <c r="DK753" s="1397"/>
      <c r="DL753" s="1397"/>
      <c r="DM753" s="1397"/>
      <c r="DN753" s="1397"/>
      <c r="DO753" s="1397">
        <f>SUM(DO718:DS752)</f>
        <v>0</v>
      </c>
      <c r="DP753" s="1397"/>
      <c r="DQ753" s="1397"/>
      <c r="DR753" s="1397"/>
      <c r="DS753" s="1397"/>
      <c r="DT753" s="354"/>
      <c r="DU753" s="1397">
        <f>SUM(DU718:DY752)</f>
        <v>0</v>
      </c>
      <c r="DV753" s="1397"/>
      <c r="DW753" s="1397"/>
      <c r="DX753" s="1397"/>
      <c r="DY753" s="1397"/>
      <c r="DZ753" s="1397">
        <f>SUM(DZ718:ED752)</f>
        <v>5</v>
      </c>
      <c r="EA753" s="1397"/>
      <c r="EB753" s="1397"/>
      <c r="EC753" s="1397"/>
      <c r="ED753" s="1397"/>
      <c r="EE753" s="1397">
        <f>SUM(EE718:EI752)</f>
        <v>7</v>
      </c>
      <c r="EF753" s="1397"/>
      <c r="EG753" s="1397"/>
      <c r="EH753" s="1397"/>
      <c r="EI753" s="1397"/>
      <c r="EJ753" s="1397">
        <f>SUM(EJ718:EN752)</f>
        <v>11</v>
      </c>
      <c r="EK753" s="1397"/>
      <c r="EL753" s="1397"/>
      <c r="EM753" s="1397"/>
      <c r="EN753" s="1397"/>
      <c r="EO753" s="1397">
        <f>SUM(EO718:ES752)</f>
        <v>0</v>
      </c>
      <c r="EP753" s="1397"/>
      <c r="EQ753" s="1397"/>
      <c r="ER753" s="1397"/>
      <c r="ES753" s="1397"/>
      <c r="ET753" s="1397">
        <f>SUM(ET718:EX752)</f>
        <v>0</v>
      </c>
      <c r="EU753" s="1397"/>
      <c r="EV753" s="1397"/>
      <c r="EW753" s="1397"/>
      <c r="EX753" s="1397"/>
      <c r="EY753"/>
      <c r="EZ753" s="1397">
        <f>SUM(EZ718:FD752)</f>
        <v>0</v>
      </c>
      <c r="FA753" s="1397"/>
      <c r="FB753" s="1397"/>
      <c r="FC753" s="1397"/>
      <c r="FD753" s="1397"/>
      <c r="FE753" s="1397">
        <f>SUM(FE718:FI752)</f>
        <v>6429</v>
      </c>
      <c r="FF753" s="1397"/>
      <c r="FG753" s="1397"/>
      <c r="FH753" s="1397"/>
      <c r="FI753" s="1397"/>
      <c r="FJ753" s="1397">
        <f>SUM(FJ718:FN752)</f>
        <v>7544</v>
      </c>
      <c r="FK753" s="1397"/>
      <c r="FL753" s="1397"/>
      <c r="FM753" s="1397"/>
      <c r="FN753" s="1397"/>
      <c r="FO753" s="1397">
        <f>SUM(FO718:FS752)</f>
        <v>8779</v>
      </c>
      <c r="FP753" s="1397"/>
      <c r="FQ753" s="1397"/>
      <c r="FR753" s="1397"/>
      <c r="FS753" s="1397"/>
      <c r="FT753" s="1397">
        <f>SUM(FT718:FX752)</f>
        <v>0</v>
      </c>
      <c r="FU753" s="1397"/>
      <c r="FV753" s="1397"/>
      <c r="FW753" s="1397"/>
      <c r="FX753" s="1397"/>
      <c r="FY753" s="1397">
        <f>SUM(FY718:GC752)</f>
        <v>0</v>
      </c>
      <c r="FZ753" s="1397"/>
      <c r="GA753" s="1397"/>
      <c r="GB753" s="1397"/>
      <c r="GC753" s="1397"/>
    </row>
    <row r="754" spans="1:185" s="3" customFormat="1" ht="12.95" customHeight="1">
      <c r="A754"/>
      <c r="B754" s="1736" t="s">
        <v>1893</v>
      </c>
      <c r="C754" s="1736"/>
      <c r="D754" s="1736"/>
      <c r="E754" s="1736"/>
      <c r="F754" s="1736"/>
      <c r="G754" s="1736"/>
      <c r="H754" s="1736"/>
      <c r="I754" s="1736"/>
      <c r="J754" s="1736"/>
      <c r="K754" s="1736"/>
      <c r="L754" s="1736"/>
      <c r="M754" s="1736"/>
      <c r="N754" s="1736"/>
      <c r="O754" s="1736"/>
      <c r="P754" s="1736"/>
      <c r="Q754" s="1736"/>
      <c r="R754" s="1736"/>
      <c r="S754" s="1736"/>
      <c r="T754" s="1736"/>
      <c r="U754" s="1736"/>
      <c r="V754" s="1736"/>
      <c r="W754" s="1736"/>
      <c r="X754" s="1736"/>
      <c r="Y754" s="1736"/>
      <c r="Z754" s="1736"/>
      <c r="AA754" s="1736"/>
      <c r="AB754" s="1736"/>
      <c r="AC754" s="1736"/>
      <c r="AD754" s="1736"/>
      <c r="AE754" s="1736"/>
      <c r="AF754" s="1736"/>
      <c r="AG754" s="1736"/>
      <c r="AH754" s="1736"/>
      <c r="AI754"/>
      <c r="AJ754"/>
      <c r="AK754"/>
      <c r="AT754"/>
      <c r="AU754"/>
      <c r="AV754"/>
      <c r="AW754"/>
      <c r="AX754"/>
      <c r="AY754"/>
      <c r="CD754"/>
      <c r="DN754" s="56" t="s">
        <v>1860</v>
      </c>
      <c r="DO754" s="1381">
        <f>CP753+CU753+CZ753+DE753+DJ753+DO753</f>
        <v>130</v>
      </c>
      <c r="DP754" s="1382"/>
      <c r="DQ754" s="1382"/>
      <c r="DR754" s="1382"/>
      <c r="DS754" s="138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36"/>
      <c r="C755" s="1736"/>
      <c r="D755" s="1736"/>
      <c r="E755" s="1736"/>
      <c r="F755" s="1736"/>
      <c r="G755" s="1736"/>
      <c r="H755" s="1736"/>
      <c r="I755" s="1736"/>
      <c r="J755" s="1736"/>
      <c r="K755" s="1736"/>
      <c r="L755" s="1736"/>
      <c r="M755" s="1736"/>
      <c r="N755" s="1736"/>
      <c r="O755" s="1736"/>
      <c r="P755" s="1736"/>
      <c r="Q755" s="1736"/>
      <c r="R755" s="1736"/>
      <c r="S755" s="1736"/>
      <c r="T755" s="1736"/>
      <c r="U755" s="1736"/>
      <c r="V755" s="1736"/>
      <c r="W755" s="1736"/>
      <c r="X755" s="1736"/>
      <c r="Y755" s="1736"/>
      <c r="Z755" s="1736"/>
      <c r="AA755" s="1736"/>
      <c r="AB755" s="1736"/>
      <c r="AC755" s="1736"/>
      <c r="AD755" s="1736"/>
      <c r="AE755" s="1736"/>
      <c r="AF755" s="1736"/>
      <c r="AG755" s="1736"/>
      <c r="AH755" s="1736"/>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46</v>
      </c>
      <c r="CZ755" s="3"/>
      <c r="DA755" s="3"/>
      <c r="DB755" s="3"/>
      <c r="DC755" s="3"/>
      <c r="DD755" s="861">
        <f>CZ753*2</f>
        <v>84</v>
      </c>
      <c r="DE755" s="3"/>
      <c r="DF755" s="3"/>
      <c r="DG755" s="3"/>
      <c r="DH755" s="3"/>
      <c r="DI755" s="861">
        <f>DE753*3</f>
        <v>126</v>
      </c>
      <c r="DJ755" s="3"/>
      <c r="DK755" s="3"/>
      <c r="DL755" s="3"/>
      <c r="DM755" s="3"/>
      <c r="DN755" s="861">
        <f>DJ753*4</f>
        <v>0</v>
      </c>
      <c r="DO755" s="3"/>
      <c r="DP755" s="3"/>
      <c r="DQ755" s="3"/>
      <c r="DR755" s="3"/>
      <c r="DS755" s="861">
        <f>DO753*5</f>
        <v>0</v>
      </c>
      <c r="DU755" s="861">
        <f>CT755+CY755+DD755+DI755+DN755+DS755</f>
        <v>256</v>
      </c>
      <c r="DV755" s="57" t="s">
        <v>1862</v>
      </c>
      <c r="DW755" s="3"/>
      <c r="DX755" s="3"/>
      <c r="DY755" s="3"/>
      <c r="DZ755" s="3"/>
      <c r="EA755" s="3"/>
      <c r="EB755" s="3"/>
      <c r="EC755" s="3"/>
      <c r="ED755" s="3"/>
      <c r="EE755" s="3"/>
      <c r="EF755" s="3"/>
      <c r="EG755" s="3"/>
      <c r="EH755" s="3"/>
    </row>
    <row r="756" spans="1:185" ht="12.95" customHeight="1">
      <c r="A756" s="3"/>
      <c r="B756" s="3"/>
      <c r="C756" s="118" t="s">
        <v>1891</v>
      </c>
      <c r="D756" s="1032"/>
      <c r="E756" s="1032"/>
      <c r="F756" s="1032"/>
      <c r="G756" s="1033"/>
      <c r="H756" s="1033"/>
      <c r="I756" s="1033"/>
      <c r="J756" s="1033"/>
      <c r="K756" s="1032"/>
      <c r="L756" s="1032"/>
      <c r="M756" s="1032"/>
      <c r="N756" s="1032"/>
      <c r="O756" s="1397">
        <f>DU755</f>
        <v>256</v>
      </c>
      <c r="P756" s="1397"/>
      <c r="Q756" s="1397"/>
      <c r="R756" s="1397"/>
      <c r="S756" s="969"/>
      <c r="T756" s="969"/>
      <c r="U756" s="118" t="s">
        <v>1892</v>
      </c>
      <c r="V756" s="1032"/>
      <c r="W756" s="1032"/>
      <c r="X756" s="1032"/>
      <c r="Y756" s="1033"/>
      <c r="Z756" s="1033"/>
      <c r="AA756" s="1033"/>
      <c r="AB756" s="1033"/>
      <c r="AC756" s="1032"/>
      <c r="AD756" s="1032"/>
      <c r="AE756" s="1032"/>
      <c r="AF756" s="1032"/>
      <c r="AG756" s="1662"/>
      <c r="AH756" s="1662"/>
      <c r="AI756" s="1662"/>
      <c r="AJ756" s="1662"/>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859" t="str">
        <f>IF(G753&lt;&gt;AG440,"! Total Low-Income Units in the Unit Mix Table above does not match the number of Total Low-Income Units on row #"&amp;TEXT(ROW(D440),"#"),"")</f>
        <v/>
      </c>
      <c r="D757" s="1859"/>
      <c r="E757" s="1859"/>
      <c r="F757" s="1859"/>
      <c r="G757" s="1859"/>
      <c r="H757" s="1859"/>
      <c r="I757" s="1859"/>
      <c r="J757" s="1859"/>
      <c r="K757" s="1859"/>
      <c r="L757" s="1859"/>
      <c r="M757" s="1859"/>
      <c r="N757" s="1859"/>
      <c r="O757" s="1859"/>
      <c r="P757" s="1859"/>
      <c r="Q757" s="1859"/>
      <c r="R757" s="1859"/>
      <c r="S757" s="1859"/>
      <c r="T757" s="1859"/>
      <c r="U757" s="1859"/>
      <c r="V757" s="1859"/>
      <c r="W757" s="1859"/>
      <c r="X757" s="1859"/>
      <c r="Y757" s="1859"/>
      <c r="Z757" s="1859"/>
      <c r="AA757" s="1859"/>
      <c r="AB757" s="1859"/>
      <c r="AC757" s="1859"/>
      <c r="AD757" s="1859"/>
      <c r="AE757" s="1859"/>
      <c r="AF757" s="1859"/>
      <c r="AG757" s="1859"/>
      <c r="AH757" s="1859"/>
      <c r="AI757" s="1859"/>
      <c r="AJ757" s="1859"/>
      <c r="AK757" s="1859"/>
      <c r="AL757" s="1859"/>
      <c r="AM757" s="1859"/>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59"/>
      <c r="D758" s="1859"/>
      <c r="E758" s="1859"/>
      <c r="F758" s="1859"/>
      <c r="G758" s="1859"/>
      <c r="H758" s="1859"/>
      <c r="I758" s="1859"/>
      <c r="J758" s="1859"/>
      <c r="K758" s="1859"/>
      <c r="L758" s="1859"/>
      <c r="M758" s="1859"/>
      <c r="N758" s="1859"/>
      <c r="O758" s="1859"/>
      <c r="P758" s="1859"/>
      <c r="Q758" s="1859"/>
      <c r="R758" s="1859"/>
      <c r="S758" s="1859"/>
      <c r="T758" s="1859"/>
      <c r="U758" s="1859"/>
      <c r="V758" s="1859"/>
      <c r="W758" s="1859"/>
      <c r="X758" s="1859"/>
      <c r="Y758" s="1859"/>
      <c r="Z758" s="1859"/>
      <c r="AA758" s="1859"/>
      <c r="AB758" s="1859"/>
      <c r="AC758" s="1859"/>
      <c r="AD758" s="1859"/>
      <c r="AE758" s="1859"/>
      <c r="AF758" s="1859"/>
      <c r="AG758" s="1859"/>
      <c r="AH758" s="1859"/>
      <c r="AI758" s="1859"/>
      <c r="AJ758" s="1859"/>
      <c r="AK758" s="1859"/>
      <c r="AL758" s="1859"/>
      <c r="AM758" s="1859"/>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1890</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35" t="s">
        <v>590</v>
      </c>
      <c r="AE759" s="1735"/>
      <c r="AF759" s="1735"/>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2088</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575</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6" t="s">
        <v>2089</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6" t="s">
        <v>2090</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85" t="s">
        <v>388</v>
      </c>
      <c r="K769" s="1486"/>
      <c r="L769" s="1486"/>
      <c r="M769" s="1486"/>
      <c r="N769" s="1487"/>
      <c r="O769" s="1663" t="s">
        <v>284</v>
      </c>
      <c r="P769" s="1663"/>
      <c r="Q769" s="1663"/>
      <c r="R769" s="1663"/>
      <c r="S769" s="1663"/>
      <c r="T769" s="1494" t="s">
        <v>1679</v>
      </c>
      <c r="U769" s="1495"/>
      <c r="V769" s="1495"/>
      <c r="W769" s="1496"/>
      <c r="X769" s="1485" t="s">
        <v>446</v>
      </c>
      <c r="Y769" s="1486"/>
      <c r="Z769" s="1486"/>
      <c r="AA769" s="1486"/>
      <c r="AB769" s="1487"/>
      <c r="AC769" s="1485" t="s">
        <v>285</v>
      </c>
      <c r="AD769" s="1486"/>
      <c r="AE769" s="1486"/>
      <c r="AF769" s="1486"/>
      <c r="AG769" s="148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488"/>
      <c r="K770" s="1489"/>
      <c r="L770" s="1489"/>
      <c r="M770" s="1489"/>
      <c r="N770" s="1490"/>
      <c r="O770" s="1663"/>
      <c r="P770" s="1663"/>
      <c r="Q770" s="1663"/>
      <c r="R770" s="1663"/>
      <c r="S770" s="1663"/>
      <c r="T770" s="1497"/>
      <c r="U770" s="1498"/>
      <c r="V770" s="1498"/>
      <c r="W770" s="1499"/>
      <c r="X770" s="1488"/>
      <c r="Y770" s="1489"/>
      <c r="Z770" s="1489"/>
      <c r="AA770" s="1489"/>
      <c r="AB770" s="1490"/>
      <c r="AC770" s="1488"/>
      <c r="AD770" s="1489"/>
      <c r="AE770" s="1489"/>
      <c r="AF770" s="1489"/>
      <c r="AG770" s="149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488"/>
      <c r="K771" s="1489"/>
      <c r="L771" s="1489"/>
      <c r="M771" s="1489"/>
      <c r="N771" s="1490"/>
      <c r="O771" s="1663"/>
      <c r="P771" s="1663"/>
      <c r="Q771" s="1663"/>
      <c r="R771" s="1663"/>
      <c r="S771" s="1663"/>
      <c r="T771" s="1497"/>
      <c r="U771" s="1498"/>
      <c r="V771" s="1498"/>
      <c r="W771" s="1499"/>
      <c r="X771" s="1488"/>
      <c r="Y771" s="1489"/>
      <c r="Z771" s="1489"/>
      <c r="AA771" s="1489"/>
      <c r="AB771" s="1490"/>
      <c r="AC771" s="1488"/>
      <c r="AD771" s="1489"/>
      <c r="AE771" s="1489"/>
      <c r="AF771" s="1489"/>
      <c r="AG771" s="149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491"/>
      <c r="K772" s="1492"/>
      <c r="L772" s="1492"/>
      <c r="M772" s="1492"/>
      <c r="N772" s="1493"/>
      <c r="O772" s="1663"/>
      <c r="P772" s="1663"/>
      <c r="Q772" s="1663"/>
      <c r="R772" s="1663"/>
      <c r="S772" s="1663"/>
      <c r="T772" s="1653"/>
      <c r="U772" s="1654"/>
      <c r="V772" s="1654"/>
      <c r="W772" s="1655"/>
      <c r="X772" s="1491"/>
      <c r="Y772" s="1492"/>
      <c r="Z772" s="1492"/>
      <c r="AA772" s="1492"/>
      <c r="AB772" s="1493"/>
      <c r="AC772" s="1491"/>
      <c r="AD772" s="1492"/>
      <c r="AE772" s="1492"/>
      <c r="AF772" s="1492"/>
      <c r="AG772" s="149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85" t="s">
        <v>164</v>
      </c>
      <c r="K773" s="1386"/>
      <c r="L773" s="1386"/>
      <c r="M773" s="1386"/>
      <c r="N773" s="1387"/>
      <c r="O773" s="1525">
        <v>1</v>
      </c>
      <c r="P773" s="1525"/>
      <c r="Q773" s="1525"/>
      <c r="R773" s="1525"/>
      <c r="S773" s="1525"/>
      <c r="T773" s="1341">
        <v>1070</v>
      </c>
      <c r="U773" s="1342"/>
      <c r="V773" s="1342"/>
      <c r="W773" s="1343"/>
      <c r="X773" s="1462"/>
      <c r="Y773" s="1463"/>
      <c r="Z773" s="1463"/>
      <c r="AA773" s="1463"/>
      <c r="AB773" s="1464"/>
      <c r="AC773" s="1388">
        <f>X773*O773</f>
        <v>0</v>
      </c>
      <c r="AD773" s="1389"/>
      <c r="AE773" s="1389"/>
      <c r="AF773" s="1389"/>
      <c r="AG773" s="1390"/>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62">
        <f>IF(J773="SRO/Studio",O773,0)</f>
        <v>0</v>
      </c>
      <c r="CQ773" s="1363"/>
      <c r="CR773" s="1363"/>
      <c r="CS773" s="1363"/>
      <c r="CT773" s="1364"/>
      <c r="CU773" s="1384">
        <f>IF(J773="1 Bedroom",O773,0)</f>
        <v>0</v>
      </c>
      <c r="CV773" s="1384"/>
      <c r="CW773" s="1384"/>
      <c r="CX773" s="1384"/>
      <c r="CY773" s="1384"/>
      <c r="CZ773" s="1384">
        <f>IF(J773="2 Bedrooms",O773,0)</f>
        <v>0</v>
      </c>
      <c r="DA773" s="1384"/>
      <c r="DB773" s="1384"/>
      <c r="DC773" s="1384"/>
      <c r="DD773" s="1384"/>
      <c r="DE773" s="1384">
        <f>IF(J773="3 Bedrooms",O773,0)</f>
        <v>1</v>
      </c>
      <c r="DF773" s="1384"/>
      <c r="DG773" s="1384"/>
      <c r="DH773" s="1384"/>
      <c r="DI773" s="1384"/>
      <c r="DJ773" s="1384">
        <f>IF(J773="4 Bedrooms",O773,0)</f>
        <v>0</v>
      </c>
      <c r="DK773" s="1384"/>
      <c r="DL773" s="1384"/>
      <c r="DM773" s="1384"/>
      <c r="DN773" s="1384"/>
      <c r="DO773" s="1384">
        <f>IF(J773="5 Bedrooms",O773,0)</f>
        <v>0</v>
      </c>
      <c r="DP773" s="1384"/>
      <c r="DQ773" s="1384"/>
      <c r="DR773" s="1384"/>
      <c r="DS773" s="1384"/>
      <c r="DT773" s="6"/>
      <c r="DU773" s="3"/>
      <c r="DV773" s="3"/>
    </row>
    <row r="774" spans="1:126" ht="12.95" customHeight="1">
      <c r="J774" s="1385"/>
      <c r="K774" s="1386"/>
      <c r="L774" s="1386"/>
      <c r="M774" s="1386"/>
      <c r="N774" s="1387"/>
      <c r="O774" s="1525"/>
      <c r="P774" s="1525"/>
      <c r="Q774" s="1525"/>
      <c r="R774" s="1525"/>
      <c r="S774" s="1525"/>
      <c r="T774" s="1341"/>
      <c r="U774" s="1342"/>
      <c r="V774" s="1342"/>
      <c r="W774" s="1343"/>
      <c r="X774" s="1462"/>
      <c r="Y774" s="1463"/>
      <c r="Z774" s="1463"/>
      <c r="AA774" s="1463"/>
      <c r="AB774" s="1464"/>
      <c r="AC774" s="1388">
        <f>X774*O774</f>
        <v>0</v>
      </c>
      <c r="AD774" s="1389"/>
      <c r="AE774" s="1389"/>
      <c r="AF774" s="1389"/>
      <c r="AG774" s="1390"/>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62">
        <f>IF(J774="SRO/Studio",O774,0)</f>
        <v>0</v>
      </c>
      <c r="CQ774" s="1363"/>
      <c r="CR774" s="1363"/>
      <c r="CS774" s="1363"/>
      <c r="CT774" s="1364"/>
      <c r="CU774" s="1384">
        <f>IF(J774="1 Bedroom",O774,0)</f>
        <v>0</v>
      </c>
      <c r="CV774" s="1384"/>
      <c r="CW774" s="1384"/>
      <c r="CX774" s="1384"/>
      <c r="CY774" s="1384"/>
      <c r="CZ774" s="1384">
        <f>IF(J774="2 Bedrooms",O774,0)</f>
        <v>0</v>
      </c>
      <c r="DA774" s="1384"/>
      <c r="DB774" s="1384"/>
      <c r="DC774" s="1384"/>
      <c r="DD774" s="1384"/>
      <c r="DE774" s="1384">
        <f>IF(J774="3 Bedrooms",O774,0)</f>
        <v>0</v>
      </c>
      <c r="DF774" s="1384"/>
      <c r="DG774" s="1384"/>
      <c r="DH774" s="1384"/>
      <c r="DI774" s="1384"/>
      <c r="DJ774" s="1384">
        <f>IF(J774="4 Bedrooms",O774,0)</f>
        <v>0</v>
      </c>
      <c r="DK774" s="1384"/>
      <c r="DL774" s="1384"/>
      <c r="DM774" s="1384"/>
      <c r="DN774" s="1384"/>
      <c r="DO774" s="1384">
        <f>IF(J774="5 Bedrooms",O774,0)</f>
        <v>0</v>
      </c>
      <c r="DP774" s="1384"/>
      <c r="DQ774" s="1384"/>
      <c r="DR774" s="1384"/>
      <c r="DS774" s="1384"/>
      <c r="DT774" s="6"/>
      <c r="DU774" s="3"/>
      <c r="DV774" s="3"/>
    </row>
    <row r="775" spans="1:126" ht="12.95" customHeight="1">
      <c r="J775" s="1385"/>
      <c r="K775" s="1386"/>
      <c r="L775" s="1386"/>
      <c r="M775" s="1386"/>
      <c r="N775" s="1387"/>
      <c r="O775" s="1525"/>
      <c r="P775" s="1525"/>
      <c r="Q775" s="1525"/>
      <c r="R775" s="1525"/>
      <c r="S775" s="1525"/>
      <c r="T775" s="1341"/>
      <c r="U775" s="1342"/>
      <c r="V775" s="1342"/>
      <c r="W775" s="1343"/>
      <c r="X775" s="1462"/>
      <c r="Y775" s="1463"/>
      <c r="Z775" s="1463"/>
      <c r="AA775" s="1463"/>
      <c r="AB775" s="1464"/>
      <c r="AC775" s="1388">
        <f>X775*O775</f>
        <v>0</v>
      </c>
      <c r="AD775" s="1389"/>
      <c r="AE775" s="1389"/>
      <c r="AF775" s="1389"/>
      <c r="AG775" s="1390"/>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62">
        <f>IF(J775="SRO/Studio",O775,0)</f>
        <v>0</v>
      </c>
      <c r="CQ775" s="1363"/>
      <c r="CR775" s="1363"/>
      <c r="CS775" s="1363"/>
      <c r="CT775" s="1364"/>
      <c r="CU775" s="1384">
        <f>IF(J775="1 Bedroom",O775,0)</f>
        <v>0</v>
      </c>
      <c r="CV775" s="1384"/>
      <c r="CW775" s="1384"/>
      <c r="CX775" s="1384"/>
      <c r="CY775" s="1384"/>
      <c r="CZ775" s="1384">
        <f>IF(J775="2 Bedrooms",O775,0)</f>
        <v>0</v>
      </c>
      <c r="DA775" s="1384"/>
      <c r="DB775" s="1384"/>
      <c r="DC775" s="1384"/>
      <c r="DD775" s="1384"/>
      <c r="DE775" s="1384">
        <f>IF(J775="3 Bedrooms",O775,0)</f>
        <v>0</v>
      </c>
      <c r="DF775" s="1384"/>
      <c r="DG775" s="1384"/>
      <c r="DH775" s="1384"/>
      <c r="DI775" s="1384"/>
      <c r="DJ775" s="1384">
        <f>IF(J775="4 Bedrooms",O775,0)</f>
        <v>0</v>
      </c>
      <c r="DK775" s="1384"/>
      <c r="DL775" s="1384"/>
      <c r="DM775" s="1384"/>
      <c r="DN775" s="1384"/>
      <c r="DO775" s="1384">
        <f>IF(J775="5 Bedrooms",O775,0)</f>
        <v>0</v>
      </c>
      <c r="DP775" s="1384"/>
      <c r="DQ775" s="1384"/>
      <c r="DR775" s="1384"/>
      <c r="DS775" s="1384"/>
      <c r="DT775" s="1012"/>
    </row>
    <row r="776" spans="1:126" ht="12.95" customHeight="1">
      <c r="J776" s="1385"/>
      <c r="K776" s="1386"/>
      <c r="L776" s="1386"/>
      <c r="M776" s="1386"/>
      <c r="N776" s="1387"/>
      <c r="O776" s="1525"/>
      <c r="P776" s="1525"/>
      <c r="Q776" s="1525"/>
      <c r="R776" s="1525"/>
      <c r="S776" s="1525"/>
      <c r="T776" s="1341"/>
      <c r="U776" s="1342"/>
      <c r="V776" s="1342"/>
      <c r="W776" s="1343"/>
      <c r="X776" s="1462"/>
      <c r="Y776" s="1463"/>
      <c r="Z776" s="1463"/>
      <c r="AA776" s="1463"/>
      <c r="AB776" s="1464"/>
      <c r="AC776" s="1388">
        <f>X776*O776</f>
        <v>0</v>
      </c>
      <c r="AD776" s="1389"/>
      <c r="AE776" s="1389"/>
      <c r="AF776" s="1389"/>
      <c r="AG776" s="1390"/>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62">
        <f>IF(J776="SRO/Studio",O776,0)</f>
        <v>0</v>
      </c>
      <c r="CQ776" s="1363"/>
      <c r="CR776" s="1363"/>
      <c r="CS776" s="1363"/>
      <c r="CT776" s="1364"/>
      <c r="CU776" s="1384">
        <f>IF(J776="1 Bedroom",O776,0)</f>
        <v>0</v>
      </c>
      <c r="CV776" s="1384"/>
      <c r="CW776" s="1384"/>
      <c r="CX776" s="1384"/>
      <c r="CY776" s="1384"/>
      <c r="CZ776" s="1384">
        <f>IF(J776="2 Bedrooms",O776,0)</f>
        <v>0</v>
      </c>
      <c r="DA776" s="1384"/>
      <c r="DB776" s="1384"/>
      <c r="DC776" s="1384"/>
      <c r="DD776" s="1384"/>
      <c r="DE776" s="1384">
        <f>IF(J776="3 Bedrooms",O776,0)</f>
        <v>0</v>
      </c>
      <c r="DF776" s="1384"/>
      <c r="DG776" s="1384"/>
      <c r="DH776" s="1384"/>
      <c r="DI776" s="1384"/>
      <c r="DJ776" s="1384">
        <f>IF(J776="4 Bedrooms",O776,0)</f>
        <v>0</v>
      </c>
      <c r="DK776" s="1384"/>
      <c r="DL776" s="1384"/>
      <c r="DM776" s="1384"/>
      <c r="DN776" s="1384"/>
      <c r="DO776" s="1384">
        <f>IF(J776="5 Bedrooms",O776,0)</f>
        <v>0</v>
      </c>
      <c r="DP776" s="1384"/>
      <c r="DQ776" s="1384"/>
      <c r="DR776" s="1384"/>
      <c r="DS776" s="1384"/>
    </row>
    <row r="777" spans="1:126" ht="12.95" customHeight="1">
      <c r="J777" s="1345" t="s">
        <v>125</v>
      </c>
      <c r="K777" s="1346"/>
      <c r="L777" s="1346"/>
      <c r="M777" s="1346"/>
      <c r="N777" s="1348"/>
      <c r="O777" s="1365">
        <f>SUM(O773:S776)</f>
        <v>1</v>
      </c>
      <c r="P777" s="1366"/>
      <c r="Q777" s="1366"/>
      <c r="R777" s="1366"/>
      <c r="S777" s="1367"/>
      <c r="X777" s="1345" t="s">
        <v>124</v>
      </c>
      <c r="Y777" s="1346"/>
      <c r="Z777" s="1346"/>
      <c r="AA777" s="1346"/>
      <c r="AB777" s="1348"/>
      <c r="AC777" s="1388">
        <f>SUM(AC773:AG776)</f>
        <v>0</v>
      </c>
      <c r="AD777" s="1389"/>
      <c r="AE777" s="1389"/>
      <c r="AF777" s="1389"/>
      <c r="AG777" s="1390"/>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65">
        <f>SUM(CP773:CT776)</f>
        <v>0</v>
      </c>
      <c r="CQ777" s="1366"/>
      <c r="CR777" s="1366"/>
      <c r="CS777" s="1366"/>
      <c r="CT777" s="1367"/>
      <c r="CU777" s="1378">
        <f>SUM(CU773:CY776)</f>
        <v>0</v>
      </c>
      <c r="CV777" s="1379"/>
      <c r="CW777" s="1379"/>
      <c r="CX777" s="1379"/>
      <c r="CY777" s="1380"/>
      <c r="CZ777" s="1378">
        <f>SUM(CZ773:DD776)</f>
        <v>0</v>
      </c>
      <c r="DA777" s="1379"/>
      <c r="DB777" s="1379"/>
      <c r="DC777" s="1379"/>
      <c r="DD777" s="1380"/>
      <c r="DE777" s="1378">
        <f>SUM(DE773:DI776)</f>
        <v>1</v>
      </c>
      <c r="DF777" s="1379"/>
      <c r="DG777" s="1379"/>
      <c r="DH777" s="1379"/>
      <c r="DI777" s="1380"/>
      <c r="DJ777" s="1378">
        <f>SUM(DJ773:DN776)</f>
        <v>0</v>
      </c>
      <c r="DK777" s="1379"/>
      <c r="DL777" s="1379"/>
      <c r="DM777" s="1379"/>
      <c r="DN777" s="1380"/>
      <c r="DO777" s="1378">
        <f>SUM(DO773:DS776)</f>
        <v>0</v>
      </c>
      <c r="DP777" s="1379"/>
      <c r="DQ777" s="1379"/>
      <c r="DR777" s="1379"/>
      <c r="DS777" s="1380"/>
      <c r="DU777" s="861">
        <f>CP777+CU777+CZ777+DE777+DJ777+DO777</f>
        <v>1</v>
      </c>
      <c r="DV777" s="57" t="s">
        <v>1859</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0</v>
      </c>
      <c r="DE778" s="3"/>
      <c r="DF778" s="3"/>
      <c r="DG778" s="3"/>
      <c r="DH778" s="3"/>
      <c r="DI778" s="861">
        <f>DE777*3</f>
        <v>3</v>
      </c>
      <c r="DJ778" s="3"/>
      <c r="DK778" s="3"/>
      <c r="DL778" s="3"/>
      <c r="DM778" s="3"/>
      <c r="DN778" s="861">
        <f>DJ777*4</f>
        <v>0</v>
      </c>
      <c r="DO778" s="3"/>
      <c r="DP778" s="3"/>
      <c r="DQ778" s="3"/>
      <c r="DR778" s="3"/>
      <c r="DS778" s="861">
        <f>DO777*5</f>
        <v>0</v>
      </c>
      <c r="DU778" s="861">
        <f>CT778+CY778+DD778+DI778+DN778+DS778</f>
        <v>3</v>
      </c>
      <c r="DV778" s="57" t="s">
        <v>1861</v>
      </c>
    </row>
    <row r="779" spans="1:126" ht="12.95" customHeight="1">
      <c r="B779" s="56"/>
      <c r="C779" s="56"/>
      <c r="D779" s="56"/>
      <c r="E779" s="56"/>
      <c r="F779" s="56"/>
      <c r="G779" s="6"/>
      <c r="H779" s="6"/>
      <c r="I779" s="6"/>
      <c r="J779" s="1417" t="s">
        <v>668</v>
      </c>
      <c r="K779" s="1417"/>
      <c r="L779" s="56"/>
      <c r="M779" s="35" t="s">
        <v>976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585</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85" t="s">
        <v>388</v>
      </c>
      <c r="K783" s="1486"/>
      <c r="L783" s="1486"/>
      <c r="M783" s="1486"/>
      <c r="N783" s="1487"/>
      <c r="O783" s="1663" t="s">
        <v>284</v>
      </c>
      <c r="P783" s="1663"/>
      <c r="Q783" s="1663"/>
      <c r="R783" s="1663"/>
      <c r="S783" s="1663"/>
      <c r="T783" s="1494" t="s">
        <v>1679</v>
      </c>
      <c r="U783" s="1495"/>
      <c r="V783" s="1495"/>
      <c r="W783" s="1496"/>
      <c r="X783" s="1485" t="s">
        <v>446</v>
      </c>
      <c r="Y783" s="1486"/>
      <c r="Z783" s="1486"/>
      <c r="AA783" s="1486"/>
      <c r="AB783" s="1487"/>
      <c r="AC783" s="1485" t="s">
        <v>285</v>
      </c>
      <c r="AD783" s="1486"/>
      <c r="AE783" s="1486"/>
      <c r="AF783" s="1486"/>
      <c r="AG783" s="148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488"/>
      <c r="K784" s="1489"/>
      <c r="L784" s="1489"/>
      <c r="M784" s="1489"/>
      <c r="N784" s="1490"/>
      <c r="O784" s="1663"/>
      <c r="P784" s="1663"/>
      <c r="Q784" s="1663"/>
      <c r="R784" s="1663"/>
      <c r="S784" s="1663"/>
      <c r="T784" s="1497"/>
      <c r="U784" s="1498"/>
      <c r="V784" s="1498"/>
      <c r="W784" s="1499"/>
      <c r="X784" s="1488"/>
      <c r="Y784" s="1489"/>
      <c r="Z784" s="1489"/>
      <c r="AA784" s="1489"/>
      <c r="AB784" s="1490"/>
      <c r="AC784" s="1488"/>
      <c r="AD784" s="1489"/>
      <c r="AE784" s="1489"/>
      <c r="AF784" s="1489"/>
      <c r="AG784" s="149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488"/>
      <c r="K785" s="1489"/>
      <c r="L785" s="1489"/>
      <c r="M785" s="1489"/>
      <c r="N785" s="1490"/>
      <c r="O785" s="1663"/>
      <c r="P785" s="1663"/>
      <c r="Q785" s="1663"/>
      <c r="R785" s="1663"/>
      <c r="S785" s="1663"/>
      <c r="T785" s="1497"/>
      <c r="U785" s="1498"/>
      <c r="V785" s="1498"/>
      <c r="W785" s="1499"/>
      <c r="X785" s="1488"/>
      <c r="Y785" s="1489"/>
      <c r="Z785" s="1489"/>
      <c r="AA785" s="1489"/>
      <c r="AB785" s="1490"/>
      <c r="AC785" s="1488"/>
      <c r="AD785" s="1489"/>
      <c r="AE785" s="1489"/>
      <c r="AF785" s="1489"/>
      <c r="AG785" s="149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491"/>
      <c r="K786" s="1492"/>
      <c r="L786" s="1492"/>
      <c r="M786" s="1492"/>
      <c r="N786" s="1493"/>
      <c r="O786" s="1663"/>
      <c r="P786" s="1663"/>
      <c r="Q786" s="1663"/>
      <c r="R786" s="1663"/>
      <c r="S786" s="1663"/>
      <c r="T786" s="1653"/>
      <c r="U786" s="1654"/>
      <c r="V786" s="1654"/>
      <c r="W786" s="1655"/>
      <c r="X786" s="1491"/>
      <c r="Y786" s="1492"/>
      <c r="Z786" s="1492"/>
      <c r="AA786" s="1492"/>
      <c r="AB786" s="1493"/>
      <c r="AC786" s="1491"/>
      <c r="AD786" s="1492"/>
      <c r="AE786" s="1492"/>
      <c r="AF786" s="1492"/>
      <c r="AG786" s="149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2.95" customHeight="1">
      <c r="J787" s="1385"/>
      <c r="K787" s="1386"/>
      <c r="L787" s="1386"/>
      <c r="M787" s="1386"/>
      <c r="N787" s="1387"/>
      <c r="O787" s="1525"/>
      <c r="P787" s="1525"/>
      <c r="Q787" s="1525"/>
      <c r="R787" s="1525"/>
      <c r="S787" s="1525"/>
      <c r="T787" s="1341"/>
      <c r="U787" s="1342"/>
      <c r="V787" s="1342"/>
      <c r="W787" s="1343"/>
      <c r="X787" s="1462"/>
      <c r="Y787" s="1463"/>
      <c r="Z787" s="1463"/>
      <c r="AA787" s="1463"/>
      <c r="AB787" s="1464"/>
      <c r="AC787" s="1388">
        <f t="shared" ref="AC787:AC796" si="40">X787*O787</f>
        <v>0</v>
      </c>
      <c r="AD787" s="1389"/>
      <c r="AE787" s="1389"/>
      <c r="AF787" s="1389"/>
      <c r="AG787" s="139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62">
        <f t="shared" ref="CP787:CP796" si="41">IF(J787="SRO/Studio",O787,0)</f>
        <v>0</v>
      </c>
      <c r="CQ787" s="1363"/>
      <c r="CR787" s="1363"/>
      <c r="CS787" s="1363"/>
      <c r="CT787" s="1364"/>
      <c r="CU787" s="1362">
        <f t="shared" ref="CU787:CU796" si="42">IF(J787="1 Bedroom",O787,0)</f>
        <v>0</v>
      </c>
      <c r="CV787" s="1363"/>
      <c r="CW787" s="1363"/>
      <c r="CX787" s="1363"/>
      <c r="CY787" s="1364"/>
      <c r="CZ787" s="1362">
        <f t="shared" ref="CZ787:CZ796" si="43">IF(J787="2 Bedrooms",O787,0)</f>
        <v>0</v>
      </c>
      <c r="DA787" s="1363"/>
      <c r="DB787" s="1363"/>
      <c r="DC787" s="1363"/>
      <c r="DD787" s="1364"/>
      <c r="DE787" s="1362">
        <f t="shared" ref="DE787:DE796" si="44">IF(J787="3 Bedrooms",O787,0)</f>
        <v>0</v>
      </c>
      <c r="DF787" s="1363"/>
      <c r="DG787" s="1363"/>
      <c r="DH787" s="1363"/>
      <c r="DI787" s="1364"/>
      <c r="DJ787" s="1362">
        <f t="shared" ref="DJ787:DJ796" si="45">IF(J787="4 Bedrooms",O787,0)</f>
        <v>0</v>
      </c>
      <c r="DK787" s="1363"/>
      <c r="DL787" s="1363"/>
      <c r="DM787" s="1363"/>
      <c r="DN787" s="1364"/>
      <c r="DO787" s="1362">
        <f t="shared" ref="DO787:DO796" si="46">IF(J787="5 Bedrooms",O787,0)</f>
        <v>0</v>
      </c>
      <c r="DP787" s="1363"/>
      <c r="DQ787" s="1363"/>
      <c r="DR787" s="1363"/>
      <c r="DS787" s="1364"/>
      <c r="DT787" s="6"/>
      <c r="DU787" s="1362">
        <f t="shared" ref="DU787:DU796" si="47">IF(AND(CP787&gt;=1,AH787&gt;=0.1,AH787&lt;=1),O787,0)</f>
        <v>0</v>
      </c>
      <c r="DV787" s="1363"/>
      <c r="DW787" s="1363"/>
      <c r="DX787" s="1363"/>
      <c r="DY787" s="1364"/>
      <c r="DZ787" s="1362">
        <f t="shared" ref="DZ787:DZ796" si="48">IF(AND(CU787&gt;=1,AH787&gt;=0.1,AH787&lt;=1),O787,0)</f>
        <v>0</v>
      </c>
      <c r="EA787" s="1363"/>
      <c r="EB787" s="1363"/>
      <c r="EC787" s="1363"/>
      <c r="ED787" s="1364"/>
      <c r="EE787" s="1362">
        <f t="shared" ref="EE787:EE796" si="49">IF(AND(CZ787&gt;=1,AH787&gt;=0.1,AH787&lt;=1),O787,0)</f>
        <v>0</v>
      </c>
      <c r="EF787" s="1363"/>
      <c r="EG787" s="1363"/>
      <c r="EH787" s="1363"/>
      <c r="EI787" s="1364"/>
      <c r="EJ787" s="1362">
        <f t="shared" ref="EJ787:EJ796" si="50">IF(AND(DE787&gt;=1,AH787&gt;=0.1,AH787&lt;=1),O787,0)</f>
        <v>0</v>
      </c>
      <c r="EK787" s="1363"/>
      <c r="EL787" s="1363"/>
      <c r="EM787" s="1363"/>
      <c r="EN787" s="1364"/>
      <c r="EO787" s="1362">
        <f t="shared" ref="EO787:EO796" si="51">IF(AND(DJ787&gt;=1,AH787&gt;=0.1,AH787&lt;=1),O787,0)</f>
        <v>0</v>
      </c>
      <c r="EP787" s="1363"/>
      <c r="EQ787" s="1363"/>
      <c r="ER787" s="1363"/>
      <c r="ES787" s="1364"/>
      <c r="ET787" s="1362">
        <f t="shared" ref="ET787:ET796" si="52">IF(AND(DO787&gt;=1,AH787&gt;=0.1,AH787&lt;=1),O787,0)</f>
        <v>0</v>
      </c>
      <c r="EU787" s="1363"/>
      <c r="EV787" s="1363"/>
      <c r="EW787" s="1363"/>
      <c r="EX787" s="1364"/>
    </row>
    <row r="788" spans="1:154" s="14" customFormat="1" ht="12.95" customHeight="1">
      <c r="A788"/>
      <c r="B788"/>
      <c r="C788"/>
      <c r="D788"/>
      <c r="E788"/>
      <c r="F788"/>
      <c r="G788"/>
      <c r="H788"/>
      <c r="I788"/>
      <c r="J788" s="1385"/>
      <c r="K788" s="1386"/>
      <c r="L788" s="1386"/>
      <c r="M788" s="1386"/>
      <c r="N788" s="1387"/>
      <c r="O788" s="1525"/>
      <c r="P788" s="1525"/>
      <c r="Q788" s="1525"/>
      <c r="R788" s="1525"/>
      <c r="S788" s="1525"/>
      <c r="T788" s="1341"/>
      <c r="U788" s="1342"/>
      <c r="V788" s="1342"/>
      <c r="W788" s="1343"/>
      <c r="X788" s="1462"/>
      <c r="Y788" s="1463"/>
      <c r="Z788" s="1463"/>
      <c r="AA788" s="1463"/>
      <c r="AB788" s="1464"/>
      <c r="AC788" s="1388">
        <f t="shared" si="40"/>
        <v>0</v>
      </c>
      <c r="AD788" s="1389"/>
      <c r="AE788" s="1389"/>
      <c r="AF788" s="1389"/>
      <c r="AG788" s="139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62">
        <f t="shared" si="41"/>
        <v>0</v>
      </c>
      <c r="CQ788" s="1363"/>
      <c r="CR788" s="1363"/>
      <c r="CS788" s="1363"/>
      <c r="CT788" s="1364"/>
      <c r="CU788" s="1362">
        <f t="shared" si="42"/>
        <v>0</v>
      </c>
      <c r="CV788" s="1363"/>
      <c r="CW788" s="1363"/>
      <c r="CX788" s="1363"/>
      <c r="CY788" s="1364"/>
      <c r="CZ788" s="1362">
        <f t="shared" si="43"/>
        <v>0</v>
      </c>
      <c r="DA788" s="1363"/>
      <c r="DB788" s="1363"/>
      <c r="DC788" s="1363"/>
      <c r="DD788" s="1364"/>
      <c r="DE788" s="1362">
        <f t="shared" si="44"/>
        <v>0</v>
      </c>
      <c r="DF788" s="1363"/>
      <c r="DG788" s="1363"/>
      <c r="DH788" s="1363"/>
      <c r="DI788" s="1364"/>
      <c r="DJ788" s="1362">
        <f t="shared" si="45"/>
        <v>0</v>
      </c>
      <c r="DK788" s="1363"/>
      <c r="DL788" s="1363"/>
      <c r="DM788" s="1363"/>
      <c r="DN788" s="1364"/>
      <c r="DO788" s="1362">
        <f t="shared" si="46"/>
        <v>0</v>
      </c>
      <c r="DP788" s="1363"/>
      <c r="DQ788" s="1363"/>
      <c r="DR788" s="1363"/>
      <c r="DS788" s="1364"/>
      <c r="DT788" s="6"/>
      <c r="DU788" s="1362">
        <f t="shared" si="47"/>
        <v>0</v>
      </c>
      <c r="DV788" s="1363"/>
      <c r="DW788" s="1363"/>
      <c r="DX788" s="1363"/>
      <c r="DY788" s="1364"/>
      <c r="DZ788" s="1362">
        <f t="shared" si="48"/>
        <v>0</v>
      </c>
      <c r="EA788" s="1363"/>
      <c r="EB788" s="1363"/>
      <c r="EC788" s="1363"/>
      <c r="ED788" s="1364"/>
      <c r="EE788" s="1362">
        <f t="shared" si="49"/>
        <v>0</v>
      </c>
      <c r="EF788" s="1363"/>
      <c r="EG788" s="1363"/>
      <c r="EH788" s="1363"/>
      <c r="EI788" s="1364"/>
      <c r="EJ788" s="1362">
        <f t="shared" si="50"/>
        <v>0</v>
      </c>
      <c r="EK788" s="1363"/>
      <c r="EL788" s="1363"/>
      <c r="EM788" s="1363"/>
      <c r="EN788" s="1364"/>
      <c r="EO788" s="1362">
        <f t="shared" si="51"/>
        <v>0</v>
      </c>
      <c r="EP788" s="1363"/>
      <c r="EQ788" s="1363"/>
      <c r="ER788" s="1363"/>
      <c r="ES788" s="1364"/>
      <c r="ET788" s="1362">
        <f t="shared" si="52"/>
        <v>0</v>
      </c>
      <c r="EU788" s="1363"/>
      <c r="EV788" s="1363"/>
      <c r="EW788" s="1363"/>
      <c r="EX788" s="1364"/>
    </row>
    <row r="789" spans="1:154" s="14" customFormat="1" ht="12.95" customHeight="1">
      <c r="A789"/>
      <c r="B789"/>
      <c r="C789"/>
      <c r="D789"/>
      <c r="E789"/>
      <c r="F789"/>
      <c r="G789"/>
      <c r="H789"/>
      <c r="I789"/>
      <c r="J789" s="1385"/>
      <c r="K789" s="1386"/>
      <c r="L789" s="1386"/>
      <c r="M789" s="1386"/>
      <c r="N789" s="1387"/>
      <c r="O789" s="1525"/>
      <c r="P789" s="1525"/>
      <c r="Q789" s="1525"/>
      <c r="R789" s="1525"/>
      <c r="S789" s="1525"/>
      <c r="T789" s="1341"/>
      <c r="U789" s="1342"/>
      <c r="V789" s="1342"/>
      <c r="W789" s="1343"/>
      <c r="X789" s="1462"/>
      <c r="Y789" s="1463"/>
      <c r="Z789" s="1463"/>
      <c r="AA789" s="1463"/>
      <c r="AB789" s="1464"/>
      <c r="AC789" s="1388">
        <f t="shared" si="40"/>
        <v>0</v>
      </c>
      <c r="AD789" s="1389"/>
      <c r="AE789" s="1389"/>
      <c r="AF789" s="1389"/>
      <c r="AG789" s="139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62">
        <f t="shared" si="41"/>
        <v>0</v>
      </c>
      <c r="CQ789" s="1363"/>
      <c r="CR789" s="1363"/>
      <c r="CS789" s="1363"/>
      <c r="CT789" s="1364"/>
      <c r="CU789" s="1362">
        <f t="shared" si="42"/>
        <v>0</v>
      </c>
      <c r="CV789" s="1363"/>
      <c r="CW789" s="1363"/>
      <c r="CX789" s="1363"/>
      <c r="CY789" s="1364"/>
      <c r="CZ789" s="1362">
        <f t="shared" si="43"/>
        <v>0</v>
      </c>
      <c r="DA789" s="1363"/>
      <c r="DB789" s="1363"/>
      <c r="DC789" s="1363"/>
      <c r="DD789" s="1364"/>
      <c r="DE789" s="1362">
        <f t="shared" si="44"/>
        <v>0</v>
      </c>
      <c r="DF789" s="1363"/>
      <c r="DG789" s="1363"/>
      <c r="DH789" s="1363"/>
      <c r="DI789" s="1364"/>
      <c r="DJ789" s="1362">
        <f t="shared" si="45"/>
        <v>0</v>
      </c>
      <c r="DK789" s="1363"/>
      <c r="DL789" s="1363"/>
      <c r="DM789" s="1363"/>
      <c r="DN789" s="1364"/>
      <c r="DO789" s="1362">
        <f t="shared" si="46"/>
        <v>0</v>
      </c>
      <c r="DP789" s="1363"/>
      <c r="DQ789" s="1363"/>
      <c r="DR789" s="1363"/>
      <c r="DS789" s="1364"/>
      <c r="DT789" s="6"/>
      <c r="DU789" s="1362">
        <f t="shared" si="47"/>
        <v>0</v>
      </c>
      <c r="DV789" s="1363"/>
      <c r="DW789" s="1363"/>
      <c r="DX789" s="1363"/>
      <c r="DY789" s="1364"/>
      <c r="DZ789" s="1362">
        <f t="shared" si="48"/>
        <v>0</v>
      </c>
      <c r="EA789" s="1363"/>
      <c r="EB789" s="1363"/>
      <c r="EC789" s="1363"/>
      <c r="ED789" s="1364"/>
      <c r="EE789" s="1362">
        <f t="shared" si="49"/>
        <v>0</v>
      </c>
      <c r="EF789" s="1363"/>
      <c r="EG789" s="1363"/>
      <c r="EH789" s="1363"/>
      <c r="EI789" s="1364"/>
      <c r="EJ789" s="1362">
        <f t="shared" si="50"/>
        <v>0</v>
      </c>
      <c r="EK789" s="1363"/>
      <c r="EL789" s="1363"/>
      <c r="EM789" s="1363"/>
      <c r="EN789" s="1364"/>
      <c r="EO789" s="1362">
        <f t="shared" si="51"/>
        <v>0</v>
      </c>
      <c r="EP789" s="1363"/>
      <c r="EQ789" s="1363"/>
      <c r="ER789" s="1363"/>
      <c r="ES789" s="1364"/>
      <c r="ET789" s="1362">
        <f t="shared" si="52"/>
        <v>0</v>
      </c>
      <c r="EU789" s="1363"/>
      <c r="EV789" s="1363"/>
      <c r="EW789" s="1363"/>
      <c r="EX789" s="1364"/>
    </row>
    <row r="790" spans="1:154" s="14" customFormat="1" ht="12.95" customHeight="1">
      <c r="A790"/>
      <c r="B790"/>
      <c r="C790"/>
      <c r="D790"/>
      <c r="E790"/>
      <c r="F790"/>
      <c r="G790"/>
      <c r="H790"/>
      <c r="I790"/>
      <c r="J790" s="1385"/>
      <c r="K790" s="1386"/>
      <c r="L790" s="1386"/>
      <c r="M790" s="1386"/>
      <c r="N790" s="1387"/>
      <c r="O790" s="1525"/>
      <c r="P790" s="1525"/>
      <c r="Q790" s="1525"/>
      <c r="R790" s="1525"/>
      <c r="S790" s="1525"/>
      <c r="T790" s="1341"/>
      <c r="U790" s="1342"/>
      <c r="V790" s="1342"/>
      <c r="W790" s="1343"/>
      <c r="X790" s="1462"/>
      <c r="Y790" s="1463"/>
      <c r="Z790" s="1463"/>
      <c r="AA790" s="1463"/>
      <c r="AB790" s="1464"/>
      <c r="AC790" s="1388">
        <f t="shared" si="40"/>
        <v>0</v>
      </c>
      <c r="AD790" s="1389"/>
      <c r="AE790" s="1389"/>
      <c r="AF790" s="1389"/>
      <c r="AG790" s="139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62">
        <f t="shared" si="41"/>
        <v>0</v>
      </c>
      <c r="CQ790" s="1363"/>
      <c r="CR790" s="1363"/>
      <c r="CS790" s="1363"/>
      <c r="CT790" s="1364"/>
      <c r="CU790" s="1362">
        <f t="shared" si="42"/>
        <v>0</v>
      </c>
      <c r="CV790" s="1363"/>
      <c r="CW790" s="1363"/>
      <c r="CX790" s="1363"/>
      <c r="CY790" s="1364"/>
      <c r="CZ790" s="1362">
        <f t="shared" si="43"/>
        <v>0</v>
      </c>
      <c r="DA790" s="1363"/>
      <c r="DB790" s="1363"/>
      <c r="DC790" s="1363"/>
      <c r="DD790" s="1364"/>
      <c r="DE790" s="1362">
        <f t="shared" si="44"/>
        <v>0</v>
      </c>
      <c r="DF790" s="1363"/>
      <c r="DG790" s="1363"/>
      <c r="DH790" s="1363"/>
      <c r="DI790" s="1364"/>
      <c r="DJ790" s="1362">
        <f t="shared" si="45"/>
        <v>0</v>
      </c>
      <c r="DK790" s="1363"/>
      <c r="DL790" s="1363"/>
      <c r="DM790" s="1363"/>
      <c r="DN790" s="1364"/>
      <c r="DO790" s="1362">
        <f t="shared" si="46"/>
        <v>0</v>
      </c>
      <c r="DP790" s="1363"/>
      <c r="DQ790" s="1363"/>
      <c r="DR790" s="1363"/>
      <c r="DS790" s="1364"/>
      <c r="DT790" s="6"/>
      <c r="DU790" s="1362">
        <f t="shared" si="47"/>
        <v>0</v>
      </c>
      <c r="DV790" s="1363"/>
      <c r="DW790" s="1363"/>
      <c r="DX790" s="1363"/>
      <c r="DY790" s="1364"/>
      <c r="DZ790" s="1362">
        <f t="shared" si="48"/>
        <v>0</v>
      </c>
      <c r="EA790" s="1363"/>
      <c r="EB790" s="1363"/>
      <c r="EC790" s="1363"/>
      <c r="ED790" s="1364"/>
      <c r="EE790" s="1362">
        <f t="shared" si="49"/>
        <v>0</v>
      </c>
      <c r="EF790" s="1363"/>
      <c r="EG790" s="1363"/>
      <c r="EH790" s="1363"/>
      <c r="EI790" s="1364"/>
      <c r="EJ790" s="1362">
        <f t="shared" si="50"/>
        <v>0</v>
      </c>
      <c r="EK790" s="1363"/>
      <c r="EL790" s="1363"/>
      <c r="EM790" s="1363"/>
      <c r="EN790" s="1364"/>
      <c r="EO790" s="1362">
        <f t="shared" si="51"/>
        <v>0</v>
      </c>
      <c r="EP790" s="1363"/>
      <c r="EQ790" s="1363"/>
      <c r="ER790" s="1363"/>
      <c r="ES790" s="1364"/>
      <c r="ET790" s="1362">
        <f t="shared" si="52"/>
        <v>0</v>
      </c>
      <c r="EU790" s="1363"/>
      <c r="EV790" s="1363"/>
      <c r="EW790" s="1363"/>
      <c r="EX790" s="1364"/>
    </row>
    <row r="791" spans="1:154" s="14" customFormat="1" ht="12.95" customHeight="1">
      <c r="A791"/>
      <c r="B791"/>
      <c r="C791"/>
      <c r="D791"/>
      <c r="E791"/>
      <c r="F791"/>
      <c r="G791"/>
      <c r="H791"/>
      <c r="I791"/>
      <c r="J791" s="1385"/>
      <c r="K791" s="1386"/>
      <c r="L791" s="1386"/>
      <c r="M791" s="1386"/>
      <c r="N791" s="1387"/>
      <c r="O791" s="1525"/>
      <c r="P791" s="1525"/>
      <c r="Q791" s="1525"/>
      <c r="R791" s="1525"/>
      <c r="S791" s="1525"/>
      <c r="T791" s="1341"/>
      <c r="U791" s="1342"/>
      <c r="V791" s="1342"/>
      <c r="W791" s="1343"/>
      <c r="X791" s="1462"/>
      <c r="Y791" s="1463"/>
      <c r="Z791" s="1463"/>
      <c r="AA791" s="1463"/>
      <c r="AB791" s="1464"/>
      <c r="AC791" s="1388">
        <f t="shared" si="40"/>
        <v>0</v>
      </c>
      <c r="AD791" s="1389"/>
      <c r="AE791" s="1389"/>
      <c r="AF791" s="1389"/>
      <c r="AG791" s="139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62">
        <f t="shared" si="41"/>
        <v>0</v>
      </c>
      <c r="CQ791" s="1363"/>
      <c r="CR791" s="1363"/>
      <c r="CS791" s="1363"/>
      <c r="CT791" s="1364"/>
      <c r="CU791" s="1362">
        <f t="shared" si="42"/>
        <v>0</v>
      </c>
      <c r="CV791" s="1363"/>
      <c r="CW791" s="1363"/>
      <c r="CX791" s="1363"/>
      <c r="CY791" s="1364"/>
      <c r="CZ791" s="1362">
        <f t="shared" si="43"/>
        <v>0</v>
      </c>
      <c r="DA791" s="1363"/>
      <c r="DB791" s="1363"/>
      <c r="DC791" s="1363"/>
      <c r="DD791" s="1364"/>
      <c r="DE791" s="1362">
        <f t="shared" si="44"/>
        <v>0</v>
      </c>
      <c r="DF791" s="1363"/>
      <c r="DG791" s="1363"/>
      <c r="DH791" s="1363"/>
      <c r="DI791" s="1364"/>
      <c r="DJ791" s="1362">
        <f t="shared" si="45"/>
        <v>0</v>
      </c>
      <c r="DK791" s="1363"/>
      <c r="DL791" s="1363"/>
      <c r="DM791" s="1363"/>
      <c r="DN791" s="1364"/>
      <c r="DO791" s="1362">
        <f t="shared" si="46"/>
        <v>0</v>
      </c>
      <c r="DP791" s="1363"/>
      <c r="DQ791" s="1363"/>
      <c r="DR791" s="1363"/>
      <c r="DS791" s="1364"/>
      <c r="DT791" s="6"/>
      <c r="DU791" s="1362">
        <f t="shared" si="47"/>
        <v>0</v>
      </c>
      <c r="DV791" s="1363"/>
      <c r="DW791" s="1363"/>
      <c r="DX791" s="1363"/>
      <c r="DY791" s="1364"/>
      <c r="DZ791" s="1362">
        <f t="shared" si="48"/>
        <v>0</v>
      </c>
      <c r="EA791" s="1363"/>
      <c r="EB791" s="1363"/>
      <c r="EC791" s="1363"/>
      <c r="ED791" s="1364"/>
      <c r="EE791" s="1362">
        <f t="shared" si="49"/>
        <v>0</v>
      </c>
      <c r="EF791" s="1363"/>
      <c r="EG791" s="1363"/>
      <c r="EH791" s="1363"/>
      <c r="EI791" s="1364"/>
      <c r="EJ791" s="1362">
        <f t="shared" si="50"/>
        <v>0</v>
      </c>
      <c r="EK791" s="1363"/>
      <c r="EL791" s="1363"/>
      <c r="EM791" s="1363"/>
      <c r="EN791" s="1364"/>
      <c r="EO791" s="1362">
        <f t="shared" si="51"/>
        <v>0</v>
      </c>
      <c r="EP791" s="1363"/>
      <c r="EQ791" s="1363"/>
      <c r="ER791" s="1363"/>
      <c r="ES791" s="1364"/>
      <c r="ET791" s="1362">
        <f t="shared" si="52"/>
        <v>0</v>
      </c>
      <c r="EU791" s="1363"/>
      <c r="EV791" s="1363"/>
      <c r="EW791" s="1363"/>
      <c r="EX791" s="1364"/>
    </row>
    <row r="792" spans="1:154" s="14" customFormat="1" ht="12.95" customHeight="1">
      <c r="A792"/>
      <c r="B792"/>
      <c r="C792"/>
      <c r="D792"/>
      <c r="E792"/>
      <c r="F792"/>
      <c r="G792"/>
      <c r="H792"/>
      <c r="I792"/>
      <c r="J792" s="1385"/>
      <c r="K792" s="1386"/>
      <c r="L792" s="1386"/>
      <c r="M792" s="1386"/>
      <c r="N792" s="1387"/>
      <c r="O792" s="1525"/>
      <c r="P792" s="1525"/>
      <c r="Q792" s="1525"/>
      <c r="R792" s="1525"/>
      <c r="S792" s="1525"/>
      <c r="T792" s="1341"/>
      <c r="U792" s="1342"/>
      <c r="V792" s="1342"/>
      <c r="W792" s="1343"/>
      <c r="X792" s="1462"/>
      <c r="Y792" s="1463"/>
      <c r="Z792" s="1463"/>
      <c r="AA792" s="1463"/>
      <c r="AB792" s="1464"/>
      <c r="AC792" s="1388">
        <f t="shared" si="40"/>
        <v>0</v>
      </c>
      <c r="AD792" s="1389"/>
      <c r="AE792" s="1389"/>
      <c r="AF792" s="1389"/>
      <c r="AG792" s="139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62">
        <f t="shared" si="41"/>
        <v>0</v>
      </c>
      <c r="CQ792" s="1363"/>
      <c r="CR792" s="1363"/>
      <c r="CS792" s="1363"/>
      <c r="CT792" s="1364"/>
      <c r="CU792" s="1362">
        <f t="shared" si="42"/>
        <v>0</v>
      </c>
      <c r="CV792" s="1363"/>
      <c r="CW792" s="1363"/>
      <c r="CX792" s="1363"/>
      <c r="CY792" s="1364"/>
      <c r="CZ792" s="1362">
        <f t="shared" si="43"/>
        <v>0</v>
      </c>
      <c r="DA792" s="1363"/>
      <c r="DB792" s="1363"/>
      <c r="DC792" s="1363"/>
      <c r="DD792" s="1364"/>
      <c r="DE792" s="1362">
        <f t="shared" si="44"/>
        <v>0</v>
      </c>
      <c r="DF792" s="1363"/>
      <c r="DG792" s="1363"/>
      <c r="DH792" s="1363"/>
      <c r="DI792" s="1364"/>
      <c r="DJ792" s="1362">
        <f t="shared" si="45"/>
        <v>0</v>
      </c>
      <c r="DK792" s="1363"/>
      <c r="DL792" s="1363"/>
      <c r="DM792" s="1363"/>
      <c r="DN792" s="1364"/>
      <c r="DO792" s="1362">
        <f t="shared" si="46"/>
        <v>0</v>
      </c>
      <c r="DP792" s="1363"/>
      <c r="DQ792" s="1363"/>
      <c r="DR792" s="1363"/>
      <c r="DS792" s="1364"/>
      <c r="DT792" s="6"/>
      <c r="DU792" s="1362">
        <f t="shared" si="47"/>
        <v>0</v>
      </c>
      <c r="DV792" s="1363"/>
      <c r="DW792" s="1363"/>
      <c r="DX792" s="1363"/>
      <c r="DY792" s="1364"/>
      <c r="DZ792" s="1362">
        <f t="shared" si="48"/>
        <v>0</v>
      </c>
      <c r="EA792" s="1363"/>
      <c r="EB792" s="1363"/>
      <c r="EC792" s="1363"/>
      <c r="ED792" s="1364"/>
      <c r="EE792" s="1362">
        <f t="shared" si="49"/>
        <v>0</v>
      </c>
      <c r="EF792" s="1363"/>
      <c r="EG792" s="1363"/>
      <c r="EH792" s="1363"/>
      <c r="EI792" s="1364"/>
      <c r="EJ792" s="1362">
        <f t="shared" si="50"/>
        <v>0</v>
      </c>
      <c r="EK792" s="1363"/>
      <c r="EL792" s="1363"/>
      <c r="EM792" s="1363"/>
      <c r="EN792" s="1364"/>
      <c r="EO792" s="1362">
        <f t="shared" si="51"/>
        <v>0</v>
      </c>
      <c r="EP792" s="1363"/>
      <c r="EQ792" s="1363"/>
      <c r="ER792" s="1363"/>
      <c r="ES792" s="1364"/>
      <c r="ET792" s="1362">
        <f t="shared" si="52"/>
        <v>0</v>
      </c>
      <c r="EU792" s="1363"/>
      <c r="EV792" s="1363"/>
      <c r="EW792" s="1363"/>
      <c r="EX792" s="1364"/>
    </row>
    <row r="793" spans="1:154" s="14" customFormat="1" ht="12.95" customHeight="1">
      <c r="A793"/>
      <c r="B793"/>
      <c r="C793"/>
      <c r="D793"/>
      <c r="E793"/>
      <c r="F793"/>
      <c r="G793"/>
      <c r="H793"/>
      <c r="I793"/>
      <c r="J793" s="1385"/>
      <c r="K793" s="1386"/>
      <c r="L793" s="1386"/>
      <c r="M793" s="1386"/>
      <c r="N793" s="1387"/>
      <c r="O793" s="1525"/>
      <c r="P793" s="1525"/>
      <c r="Q793" s="1525"/>
      <c r="R793" s="1525"/>
      <c r="S793" s="1525"/>
      <c r="T793" s="1341"/>
      <c r="U793" s="1342"/>
      <c r="V793" s="1342"/>
      <c r="W793" s="1343"/>
      <c r="X793" s="1462"/>
      <c r="Y793" s="1463"/>
      <c r="Z793" s="1463"/>
      <c r="AA793" s="1463"/>
      <c r="AB793" s="1464"/>
      <c r="AC793" s="1388">
        <f t="shared" si="40"/>
        <v>0</v>
      </c>
      <c r="AD793" s="1389"/>
      <c r="AE793" s="1389"/>
      <c r="AF793" s="1389"/>
      <c r="AG793" s="139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62">
        <f t="shared" si="41"/>
        <v>0</v>
      </c>
      <c r="CQ793" s="1363"/>
      <c r="CR793" s="1363"/>
      <c r="CS793" s="1363"/>
      <c r="CT793" s="1364"/>
      <c r="CU793" s="1362">
        <f t="shared" si="42"/>
        <v>0</v>
      </c>
      <c r="CV793" s="1363"/>
      <c r="CW793" s="1363"/>
      <c r="CX793" s="1363"/>
      <c r="CY793" s="1364"/>
      <c r="CZ793" s="1362">
        <f t="shared" si="43"/>
        <v>0</v>
      </c>
      <c r="DA793" s="1363"/>
      <c r="DB793" s="1363"/>
      <c r="DC793" s="1363"/>
      <c r="DD793" s="1364"/>
      <c r="DE793" s="1362">
        <f t="shared" si="44"/>
        <v>0</v>
      </c>
      <c r="DF793" s="1363"/>
      <c r="DG793" s="1363"/>
      <c r="DH793" s="1363"/>
      <c r="DI793" s="1364"/>
      <c r="DJ793" s="1362">
        <f t="shared" si="45"/>
        <v>0</v>
      </c>
      <c r="DK793" s="1363"/>
      <c r="DL793" s="1363"/>
      <c r="DM793" s="1363"/>
      <c r="DN793" s="1364"/>
      <c r="DO793" s="1362">
        <f t="shared" si="46"/>
        <v>0</v>
      </c>
      <c r="DP793" s="1363"/>
      <c r="DQ793" s="1363"/>
      <c r="DR793" s="1363"/>
      <c r="DS793" s="1364"/>
      <c r="DT793" s="6"/>
      <c r="DU793" s="1362">
        <f t="shared" si="47"/>
        <v>0</v>
      </c>
      <c r="DV793" s="1363"/>
      <c r="DW793" s="1363"/>
      <c r="DX793" s="1363"/>
      <c r="DY793" s="1364"/>
      <c r="DZ793" s="1362">
        <f t="shared" si="48"/>
        <v>0</v>
      </c>
      <c r="EA793" s="1363"/>
      <c r="EB793" s="1363"/>
      <c r="EC793" s="1363"/>
      <c r="ED793" s="1364"/>
      <c r="EE793" s="1362">
        <f t="shared" si="49"/>
        <v>0</v>
      </c>
      <c r="EF793" s="1363"/>
      <c r="EG793" s="1363"/>
      <c r="EH793" s="1363"/>
      <c r="EI793" s="1364"/>
      <c r="EJ793" s="1362">
        <f t="shared" si="50"/>
        <v>0</v>
      </c>
      <c r="EK793" s="1363"/>
      <c r="EL793" s="1363"/>
      <c r="EM793" s="1363"/>
      <c r="EN793" s="1364"/>
      <c r="EO793" s="1362">
        <f t="shared" si="51"/>
        <v>0</v>
      </c>
      <c r="EP793" s="1363"/>
      <c r="EQ793" s="1363"/>
      <c r="ER793" s="1363"/>
      <c r="ES793" s="1364"/>
      <c r="ET793" s="1362">
        <f t="shared" si="52"/>
        <v>0</v>
      </c>
      <c r="EU793" s="1363"/>
      <c r="EV793" s="1363"/>
      <c r="EW793" s="1363"/>
      <c r="EX793" s="1364"/>
    </row>
    <row r="794" spans="1:154" s="14" customFormat="1" ht="12.95" customHeight="1">
      <c r="A794"/>
      <c r="B794"/>
      <c r="C794"/>
      <c r="D794"/>
      <c r="E794"/>
      <c r="F794"/>
      <c r="G794"/>
      <c r="H794"/>
      <c r="I794"/>
      <c r="J794" s="1385"/>
      <c r="K794" s="1386"/>
      <c r="L794" s="1386"/>
      <c r="M794" s="1386"/>
      <c r="N794" s="1387"/>
      <c r="O794" s="1525"/>
      <c r="P794" s="1525"/>
      <c r="Q794" s="1525"/>
      <c r="R794" s="1525"/>
      <c r="S794" s="1525"/>
      <c r="T794" s="1341"/>
      <c r="U794" s="1342"/>
      <c r="V794" s="1342"/>
      <c r="W794" s="1343"/>
      <c r="X794" s="1462"/>
      <c r="Y794" s="1463"/>
      <c r="Z794" s="1463"/>
      <c r="AA794" s="1463"/>
      <c r="AB794" s="1464"/>
      <c r="AC794" s="1388">
        <f t="shared" si="40"/>
        <v>0</v>
      </c>
      <c r="AD794" s="1389"/>
      <c r="AE794" s="1389"/>
      <c r="AF794" s="1389"/>
      <c r="AG794" s="139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62">
        <f t="shared" si="41"/>
        <v>0</v>
      </c>
      <c r="CQ794" s="1363"/>
      <c r="CR794" s="1363"/>
      <c r="CS794" s="1363"/>
      <c r="CT794" s="1364"/>
      <c r="CU794" s="1362">
        <f t="shared" si="42"/>
        <v>0</v>
      </c>
      <c r="CV794" s="1363"/>
      <c r="CW794" s="1363"/>
      <c r="CX794" s="1363"/>
      <c r="CY794" s="1364"/>
      <c r="CZ794" s="1362">
        <f t="shared" si="43"/>
        <v>0</v>
      </c>
      <c r="DA794" s="1363"/>
      <c r="DB794" s="1363"/>
      <c r="DC794" s="1363"/>
      <c r="DD794" s="1364"/>
      <c r="DE794" s="1362">
        <f t="shared" si="44"/>
        <v>0</v>
      </c>
      <c r="DF794" s="1363"/>
      <c r="DG794" s="1363"/>
      <c r="DH794" s="1363"/>
      <c r="DI794" s="1364"/>
      <c r="DJ794" s="1362">
        <f t="shared" si="45"/>
        <v>0</v>
      </c>
      <c r="DK794" s="1363"/>
      <c r="DL794" s="1363"/>
      <c r="DM794" s="1363"/>
      <c r="DN794" s="1364"/>
      <c r="DO794" s="1362">
        <f t="shared" si="46"/>
        <v>0</v>
      </c>
      <c r="DP794" s="1363"/>
      <c r="DQ794" s="1363"/>
      <c r="DR794" s="1363"/>
      <c r="DS794" s="1364"/>
      <c r="DT794" s="6"/>
      <c r="DU794" s="1362">
        <f t="shared" si="47"/>
        <v>0</v>
      </c>
      <c r="DV794" s="1363"/>
      <c r="DW794" s="1363"/>
      <c r="DX794" s="1363"/>
      <c r="DY794" s="1364"/>
      <c r="DZ794" s="1362">
        <f t="shared" si="48"/>
        <v>0</v>
      </c>
      <c r="EA794" s="1363"/>
      <c r="EB794" s="1363"/>
      <c r="EC794" s="1363"/>
      <c r="ED794" s="1364"/>
      <c r="EE794" s="1362">
        <f t="shared" si="49"/>
        <v>0</v>
      </c>
      <c r="EF794" s="1363"/>
      <c r="EG794" s="1363"/>
      <c r="EH794" s="1363"/>
      <c r="EI794" s="1364"/>
      <c r="EJ794" s="1362">
        <f t="shared" si="50"/>
        <v>0</v>
      </c>
      <c r="EK794" s="1363"/>
      <c r="EL794" s="1363"/>
      <c r="EM794" s="1363"/>
      <c r="EN794" s="1364"/>
      <c r="EO794" s="1362">
        <f t="shared" si="51"/>
        <v>0</v>
      </c>
      <c r="EP794" s="1363"/>
      <c r="EQ794" s="1363"/>
      <c r="ER794" s="1363"/>
      <c r="ES794" s="1364"/>
      <c r="ET794" s="1362">
        <f t="shared" si="52"/>
        <v>0</v>
      </c>
      <c r="EU794" s="1363"/>
      <c r="EV794" s="1363"/>
      <c r="EW794" s="1363"/>
      <c r="EX794" s="1364"/>
    </row>
    <row r="795" spans="1:154" s="14" customFormat="1" ht="12.95" customHeight="1">
      <c r="A795"/>
      <c r="B795"/>
      <c r="C795"/>
      <c r="D795"/>
      <c r="E795"/>
      <c r="F795"/>
      <c r="G795"/>
      <c r="H795"/>
      <c r="I795"/>
      <c r="J795" s="1385"/>
      <c r="K795" s="1386"/>
      <c r="L795" s="1386"/>
      <c r="M795" s="1386"/>
      <c r="N795" s="1387"/>
      <c r="O795" s="1525"/>
      <c r="P795" s="1525"/>
      <c r="Q795" s="1525"/>
      <c r="R795" s="1525"/>
      <c r="S795" s="1525"/>
      <c r="T795" s="1341"/>
      <c r="U795" s="1342"/>
      <c r="V795" s="1342"/>
      <c r="W795" s="1343"/>
      <c r="X795" s="1462"/>
      <c r="Y795" s="1463"/>
      <c r="Z795" s="1463"/>
      <c r="AA795" s="1463"/>
      <c r="AB795" s="1464"/>
      <c r="AC795" s="1388">
        <f t="shared" si="40"/>
        <v>0</v>
      </c>
      <c r="AD795" s="1389"/>
      <c r="AE795" s="1389"/>
      <c r="AF795" s="1389"/>
      <c r="AG795" s="139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62">
        <f t="shared" si="41"/>
        <v>0</v>
      </c>
      <c r="CQ795" s="1363"/>
      <c r="CR795" s="1363"/>
      <c r="CS795" s="1363"/>
      <c r="CT795" s="1364"/>
      <c r="CU795" s="1362">
        <f t="shared" si="42"/>
        <v>0</v>
      </c>
      <c r="CV795" s="1363"/>
      <c r="CW795" s="1363"/>
      <c r="CX795" s="1363"/>
      <c r="CY795" s="1364"/>
      <c r="CZ795" s="1362">
        <f t="shared" si="43"/>
        <v>0</v>
      </c>
      <c r="DA795" s="1363"/>
      <c r="DB795" s="1363"/>
      <c r="DC795" s="1363"/>
      <c r="DD795" s="1364"/>
      <c r="DE795" s="1362">
        <f t="shared" si="44"/>
        <v>0</v>
      </c>
      <c r="DF795" s="1363"/>
      <c r="DG795" s="1363"/>
      <c r="DH795" s="1363"/>
      <c r="DI795" s="1364"/>
      <c r="DJ795" s="1362">
        <f t="shared" si="45"/>
        <v>0</v>
      </c>
      <c r="DK795" s="1363"/>
      <c r="DL795" s="1363"/>
      <c r="DM795" s="1363"/>
      <c r="DN795" s="1364"/>
      <c r="DO795" s="1362">
        <f t="shared" si="46"/>
        <v>0</v>
      </c>
      <c r="DP795" s="1363"/>
      <c r="DQ795" s="1363"/>
      <c r="DR795" s="1363"/>
      <c r="DS795" s="1364"/>
      <c r="DT795" s="6"/>
      <c r="DU795" s="1362">
        <f t="shared" si="47"/>
        <v>0</v>
      </c>
      <c r="DV795" s="1363"/>
      <c r="DW795" s="1363"/>
      <c r="DX795" s="1363"/>
      <c r="DY795" s="1364"/>
      <c r="DZ795" s="1362">
        <f t="shared" si="48"/>
        <v>0</v>
      </c>
      <c r="EA795" s="1363"/>
      <c r="EB795" s="1363"/>
      <c r="EC795" s="1363"/>
      <c r="ED795" s="1364"/>
      <c r="EE795" s="1362">
        <f t="shared" si="49"/>
        <v>0</v>
      </c>
      <c r="EF795" s="1363"/>
      <c r="EG795" s="1363"/>
      <c r="EH795" s="1363"/>
      <c r="EI795" s="1364"/>
      <c r="EJ795" s="1362">
        <f t="shared" si="50"/>
        <v>0</v>
      </c>
      <c r="EK795" s="1363"/>
      <c r="EL795" s="1363"/>
      <c r="EM795" s="1363"/>
      <c r="EN795" s="1364"/>
      <c r="EO795" s="1362">
        <f t="shared" si="51"/>
        <v>0</v>
      </c>
      <c r="EP795" s="1363"/>
      <c r="EQ795" s="1363"/>
      <c r="ER795" s="1363"/>
      <c r="ES795" s="1364"/>
      <c r="ET795" s="1362">
        <f t="shared" si="52"/>
        <v>0</v>
      </c>
      <c r="EU795" s="1363"/>
      <c r="EV795" s="1363"/>
      <c r="EW795" s="1363"/>
      <c r="EX795" s="1364"/>
    </row>
    <row r="796" spans="1:154" s="4" customFormat="1" ht="12.95" customHeight="1">
      <c r="A796"/>
      <c r="B796"/>
      <c r="C796"/>
      <c r="D796"/>
      <c r="E796"/>
      <c r="F796"/>
      <c r="G796"/>
      <c r="H796"/>
      <c r="I796"/>
      <c r="J796" s="1385"/>
      <c r="K796" s="1386"/>
      <c r="L796" s="1386"/>
      <c r="M796" s="1386"/>
      <c r="N796" s="1387"/>
      <c r="O796" s="1525"/>
      <c r="P796" s="1525"/>
      <c r="Q796" s="1525"/>
      <c r="R796" s="1525"/>
      <c r="S796" s="1525"/>
      <c r="T796" s="1341"/>
      <c r="U796" s="1342"/>
      <c r="V796" s="1342"/>
      <c r="W796" s="1343"/>
      <c r="X796" s="1462"/>
      <c r="Y796" s="1463"/>
      <c r="Z796" s="1463"/>
      <c r="AA796" s="1463"/>
      <c r="AB796" s="1464"/>
      <c r="AC796" s="1388">
        <f t="shared" si="40"/>
        <v>0</v>
      </c>
      <c r="AD796" s="1389"/>
      <c r="AE796" s="1389"/>
      <c r="AF796" s="1389"/>
      <c r="AG796" s="1390"/>
      <c r="AH796"/>
      <c r="AI796"/>
      <c r="AJ796"/>
      <c r="AK796"/>
      <c r="AL796"/>
      <c r="AM796"/>
      <c r="AN796"/>
      <c r="AO796"/>
      <c r="AP796"/>
      <c r="AQ796"/>
      <c r="AR796"/>
      <c r="AS796"/>
      <c r="AT796"/>
      <c r="AU796"/>
      <c r="AV796"/>
      <c r="AW796"/>
      <c r="AX796"/>
      <c r="AY796"/>
      <c r="AZ796" s="3"/>
      <c r="CP796" s="1362">
        <f t="shared" si="41"/>
        <v>0</v>
      </c>
      <c r="CQ796" s="1363"/>
      <c r="CR796" s="1363"/>
      <c r="CS796" s="1363"/>
      <c r="CT796" s="1364"/>
      <c r="CU796" s="1362">
        <f t="shared" si="42"/>
        <v>0</v>
      </c>
      <c r="CV796" s="1363"/>
      <c r="CW796" s="1363"/>
      <c r="CX796" s="1363"/>
      <c r="CY796" s="1364"/>
      <c r="CZ796" s="1362">
        <f t="shared" si="43"/>
        <v>0</v>
      </c>
      <c r="DA796" s="1363"/>
      <c r="DB796" s="1363"/>
      <c r="DC796" s="1363"/>
      <c r="DD796" s="1364"/>
      <c r="DE796" s="1362">
        <f t="shared" si="44"/>
        <v>0</v>
      </c>
      <c r="DF796" s="1363"/>
      <c r="DG796" s="1363"/>
      <c r="DH796" s="1363"/>
      <c r="DI796" s="1364"/>
      <c r="DJ796" s="1362">
        <f t="shared" si="45"/>
        <v>0</v>
      </c>
      <c r="DK796" s="1363"/>
      <c r="DL796" s="1363"/>
      <c r="DM796" s="1363"/>
      <c r="DN796" s="1364"/>
      <c r="DO796" s="1362">
        <f t="shared" si="46"/>
        <v>0</v>
      </c>
      <c r="DP796" s="1363"/>
      <c r="DQ796" s="1363"/>
      <c r="DR796" s="1363"/>
      <c r="DS796" s="1364"/>
      <c r="DT796" s="6"/>
      <c r="DU796" s="1362">
        <f t="shared" si="47"/>
        <v>0</v>
      </c>
      <c r="DV796" s="1363"/>
      <c r="DW796" s="1363"/>
      <c r="DX796" s="1363"/>
      <c r="DY796" s="1364"/>
      <c r="DZ796" s="1362">
        <f t="shared" si="48"/>
        <v>0</v>
      </c>
      <c r="EA796" s="1363"/>
      <c r="EB796" s="1363"/>
      <c r="EC796" s="1363"/>
      <c r="ED796" s="1364"/>
      <c r="EE796" s="1362">
        <f t="shared" si="49"/>
        <v>0</v>
      </c>
      <c r="EF796" s="1363"/>
      <c r="EG796" s="1363"/>
      <c r="EH796" s="1363"/>
      <c r="EI796" s="1364"/>
      <c r="EJ796" s="1362">
        <f t="shared" si="50"/>
        <v>0</v>
      </c>
      <c r="EK796" s="1363"/>
      <c r="EL796" s="1363"/>
      <c r="EM796" s="1363"/>
      <c r="EN796" s="1364"/>
      <c r="EO796" s="1362">
        <f t="shared" si="51"/>
        <v>0</v>
      </c>
      <c r="EP796" s="1363"/>
      <c r="EQ796" s="1363"/>
      <c r="ER796" s="1363"/>
      <c r="ES796" s="1364"/>
      <c r="ET796" s="1362">
        <f t="shared" si="52"/>
        <v>0</v>
      </c>
      <c r="EU796" s="1363"/>
      <c r="EV796" s="1363"/>
      <c r="EW796" s="1363"/>
      <c r="EX796" s="1364"/>
    </row>
    <row r="797" spans="1:154" s="4" customFormat="1" ht="12.95" customHeight="1">
      <c r="A797"/>
      <c r="B797"/>
      <c r="C797"/>
      <c r="D797"/>
      <c r="E797"/>
      <c r="F797"/>
      <c r="G797"/>
      <c r="H797"/>
      <c r="I797"/>
      <c r="J797" s="1345" t="s">
        <v>125</v>
      </c>
      <c r="K797" s="1346"/>
      <c r="L797" s="1346"/>
      <c r="M797" s="1346"/>
      <c r="N797" s="1348"/>
      <c r="O797" s="1633">
        <f>SUM(O787:S796)</f>
        <v>0</v>
      </c>
      <c r="P797" s="1633"/>
      <c r="Q797" s="1633"/>
      <c r="R797" s="1633"/>
      <c r="S797" s="1633"/>
      <c r="T797"/>
      <c r="U797"/>
      <c r="V797"/>
      <c r="W797"/>
      <c r="X797" s="902" t="s">
        <v>124</v>
      </c>
      <c r="Y797" s="11"/>
      <c r="Z797" s="11"/>
      <c r="AA797" s="11"/>
      <c r="AB797" s="909"/>
      <c r="AC797" s="1388">
        <f>SUM(AC787:AG796)</f>
        <v>0</v>
      </c>
      <c r="AD797" s="1389"/>
      <c r="AE797" s="1389"/>
      <c r="AF797" s="1389"/>
      <c r="AG797" s="1390"/>
      <c r="AH797"/>
      <c r="AI797"/>
      <c r="AJ797"/>
      <c r="AK797"/>
      <c r="AL797"/>
      <c r="AM797"/>
      <c r="AN797"/>
      <c r="AO797"/>
      <c r="AP797"/>
      <c r="AQ797"/>
      <c r="AR797"/>
      <c r="AS797"/>
      <c r="AT797"/>
      <c r="AU797"/>
      <c r="AV797"/>
      <c r="AW797"/>
      <c r="AX797"/>
      <c r="AY797"/>
      <c r="AZ797" s="3"/>
      <c r="BA797"/>
      <c r="CP797" s="1365">
        <f>SUM(CP787:CT796)</f>
        <v>0</v>
      </c>
      <c r="CQ797" s="1366"/>
      <c r="CR797" s="1366"/>
      <c r="CS797" s="1366"/>
      <c r="CT797" s="1367"/>
      <c r="CU797" s="1378">
        <f>SUM(CU787:CY796)</f>
        <v>0</v>
      </c>
      <c r="CV797" s="1379"/>
      <c r="CW797" s="1379"/>
      <c r="CX797" s="1379"/>
      <c r="CY797" s="1380"/>
      <c r="CZ797" s="1378">
        <f>SUM(CZ787:DD796)</f>
        <v>0</v>
      </c>
      <c r="DA797" s="1379"/>
      <c r="DB797" s="1379"/>
      <c r="DC797" s="1379"/>
      <c r="DD797" s="1380"/>
      <c r="DE797" s="1378">
        <f>SUM(DE787:DI796)</f>
        <v>0</v>
      </c>
      <c r="DF797" s="1379"/>
      <c r="DG797" s="1379"/>
      <c r="DH797" s="1379"/>
      <c r="DI797" s="1380"/>
      <c r="DJ797" s="1378">
        <f>SUM(DJ787:DN796)</f>
        <v>0</v>
      </c>
      <c r="DK797" s="1379"/>
      <c r="DL797" s="1379"/>
      <c r="DM797" s="1379"/>
      <c r="DN797" s="1380"/>
      <c r="DO797" s="1378">
        <f>SUM(DO787:DS796)</f>
        <v>0</v>
      </c>
      <c r="DP797" s="1379"/>
      <c r="DQ797" s="1379"/>
      <c r="DR797" s="1379"/>
      <c r="DS797" s="1380"/>
      <c r="DT797" s="1012"/>
      <c r="DU797" s="1365">
        <f>SUM(DU787:DY796)</f>
        <v>0</v>
      </c>
      <c r="DV797" s="1366"/>
      <c r="DW797" s="1366"/>
      <c r="DX797" s="1366"/>
      <c r="DY797" s="1367"/>
      <c r="DZ797" s="1365">
        <f>SUM(DZ787:ED796)</f>
        <v>0</v>
      </c>
      <c r="EA797" s="1366"/>
      <c r="EB797" s="1366"/>
      <c r="EC797" s="1366"/>
      <c r="ED797" s="1367"/>
      <c r="EE797" s="1365">
        <f>SUM(EE787:EI796)</f>
        <v>0</v>
      </c>
      <c r="EF797" s="1366"/>
      <c r="EG797" s="1366"/>
      <c r="EH797" s="1366"/>
      <c r="EI797" s="1367"/>
      <c r="EJ797" s="1365">
        <f>SUM(EJ787:EN796)</f>
        <v>0</v>
      </c>
      <c r="EK797" s="1366"/>
      <c r="EL797" s="1366"/>
      <c r="EM797" s="1366"/>
      <c r="EN797" s="1367"/>
      <c r="EO797" s="1365">
        <f>SUM(EO787:ES796)</f>
        <v>0</v>
      </c>
      <c r="EP797" s="1366"/>
      <c r="EQ797" s="1366"/>
      <c r="ER797" s="1366"/>
      <c r="ES797" s="1367"/>
      <c r="ET797" s="1365">
        <f>SUM(ET787:EX796)</f>
        <v>0</v>
      </c>
      <c r="EU797" s="1366"/>
      <c r="EV797" s="1366"/>
      <c r="EW797" s="1366"/>
      <c r="EX797" s="1367"/>
    </row>
    <row r="798" spans="1:154" s="4" customFormat="1" ht="12.95" customHeight="1">
      <c r="A798"/>
      <c r="B798"/>
      <c r="C798" s="1401" t="str">
        <f>IF(O797&lt;&gt;AG438,"! Total market rate units in the Unit Mix Table above does not match the number of  market rate units on row #"&amp;TEXT(ROW(D438),"#"),"")</f>
        <v/>
      </c>
      <c r="D798" s="1401"/>
      <c r="E798" s="1401"/>
      <c r="F798" s="1401"/>
      <c r="G798" s="1401"/>
      <c r="H798" s="1401"/>
      <c r="I798" s="1401"/>
      <c r="J798" s="1401"/>
      <c r="K798" s="1401"/>
      <c r="L798" s="1401"/>
      <c r="M798" s="1401"/>
      <c r="N798" s="1401"/>
      <c r="O798" s="1401"/>
      <c r="P798" s="1401"/>
      <c r="Q798" s="1401"/>
      <c r="R798" s="1401"/>
      <c r="S798" s="1401"/>
      <c r="T798" s="1401"/>
      <c r="U798" s="1401"/>
      <c r="V798" s="1401"/>
      <c r="W798" s="1401"/>
      <c r="X798" s="1401"/>
      <c r="Y798" s="1401"/>
      <c r="Z798" s="1401"/>
      <c r="AA798" s="1401"/>
      <c r="AB798" s="1401"/>
      <c r="AC798" s="1401"/>
      <c r="AD798" s="1401"/>
      <c r="AE798" s="1401"/>
      <c r="AF798" s="1401"/>
      <c r="AG798" s="1401"/>
      <c r="AH798" s="1401"/>
      <c r="AI798" s="1401"/>
      <c r="AJ798" s="1401"/>
      <c r="AK798" s="1401"/>
      <c r="AL798" s="1401"/>
      <c r="AM798" s="1401"/>
      <c r="AN798" s="1401"/>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401"/>
      <c r="D799" s="1401"/>
      <c r="E799" s="1401"/>
      <c r="F799" s="1401"/>
      <c r="G799" s="1401"/>
      <c r="H799" s="1401"/>
      <c r="I799" s="1401"/>
      <c r="J799" s="1401"/>
      <c r="K799" s="1401"/>
      <c r="L799" s="1401"/>
      <c r="M799" s="1401"/>
      <c r="N799" s="1401"/>
      <c r="O799" s="1401"/>
      <c r="P799" s="1401"/>
      <c r="Q799" s="1401"/>
      <c r="R799" s="1401"/>
      <c r="S799" s="1401"/>
      <c r="T799" s="1401"/>
      <c r="U799" s="1401"/>
      <c r="V799" s="1401"/>
      <c r="W799" s="1401"/>
      <c r="X799" s="1401"/>
      <c r="Y799" s="1401"/>
      <c r="Z799" s="1401"/>
      <c r="AA799" s="1401"/>
      <c r="AB799" s="1401"/>
      <c r="AC799" s="1401"/>
      <c r="AD799" s="1401"/>
      <c r="AE799" s="1401"/>
      <c r="AF799" s="1401"/>
      <c r="AG799" s="1401"/>
      <c r="AH799" s="1401"/>
      <c r="AI799" s="1401"/>
      <c r="AJ799" s="1401"/>
      <c r="AK799" s="1401"/>
      <c r="AL799" s="1401"/>
      <c r="AM799" s="1401"/>
      <c r="AN799" s="1401"/>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375">
        <f>SUM(DU797:EX797)</f>
        <v>0</v>
      </c>
      <c r="EU799" s="1376"/>
      <c r="EV799" s="1376"/>
      <c r="EW799" s="1376"/>
      <c r="EX799" s="1377"/>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1">
        <f>O753+AC777+AC797</f>
        <v>264022</v>
      </c>
      <c r="Z800" s="1601"/>
      <c r="AA800" s="1601"/>
      <c r="AB800" s="1601"/>
      <c r="AC800" s="1601"/>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1">
        <f>(O753+AC777+AC797)*12</f>
        <v>3168264</v>
      </c>
      <c r="Z801" s="1601"/>
      <c r="AA801" s="1601"/>
      <c r="AB801" s="1601"/>
      <c r="AC801" s="1601"/>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78">
        <f>CP753+CP777+CP797</f>
        <v>0</v>
      </c>
      <c r="CQ802" s="1379"/>
      <c r="CR802" s="1379"/>
      <c r="CS802" s="1379"/>
      <c r="CT802" s="1380"/>
      <c r="CU802" s="1378">
        <f>CU753+CU777+CU797</f>
        <v>46</v>
      </c>
      <c r="CV802" s="1379"/>
      <c r="CW802" s="1379"/>
      <c r="CX802" s="1379"/>
      <c r="CY802" s="1380"/>
      <c r="CZ802" s="1378">
        <f>CZ753+CZ777+CZ797</f>
        <v>42</v>
      </c>
      <c r="DA802" s="1379"/>
      <c r="DB802" s="1379"/>
      <c r="DC802" s="1379"/>
      <c r="DD802" s="1380"/>
      <c r="DE802" s="1378">
        <f>DE753+DE777+DE797</f>
        <v>43</v>
      </c>
      <c r="DF802" s="1379"/>
      <c r="DG802" s="1379"/>
      <c r="DH802" s="1379"/>
      <c r="DI802" s="1380"/>
      <c r="DJ802" s="1378">
        <f>DJ753+DJ777+DJ797</f>
        <v>0</v>
      </c>
      <c r="DK802" s="1379"/>
      <c r="DL802" s="1379"/>
      <c r="DM802" s="1379"/>
      <c r="DN802" s="1380"/>
      <c r="DO802" s="1381">
        <f>DO797+DO777+DO753</f>
        <v>0</v>
      </c>
      <c r="DP802" s="1382"/>
      <c r="DQ802" s="1382"/>
      <c r="DR802" s="1382"/>
      <c r="DS802" s="1383"/>
      <c r="DT802" s="3"/>
      <c r="DU802" s="861">
        <f>DU755+DU800</f>
        <v>256</v>
      </c>
      <c r="DV802" s="57" t="s">
        <v>1863</v>
      </c>
    </row>
    <row r="803" spans="1:126" s="4" customFormat="1" ht="12.95" customHeight="1">
      <c r="A803" s="2" t="s">
        <v>588</v>
      </c>
      <c r="B803" s="2"/>
      <c r="C803" s="2" t="s">
        <v>611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615"/>
      <c r="AA806" s="1613"/>
      <c r="AB806" s="1613"/>
      <c r="AC806" s="1613"/>
      <c r="AD806" s="1613"/>
      <c r="AE806" s="1614"/>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612"/>
      <c r="AA807" s="1613"/>
      <c r="AB807" s="1613"/>
      <c r="AC807" s="1613"/>
      <c r="AD807" s="1613"/>
      <c r="AE807" s="1614"/>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56">
        <v>0</v>
      </c>
      <c r="AA808" s="1514"/>
      <c r="AB808" s="1514"/>
      <c r="AC808" s="1514"/>
      <c r="AD808" s="1514"/>
      <c r="AE808" s="1657"/>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65">
        <f>'Subsidy Contract Calculation'!J40</f>
        <v>0</v>
      </c>
      <c r="AA809" s="1466"/>
      <c r="AB809" s="1466"/>
      <c r="AC809" s="1466"/>
      <c r="AD809" s="1466"/>
      <c r="AE809" s="146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589</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8">
        <v>13100</v>
      </c>
      <c r="AA813" s="1368"/>
      <c r="AB813" s="1368"/>
      <c r="AC813" s="1368"/>
      <c r="AD813" s="1368"/>
      <c r="AE813" s="136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8">
        <v>6550</v>
      </c>
      <c r="AA814" s="1368"/>
      <c r="AB814" s="1368"/>
      <c r="AC814" s="1368"/>
      <c r="AD814" s="1368"/>
      <c r="AE814" s="136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8"/>
      <c r="AA815" s="1368"/>
      <c r="AB815" s="1368"/>
      <c r="AC815" s="1368"/>
      <c r="AD815" s="1368"/>
      <c r="AE815" s="136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43" t="s">
        <v>333</v>
      </c>
      <c r="Q816" s="1644"/>
      <c r="R816" s="1644"/>
      <c r="S816" s="1644"/>
      <c r="T816" s="1644"/>
      <c r="U816" s="1644"/>
      <c r="V816" s="1644"/>
      <c r="W816" s="1644"/>
      <c r="X816" s="1644"/>
      <c r="Y816" s="1645"/>
      <c r="Z816" s="1468"/>
      <c r="AA816" s="1368"/>
      <c r="AB816" s="1368"/>
      <c r="AC816" s="1368"/>
      <c r="AD816" s="1368"/>
      <c r="AE816" s="136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65">
        <f>SUM(Z813:AE816)</f>
        <v>19650</v>
      </c>
      <c r="AA817" s="1466"/>
      <c r="AB817" s="1466"/>
      <c r="AC817" s="1466"/>
      <c r="AD817" s="1466"/>
      <c r="AE817" s="1467"/>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643</v>
      </c>
      <c r="Z818" s="1465">
        <f>Z817+Y801+Z809</f>
        <v>3187914</v>
      </c>
      <c r="AA818" s="1466"/>
      <c r="AB818" s="1466"/>
      <c r="AC818" s="1466"/>
      <c r="AD818" s="1466"/>
      <c r="AE818" s="146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591</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04" t="s">
        <v>126</v>
      </c>
      <c r="N823" s="1604"/>
      <c r="O823" s="1604"/>
      <c r="P823" s="1605"/>
      <c r="Q823" s="1602" t="s">
        <v>289</v>
      </c>
      <c r="R823" s="1602"/>
      <c r="S823" s="1602"/>
      <c r="T823" s="1602"/>
      <c r="U823" s="1602" t="s">
        <v>290</v>
      </c>
      <c r="V823" s="1602"/>
      <c r="W823" s="1602"/>
      <c r="X823" s="1602"/>
      <c r="Y823" s="1602" t="s">
        <v>291</v>
      </c>
      <c r="Z823" s="1602"/>
      <c r="AA823" s="1602"/>
      <c r="AB823" s="1602"/>
      <c r="AC823" s="1602" t="s">
        <v>360</v>
      </c>
      <c r="AD823" s="1602"/>
      <c r="AE823" s="1602"/>
      <c r="AF823" s="1602"/>
      <c r="AG823" s="1608" t="s">
        <v>334</v>
      </c>
      <c r="AH823" s="1608"/>
      <c r="AI823" s="1608"/>
      <c r="AJ823" s="1608"/>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06"/>
      <c r="N824" s="1606"/>
      <c r="O824" s="1606"/>
      <c r="P824" s="1607"/>
      <c r="Q824" s="1602"/>
      <c r="R824" s="1602"/>
      <c r="S824" s="1602"/>
      <c r="T824" s="1602"/>
      <c r="U824" s="1602"/>
      <c r="V824" s="1602"/>
      <c r="W824" s="1602"/>
      <c r="X824" s="1602"/>
      <c r="Y824" s="1602"/>
      <c r="Z824" s="1602"/>
      <c r="AA824" s="1602"/>
      <c r="AB824" s="1602"/>
      <c r="AC824" s="1602"/>
      <c r="AD824" s="1602"/>
      <c r="AE824" s="1602"/>
      <c r="AF824" s="1602"/>
      <c r="AG824" s="1608"/>
      <c r="AH824" s="1608"/>
      <c r="AI824" s="1608"/>
      <c r="AJ824" s="1608"/>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603" t="s">
        <v>40</v>
      </c>
      <c r="D825" s="1475"/>
      <c r="E825" s="1475"/>
      <c r="F825" s="1475"/>
      <c r="G825" s="1475"/>
      <c r="H825" s="1475"/>
      <c r="I825" s="48"/>
      <c r="J825" s="48"/>
      <c r="K825" s="48"/>
      <c r="L825" s="49"/>
      <c r="M825" s="1600"/>
      <c r="N825" s="1600"/>
      <c r="O825" s="1600"/>
      <c r="P825" s="1600"/>
      <c r="Q825" s="1600">
        <v>2.08</v>
      </c>
      <c r="R825" s="1600"/>
      <c r="S825" s="1600"/>
      <c r="T825" s="1600"/>
      <c r="U825" s="1600">
        <v>2.64</v>
      </c>
      <c r="V825" s="1600"/>
      <c r="W825" s="1600"/>
      <c r="X825" s="1600"/>
      <c r="Y825" s="1600">
        <v>2.61</v>
      </c>
      <c r="Z825" s="1600"/>
      <c r="AA825" s="1600"/>
      <c r="AB825" s="1600"/>
      <c r="AC825" s="1481"/>
      <c r="AD825" s="1482"/>
      <c r="AE825" s="1482"/>
      <c r="AF825" s="1483"/>
      <c r="AG825" s="1481"/>
      <c r="AH825" s="1482"/>
      <c r="AI825" s="1482"/>
      <c r="AJ825" s="1483"/>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504" t="s">
        <v>41</v>
      </c>
      <c r="D826" s="1450"/>
      <c r="E826" s="1450"/>
      <c r="F826" s="1450"/>
      <c r="G826" s="1450"/>
      <c r="H826" s="1450"/>
      <c r="I826" s="5"/>
      <c r="J826" s="5"/>
      <c r="K826" s="5"/>
      <c r="L826" s="46"/>
      <c r="M826" s="1600"/>
      <c r="N826" s="1600"/>
      <c r="O826" s="1600"/>
      <c r="P826" s="1600"/>
      <c r="Q826" s="1600">
        <v>6.05</v>
      </c>
      <c r="R826" s="1600"/>
      <c r="S826" s="1600"/>
      <c r="T826" s="1600"/>
      <c r="U826" s="1600">
        <v>5.22</v>
      </c>
      <c r="V826" s="1600"/>
      <c r="W826" s="1600"/>
      <c r="X826" s="1600"/>
      <c r="Y826" s="1600">
        <v>6.32</v>
      </c>
      <c r="Z826" s="1600"/>
      <c r="AA826" s="1600"/>
      <c r="AB826" s="1600"/>
      <c r="AC826" s="1481"/>
      <c r="AD826" s="1482"/>
      <c r="AE826" s="1482"/>
      <c r="AF826" s="1483"/>
      <c r="AG826" s="1481"/>
      <c r="AH826" s="1482"/>
      <c r="AI826" s="1482"/>
      <c r="AJ826" s="1483"/>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504" t="s">
        <v>42</v>
      </c>
      <c r="D827" s="1450"/>
      <c r="E827" s="1450"/>
      <c r="F827" s="1450"/>
      <c r="G827" s="1450"/>
      <c r="H827" s="1450"/>
      <c r="I827" s="60"/>
      <c r="J827" s="60"/>
      <c r="K827" s="60"/>
      <c r="L827" s="61"/>
      <c r="M827" s="1600"/>
      <c r="N827" s="1600"/>
      <c r="O827" s="1600"/>
      <c r="P827" s="1600"/>
      <c r="Q827" s="1600">
        <v>2.16</v>
      </c>
      <c r="R827" s="1600"/>
      <c r="S827" s="1600"/>
      <c r="T827" s="1600"/>
      <c r="U827" s="1600">
        <v>1.71</v>
      </c>
      <c r="V827" s="1600"/>
      <c r="W827" s="1600"/>
      <c r="X827" s="1600"/>
      <c r="Y827" s="1600">
        <v>2.02</v>
      </c>
      <c r="Z827" s="1600"/>
      <c r="AA827" s="1600"/>
      <c r="AB827" s="1600"/>
      <c r="AC827" s="1481"/>
      <c r="AD827" s="1482"/>
      <c r="AE827" s="1482"/>
      <c r="AF827" s="1483"/>
      <c r="AG827" s="1481"/>
      <c r="AH827" s="1482"/>
      <c r="AI827" s="1482"/>
      <c r="AJ827" s="1483"/>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504" t="s">
        <v>761</v>
      </c>
      <c r="D828" s="1450"/>
      <c r="E828" s="1450"/>
      <c r="F828" s="1450"/>
      <c r="G828" s="1450"/>
      <c r="H828" s="1450"/>
      <c r="I828" s="60"/>
      <c r="J828" s="60"/>
      <c r="K828" s="60"/>
      <c r="L828" s="61"/>
      <c r="M828" s="1600"/>
      <c r="N828" s="1600"/>
      <c r="O828" s="1600"/>
      <c r="P828" s="1600"/>
      <c r="Q828" s="1600">
        <v>1.75</v>
      </c>
      <c r="R828" s="1600"/>
      <c r="S828" s="1600"/>
      <c r="T828" s="1600"/>
      <c r="U828" s="1600">
        <v>1.76</v>
      </c>
      <c r="V828" s="1600"/>
      <c r="W828" s="1600"/>
      <c r="X828" s="1600"/>
      <c r="Y828" s="1600">
        <v>2.13</v>
      </c>
      <c r="Z828" s="1600"/>
      <c r="AA828" s="1600"/>
      <c r="AB828" s="1600"/>
      <c r="AC828" s="1481"/>
      <c r="AD828" s="1482"/>
      <c r="AE828" s="1482"/>
      <c r="AF828" s="1483"/>
      <c r="AG828" s="1481"/>
      <c r="AH828" s="1482"/>
      <c r="AI828" s="1482"/>
      <c r="AJ828" s="1483"/>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504" t="s">
        <v>458</v>
      </c>
      <c r="D829" s="1450"/>
      <c r="E829" s="1450"/>
      <c r="F829" s="1450"/>
      <c r="G829" s="1450"/>
      <c r="H829" s="1450"/>
      <c r="I829" s="60"/>
      <c r="J829" s="60"/>
      <c r="K829" s="60"/>
      <c r="L829" s="61"/>
      <c r="M829" s="1600"/>
      <c r="N829" s="1600"/>
      <c r="O829" s="1600"/>
      <c r="P829" s="1600"/>
      <c r="Q829" s="1600">
        <v>24.55</v>
      </c>
      <c r="R829" s="1600"/>
      <c r="S829" s="1600"/>
      <c r="T829" s="1600"/>
      <c r="U829" s="1600">
        <v>21.4</v>
      </c>
      <c r="V829" s="1600"/>
      <c r="W829" s="1600"/>
      <c r="X829" s="1600"/>
      <c r="Y829" s="1600">
        <v>26.56</v>
      </c>
      <c r="Z829" s="1600"/>
      <c r="AA829" s="1600"/>
      <c r="AB829" s="1600"/>
      <c r="AC829" s="1481"/>
      <c r="AD829" s="1482"/>
      <c r="AE829" s="1482"/>
      <c r="AF829" s="1483"/>
      <c r="AG829" s="1481"/>
      <c r="AH829" s="1482"/>
      <c r="AI829" s="1482"/>
      <c r="AJ829" s="1483"/>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711" t="s">
        <v>782</v>
      </c>
      <c r="D830" s="1450"/>
      <c r="E830" s="1450"/>
      <c r="F830" s="1450"/>
      <c r="G830" s="1450"/>
      <c r="H830" s="1450"/>
      <c r="I830" s="60"/>
      <c r="J830" s="60"/>
      <c r="K830" s="60"/>
      <c r="L830" s="61"/>
      <c r="M830" s="1600"/>
      <c r="N830" s="1600"/>
      <c r="O830" s="1600"/>
      <c r="P830" s="1600"/>
      <c r="Q830" s="1600"/>
      <c r="R830" s="1600"/>
      <c r="S830" s="1600"/>
      <c r="T830" s="1600"/>
      <c r="U830" s="1600"/>
      <c r="V830" s="1600"/>
      <c r="W830" s="1600"/>
      <c r="X830" s="1600"/>
      <c r="Y830" s="1600"/>
      <c r="Z830" s="1600"/>
      <c r="AA830" s="1600"/>
      <c r="AB830" s="1600"/>
      <c r="AC830" s="1481"/>
      <c r="AD830" s="1482"/>
      <c r="AE830" s="1482"/>
      <c r="AF830" s="1483"/>
      <c r="AG830" s="1481"/>
      <c r="AH830" s="1482"/>
      <c r="AI830" s="1482"/>
      <c r="AJ830" s="1483"/>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292</v>
      </c>
      <c r="D831" s="60"/>
      <c r="E831" s="60"/>
      <c r="F831" s="1643" t="s">
        <v>2714</v>
      </c>
      <c r="G831" s="1644"/>
      <c r="H831" s="1644"/>
      <c r="I831" s="1644"/>
      <c r="J831" s="1644"/>
      <c r="K831" s="1644"/>
      <c r="L831" s="1644"/>
      <c r="M831" s="1600"/>
      <c r="N831" s="1600"/>
      <c r="O831" s="1600"/>
      <c r="P831" s="1600"/>
      <c r="Q831" s="1600">
        <v>3.36</v>
      </c>
      <c r="R831" s="1600"/>
      <c r="S831" s="1600"/>
      <c r="T831" s="1600"/>
      <c r="U831" s="1600">
        <v>3.26</v>
      </c>
      <c r="V831" s="1600"/>
      <c r="W831" s="1600"/>
      <c r="X831" s="1600"/>
      <c r="Y831" s="1600">
        <v>4.3600000000000003</v>
      </c>
      <c r="Z831" s="1600"/>
      <c r="AA831" s="1600"/>
      <c r="AB831" s="1600"/>
      <c r="AC831" s="1481"/>
      <c r="AD831" s="1482"/>
      <c r="AE831" s="1482"/>
      <c r="AF831" s="1483"/>
      <c r="AG831" s="1481"/>
      <c r="AH831" s="1482"/>
      <c r="AI831" s="1482"/>
      <c r="AJ831" s="1483"/>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345" t="s">
        <v>124</v>
      </c>
      <c r="D832" s="1346"/>
      <c r="E832" s="1346"/>
      <c r="F832" s="1346"/>
      <c r="G832" s="1346"/>
      <c r="H832" s="1346"/>
      <c r="I832" s="1346"/>
      <c r="J832" s="1346"/>
      <c r="K832" s="1346"/>
      <c r="L832" s="1348"/>
      <c r="M832" s="1652">
        <f>SUM(M825:P831)</f>
        <v>0</v>
      </c>
      <c r="N832" s="1652"/>
      <c r="O832" s="1652"/>
      <c r="P832" s="1652"/>
      <c r="Q832" s="1652">
        <f>SUM(Q825:T831)</f>
        <v>39.950000000000003</v>
      </c>
      <c r="R832" s="1652"/>
      <c r="S832" s="1652"/>
      <c r="T832" s="1652"/>
      <c r="U832" s="1652">
        <f>SUM(U825:X831)</f>
        <v>35.989999999999995</v>
      </c>
      <c r="V832" s="1652"/>
      <c r="W832" s="1652"/>
      <c r="X832" s="1652"/>
      <c r="Y832" s="1652">
        <f>SUM(Y825:AB831)</f>
        <v>44</v>
      </c>
      <c r="Z832" s="1652"/>
      <c r="AA832" s="1652"/>
      <c r="AB832" s="1652"/>
      <c r="AC832" s="1652">
        <f>SUM(AC825:AF831)</f>
        <v>0</v>
      </c>
      <c r="AD832" s="1652"/>
      <c r="AE832" s="1652"/>
      <c r="AF832" s="1652"/>
      <c r="AG832" s="1652">
        <f>SUM(AG825:AJ831)</f>
        <v>0</v>
      </c>
      <c r="AH832" s="1652"/>
      <c r="AI832" s="1652"/>
      <c r="AJ832" s="1652"/>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783</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784</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30" t="s">
        <v>2713</v>
      </c>
      <c r="D837" s="1631"/>
      <c r="E837" s="1631"/>
      <c r="F837" s="1631"/>
      <c r="G837" s="1631"/>
      <c r="H837" s="1631"/>
      <c r="I837" s="1631"/>
      <c r="J837" s="1631"/>
      <c r="K837" s="1631"/>
      <c r="L837" s="1631"/>
      <c r="M837" s="1631"/>
      <c r="N837" s="1631"/>
      <c r="O837" s="1631"/>
      <c r="P837" s="1631"/>
      <c r="Q837" s="1631"/>
      <c r="R837" s="1631"/>
      <c r="S837" s="1631"/>
      <c r="T837" s="1631"/>
      <c r="U837" s="1631"/>
      <c r="V837" s="1631"/>
      <c r="W837" s="1631"/>
      <c r="X837" s="1631"/>
      <c r="Y837" s="1631"/>
      <c r="Z837" s="1631"/>
      <c r="AA837" s="1631"/>
      <c r="AB837" s="1631"/>
      <c r="AC837" s="1631"/>
      <c r="AD837" s="1631"/>
      <c r="AE837" s="1631"/>
      <c r="AF837" s="1631"/>
      <c r="AG837" s="1631"/>
      <c r="AH837" s="1631"/>
      <c r="AI837" s="1631"/>
      <c r="AJ837" s="1632"/>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1156</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466</v>
      </c>
      <c r="B840"/>
      <c r="C840" s="2" t="s">
        <v>759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0"/>
      <c r="BJ841" s="1650"/>
      <c r="BK841" s="1650"/>
      <c r="BL841" s="1650"/>
    </row>
    <row r="842" spans="1:64" s="14" customFormat="1" ht="12.95" customHeight="1">
      <c r="A842"/>
      <c r="B842"/>
      <c r="C842" s="2" t="s">
        <v>342</v>
      </c>
      <c r="D842"/>
      <c r="E842"/>
      <c r="F842"/>
      <c r="G842"/>
      <c r="H842"/>
      <c r="I842"/>
      <c r="J842" s="45" t="s">
        <v>355</v>
      </c>
      <c r="K842" s="5"/>
      <c r="L842" s="5"/>
      <c r="M842" s="5"/>
      <c r="N842" s="5"/>
      <c r="O842" s="5"/>
      <c r="P842" s="5"/>
      <c r="Q842" s="5"/>
      <c r="R842" s="5"/>
      <c r="S842" s="5"/>
      <c r="T842" s="5"/>
      <c r="U842" s="5"/>
      <c r="V842" s="46"/>
      <c r="W842" s="1639">
        <v>14800</v>
      </c>
      <c r="X842" s="1639"/>
      <c r="Y842" s="1639"/>
      <c r="Z842" s="1639"/>
      <c r="AA842" s="1639"/>
      <c r="AB842" s="1639"/>
      <c r="AC842" s="1639"/>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354</v>
      </c>
      <c r="K843" s="5"/>
      <c r="L843" s="5"/>
      <c r="M843" s="5"/>
      <c r="N843" s="5"/>
      <c r="O843" s="5"/>
      <c r="P843" s="5"/>
      <c r="Q843" s="5"/>
      <c r="R843" s="5"/>
      <c r="S843" s="5"/>
      <c r="T843" s="5"/>
      <c r="U843" s="5"/>
      <c r="V843" s="46"/>
      <c r="W843" s="1639">
        <v>2500</v>
      </c>
      <c r="X843" s="1639"/>
      <c r="Y843" s="1639"/>
      <c r="Z843" s="1639"/>
      <c r="AA843" s="1639"/>
      <c r="AB843" s="1639"/>
      <c r="AC843" s="1639"/>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353</v>
      </c>
      <c r="K844" s="5"/>
      <c r="L844" s="5"/>
      <c r="M844" s="5"/>
      <c r="N844" s="5"/>
      <c r="O844" s="5"/>
      <c r="P844" s="5"/>
      <c r="Q844" s="5"/>
      <c r="R844" s="5"/>
      <c r="S844" s="5"/>
      <c r="T844" s="5"/>
      <c r="U844" s="5"/>
      <c r="V844" s="46"/>
      <c r="W844" s="1639">
        <v>2500</v>
      </c>
      <c r="X844" s="1639"/>
      <c r="Y844" s="1639"/>
      <c r="Z844" s="1639"/>
      <c r="AA844" s="1639"/>
      <c r="AB844" s="1639"/>
      <c r="AC844" s="1639"/>
      <c r="AZ844" s="30"/>
      <c r="BA844" s="30"/>
      <c r="BB844" s="14"/>
      <c r="BC844" s="14"/>
      <c r="BD844" s="14"/>
      <c r="BE844" s="14"/>
      <c r="BF844" s="14"/>
      <c r="BG844" s="14"/>
      <c r="BH844" s="14"/>
      <c r="BI844" s="14"/>
      <c r="BJ844" s="14"/>
      <c r="BK844" s="14"/>
      <c r="BL844" s="14"/>
    </row>
    <row r="845" spans="1:64" ht="12.95" customHeight="1">
      <c r="J845" s="45" t="s">
        <v>352</v>
      </c>
      <c r="K845" s="5"/>
      <c r="L845" s="5"/>
      <c r="M845" s="5"/>
      <c r="N845" s="5"/>
      <c r="O845" s="5"/>
      <c r="P845" s="5"/>
      <c r="Q845" s="5"/>
      <c r="R845" s="5"/>
      <c r="S845" s="5"/>
      <c r="T845" s="5"/>
      <c r="U845" s="5"/>
      <c r="V845" s="46"/>
      <c r="W845" s="1639">
        <v>1800</v>
      </c>
      <c r="X845" s="1639"/>
      <c r="Y845" s="1639"/>
      <c r="Z845" s="1639"/>
      <c r="AA845" s="1639"/>
      <c r="AB845" s="1639"/>
      <c r="AC845" s="1639"/>
      <c r="AZ845" s="30"/>
      <c r="BA845" s="30"/>
      <c r="BB845" s="14"/>
      <c r="BC845" s="14"/>
      <c r="BD845" s="14"/>
      <c r="BE845" s="14"/>
      <c r="BF845" s="14"/>
      <c r="BG845" s="14"/>
      <c r="BH845" s="14"/>
      <c r="BI845" s="14"/>
      <c r="BJ845" s="14"/>
      <c r="BK845" s="14"/>
      <c r="BL845" s="14"/>
    </row>
    <row r="846" spans="1:64" ht="12.95" customHeight="1">
      <c r="J846" s="45" t="s">
        <v>169</v>
      </c>
      <c r="K846" s="5"/>
      <c r="L846" s="5"/>
      <c r="M846" s="1643" t="s">
        <v>2716</v>
      </c>
      <c r="N846" s="1644"/>
      <c r="O846" s="1644"/>
      <c r="P846" s="1644"/>
      <c r="Q846" s="1644"/>
      <c r="R846" s="1644"/>
      <c r="S846" s="1644"/>
      <c r="T846" s="1644"/>
      <c r="U846" s="1644"/>
      <c r="V846" s="1645"/>
      <c r="W846" s="1639">
        <v>136870</v>
      </c>
      <c r="X846" s="1639"/>
      <c r="Y846" s="1639"/>
      <c r="Z846" s="1639"/>
      <c r="AA846" s="1639"/>
      <c r="AB846" s="1639"/>
      <c r="AC846" s="1639"/>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341</v>
      </c>
      <c r="W847" s="1465">
        <f>SUM(W842:W846)</f>
        <v>158470</v>
      </c>
      <c r="X847" s="1466"/>
      <c r="Y847" s="1466"/>
      <c r="Z847" s="1466"/>
      <c r="AA847" s="1466"/>
      <c r="AB847" s="1466"/>
      <c r="AC847" s="1467"/>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4"/>
      <c r="BH848" s="1634"/>
      <c r="BI848" s="1634"/>
      <c r="BJ848" s="1634"/>
      <c r="BK848" s="1634"/>
      <c r="BL848" s="1634"/>
    </row>
    <row r="849" spans="3:55" ht="12.95" customHeight="1">
      <c r="C849" s="2" t="s">
        <v>343</v>
      </c>
      <c r="J849" s="1345" t="s">
        <v>344</v>
      </c>
      <c r="K849" s="1346"/>
      <c r="L849" s="1346"/>
      <c r="M849" s="1346"/>
      <c r="N849" s="1346"/>
      <c r="O849" s="1346"/>
      <c r="P849" s="1346"/>
      <c r="Q849" s="1346"/>
      <c r="R849" s="1346"/>
      <c r="S849" s="1346"/>
      <c r="T849" s="1346"/>
      <c r="U849" s="1346"/>
      <c r="V849" s="1348"/>
      <c r="W849" s="1468">
        <v>120200</v>
      </c>
      <c r="X849" s="1368"/>
      <c r="Y849" s="1368"/>
      <c r="Z849" s="1368"/>
      <c r="AA849" s="1368"/>
      <c r="AB849" s="1368"/>
      <c r="AC849" s="1369"/>
      <c r="AD849" s="533"/>
      <c r="AZ849" s="30"/>
      <c r="BA849" s="30"/>
      <c r="BB849" s="14"/>
      <c r="BC849" s="14"/>
    </row>
    <row r="850" spans="3:55" ht="12.95" customHeight="1">
      <c r="AD850" s="533"/>
      <c r="AZ850" s="30"/>
      <c r="BA850" s="30"/>
      <c r="BB850" s="14"/>
      <c r="BC850" s="14"/>
    </row>
    <row r="851" spans="3:55" ht="12.95" customHeight="1">
      <c r="C851" s="2" t="s">
        <v>560</v>
      </c>
      <c r="J851" s="45" t="s">
        <v>351</v>
      </c>
      <c r="K851" s="5"/>
      <c r="L851" s="5"/>
      <c r="M851" s="5"/>
      <c r="N851" s="5"/>
      <c r="O851" s="5"/>
      <c r="P851" s="5"/>
      <c r="Q851" s="5"/>
      <c r="R851" s="5"/>
      <c r="S851" s="5"/>
      <c r="T851" s="5"/>
      <c r="U851" s="5"/>
      <c r="V851" s="46"/>
      <c r="W851" s="1629"/>
      <c r="X851" s="1629"/>
      <c r="Y851" s="1629"/>
      <c r="Z851" s="1629"/>
      <c r="AA851" s="1629"/>
      <c r="AB851" s="1629"/>
      <c r="AC851" s="1629"/>
      <c r="AZ851" s="1658"/>
      <c r="BA851" s="1658"/>
      <c r="BB851" s="14"/>
      <c r="BC851" s="14"/>
    </row>
    <row r="852" spans="3:55" ht="12.95" customHeight="1">
      <c r="J852" s="45" t="s">
        <v>350</v>
      </c>
      <c r="K852" s="5"/>
      <c r="L852" s="5"/>
      <c r="M852" s="5"/>
      <c r="N852" s="5"/>
      <c r="O852" s="5"/>
      <c r="P852" s="5"/>
      <c r="Q852" s="5"/>
      <c r="R852" s="5"/>
      <c r="S852" s="5"/>
      <c r="T852" s="5"/>
      <c r="U852" s="5"/>
      <c r="V852" s="46"/>
      <c r="W852" s="1629">
        <v>2500</v>
      </c>
      <c r="X852" s="1629"/>
      <c r="Y852" s="1629"/>
      <c r="Z852" s="1629"/>
      <c r="AA852" s="1629"/>
      <c r="AB852" s="1629"/>
      <c r="AC852" s="1629"/>
      <c r="AZ852" s="30"/>
      <c r="BA852" s="30"/>
      <c r="BB852" s="14"/>
      <c r="BC852" s="14"/>
    </row>
    <row r="853" spans="3:55" ht="12.95" customHeight="1">
      <c r="J853" s="45" t="s">
        <v>458</v>
      </c>
      <c r="K853" s="5"/>
      <c r="L853" s="5"/>
      <c r="M853" s="5"/>
      <c r="N853" s="5"/>
      <c r="O853" s="5"/>
      <c r="P853" s="5"/>
      <c r="Q853" s="5"/>
      <c r="R853" s="5"/>
      <c r="S853" s="5"/>
      <c r="T853" s="5"/>
      <c r="U853" s="5"/>
      <c r="V853" s="46"/>
      <c r="W853" s="1629">
        <v>19700</v>
      </c>
      <c r="X853" s="1629"/>
      <c r="Y853" s="1629"/>
      <c r="Z853" s="1629"/>
      <c r="AA853" s="1629"/>
      <c r="AB853" s="1629"/>
      <c r="AC853" s="1629"/>
      <c r="AZ853" s="30"/>
      <c r="BA853" s="30"/>
      <c r="BB853" s="14"/>
      <c r="BC853" s="14"/>
    </row>
    <row r="854" spans="3:55" ht="12.95" customHeight="1">
      <c r="J854" s="62" t="s">
        <v>619</v>
      </c>
      <c r="K854" s="5"/>
      <c r="L854" s="5"/>
      <c r="M854" s="5"/>
      <c r="N854" s="5"/>
      <c r="O854" s="5"/>
      <c r="P854" s="5"/>
      <c r="Q854" s="5"/>
      <c r="R854" s="5"/>
      <c r="S854" s="5"/>
      <c r="T854" s="5"/>
      <c r="U854" s="5"/>
      <c r="V854" s="46"/>
      <c r="W854" s="1629">
        <v>98300</v>
      </c>
      <c r="X854" s="1629"/>
      <c r="Y854" s="1629"/>
      <c r="Z854" s="1629"/>
      <c r="AA854" s="1629"/>
      <c r="AB854" s="1629"/>
      <c r="AC854" s="1629"/>
      <c r="AZ854" s="34"/>
      <c r="BA854" s="34"/>
      <c r="BB854" s="34"/>
      <c r="BC854" s="34"/>
    </row>
    <row r="855" spans="3:55" ht="12.95" customHeight="1">
      <c r="J855" s="63"/>
      <c r="K855" s="48"/>
      <c r="L855" s="48"/>
      <c r="M855" s="48"/>
      <c r="N855" s="48"/>
      <c r="O855" s="48"/>
      <c r="P855" s="48"/>
      <c r="Q855" s="48"/>
      <c r="R855" s="48"/>
      <c r="S855" s="48"/>
      <c r="T855" s="48"/>
      <c r="U855" s="48"/>
      <c r="V855" s="54" t="s">
        <v>271</v>
      </c>
      <c r="W855" s="1628">
        <f>SUM(W851:W854)</f>
        <v>120500</v>
      </c>
      <c r="X855" s="1628"/>
      <c r="Y855" s="1628"/>
      <c r="Z855" s="1628"/>
      <c r="AA855" s="1628"/>
      <c r="AB855" s="1628"/>
      <c r="AC855" s="1628"/>
      <c r="AZ855" s="34"/>
      <c r="BA855" s="34"/>
      <c r="BB855" s="34"/>
      <c r="BC855" s="34"/>
    </row>
    <row r="856" spans="3:55" ht="12.95" customHeight="1">
      <c r="AZ856" s="34"/>
      <c r="BA856" s="34"/>
      <c r="BB856" s="34"/>
      <c r="BC856" s="34"/>
    </row>
    <row r="857" spans="3:55" ht="12.95" customHeight="1">
      <c r="C857" s="2" t="s">
        <v>345</v>
      </c>
      <c r="J857" s="45" t="s">
        <v>618</v>
      </c>
      <c r="K857" s="5"/>
      <c r="L857" s="5"/>
      <c r="M857" s="5"/>
      <c r="N857" s="5"/>
      <c r="O857" s="5"/>
      <c r="P857" s="5"/>
      <c r="Q857" s="5"/>
      <c r="R857" s="5"/>
      <c r="S857" s="5"/>
      <c r="T857" s="5"/>
      <c r="U857" s="5"/>
      <c r="V857" s="46"/>
      <c r="W857" s="1625">
        <v>62880</v>
      </c>
      <c r="X857" s="1626"/>
      <c r="Y857" s="1626"/>
      <c r="Z857" s="1626"/>
      <c r="AA857" s="1626"/>
      <c r="AB857" s="1626"/>
      <c r="AC857" s="1627"/>
      <c r="AD857" s="528"/>
      <c r="AZ857" s="34"/>
      <c r="BA857" s="34"/>
      <c r="BB857" s="34"/>
      <c r="BC857" s="34"/>
    </row>
    <row r="858" spans="3:55" ht="12.95" customHeight="1">
      <c r="C858" s="2" t="s">
        <v>346</v>
      </c>
      <c r="J858" s="121" t="s">
        <v>1655</v>
      </c>
      <c r="K858" s="5"/>
      <c r="L858" s="5"/>
      <c r="M858" s="5"/>
      <c r="N858" s="5"/>
      <c r="O858" s="5"/>
      <c r="P858" s="5"/>
      <c r="Q858" s="5"/>
      <c r="R858" s="5"/>
      <c r="S858" s="5"/>
      <c r="T858" s="1636">
        <v>1</v>
      </c>
      <c r="U858" s="1637"/>
      <c r="V858" s="1638"/>
      <c r="W858" s="874"/>
      <c r="X858" s="875"/>
      <c r="Y858" s="875"/>
      <c r="Z858" s="875"/>
      <c r="AA858" s="875"/>
      <c r="AB858" s="875"/>
      <c r="AC858" s="876"/>
      <c r="AD858" s="528"/>
      <c r="AZ858" s="34"/>
      <c r="BA858" s="34"/>
      <c r="BB858" s="34"/>
      <c r="BC858" s="34"/>
    </row>
    <row r="859" spans="3:55" ht="12.95" customHeight="1">
      <c r="C859" s="2"/>
      <c r="J859" s="45" t="s">
        <v>617</v>
      </c>
      <c r="K859" s="5"/>
      <c r="L859" s="5"/>
      <c r="M859" s="5"/>
      <c r="N859" s="5"/>
      <c r="O859" s="5"/>
      <c r="P859" s="5"/>
      <c r="Q859" s="5"/>
      <c r="R859" s="5"/>
      <c r="S859" s="5"/>
      <c r="T859" s="5"/>
      <c r="U859" s="5"/>
      <c r="V859" s="46"/>
      <c r="W859" s="1625">
        <v>59000</v>
      </c>
      <c r="X859" s="1626"/>
      <c r="Y859" s="1626"/>
      <c r="Z859" s="1626"/>
      <c r="AA859" s="1626"/>
      <c r="AB859" s="1626"/>
      <c r="AC859" s="1627"/>
      <c r="AD859" s="533"/>
      <c r="AZ859" s="34"/>
      <c r="BA859" s="34"/>
      <c r="BB859" s="34"/>
      <c r="BC859" s="34"/>
    </row>
    <row r="860" spans="3:55" ht="12.95" customHeight="1">
      <c r="C860" s="2"/>
      <c r="J860" s="121" t="s">
        <v>1656</v>
      </c>
      <c r="K860" s="5"/>
      <c r="L860" s="5"/>
      <c r="M860" s="5"/>
      <c r="N860" s="5"/>
      <c r="O860" s="5"/>
      <c r="P860" s="5"/>
      <c r="Q860" s="5"/>
      <c r="R860" s="5"/>
      <c r="S860" s="5"/>
      <c r="T860" s="1636">
        <v>1</v>
      </c>
      <c r="U860" s="1637"/>
      <c r="V860" s="1638"/>
      <c r="W860" s="874"/>
      <c r="X860" s="875"/>
      <c r="Y860" s="875"/>
      <c r="Z860" s="875"/>
      <c r="AA860" s="875"/>
      <c r="AB860" s="875"/>
      <c r="AC860" s="876"/>
      <c r="AD860" s="533"/>
      <c r="AZ860" s="34"/>
      <c r="BA860" s="34"/>
      <c r="BB860" s="34"/>
      <c r="BC860" s="34"/>
    </row>
    <row r="861" spans="3:55" ht="12.95" customHeight="1">
      <c r="J861" s="45" t="s">
        <v>169</v>
      </c>
      <c r="K861" s="5"/>
      <c r="L861" s="5"/>
      <c r="M861" s="1643" t="s">
        <v>2717</v>
      </c>
      <c r="N861" s="1644"/>
      <c r="O861" s="1644"/>
      <c r="P861" s="1644"/>
      <c r="Q861" s="1644"/>
      <c r="R861" s="1644"/>
      <c r="S861" s="1644"/>
      <c r="T861" s="1644"/>
      <c r="U861" s="1644"/>
      <c r="V861" s="1645"/>
      <c r="W861" s="1625">
        <v>31150</v>
      </c>
      <c r="X861" s="1626"/>
      <c r="Y861" s="1626"/>
      <c r="Z861" s="1626"/>
      <c r="AA861" s="1626"/>
      <c r="AB861" s="1626"/>
      <c r="AC861" s="1627"/>
      <c r="AD861" s="528"/>
      <c r="AU861" s="14"/>
      <c r="AZ861" s="34"/>
      <c r="BA861" s="34"/>
      <c r="BB861" s="34"/>
      <c r="BC861" s="34"/>
    </row>
    <row r="862" spans="3:55" ht="12.95" customHeight="1">
      <c r="J862" s="45"/>
      <c r="K862" s="5"/>
      <c r="L862" s="5"/>
      <c r="M862" s="5"/>
      <c r="N862" s="5"/>
      <c r="O862" s="5"/>
      <c r="P862" s="5"/>
      <c r="Q862" s="5"/>
      <c r="R862" s="5"/>
      <c r="S862" s="5"/>
      <c r="T862" s="5"/>
      <c r="U862" s="5"/>
      <c r="V862" s="54" t="s">
        <v>272</v>
      </c>
      <c r="W862" s="1640">
        <f>SUM(W857:W861)</f>
        <v>153030</v>
      </c>
      <c r="X862" s="1641"/>
      <c r="Y862" s="1641"/>
      <c r="Z862" s="1641"/>
      <c r="AA862" s="1641"/>
      <c r="AB862" s="1641"/>
      <c r="AC862" s="1642"/>
      <c r="AD862" s="533"/>
      <c r="AU862" s="14"/>
      <c r="AZ862" s="34"/>
      <c r="BA862" s="34"/>
      <c r="BB862" s="34"/>
      <c r="BC862" s="34"/>
    </row>
    <row r="863" spans="3:55" ht="12.95" customHeight="1">
      <c r="J863" s="45"/>
      <c r="K863" s="5"/>
      <c r="L863" s="5"/>
      <c r="M863" s="5"/>
      <c r="N863" s="5"/>
      <c r="O863" s="5"/>
      <c r="P863" s="5"/>
      <c r="Q863" s="5"/>
      <c r="R863" s="5"/>
      <c r="S863" s="5"/>
      <c r="T863" s="5"/>
      <c r="U863" s="5"/>
      <c r="V863" s="54" t="s">
        <v>273</v>
      </c>
      <c r="W863" s="1625">
        <v>60950</v>
      </c>
      <c r="X863" s="1626"/>
      <c r="Y863" s="1626"/>
      <c r="Z863" s="1626"/>
      <c r="AA863" s="1626"/>
      <c r="AB863" s="1626"/>
      <c r="AC863" s="1627"/>
      <c r="AU863" s="14"/>
      <c r="AZ863" s="34"/>
      <c r="BA863" s="34"/>
      <c r="BB863" s="34"/>
      <c r="BC863" s="34"/>
    </row>
    <row r="864" spans="3:55" ht="12.95" customHeight="1">
      <c r="J864" s="512"/>
      <c r="AU864" s="14"/>
      <c r="AZ864" s="34"/>
      <c r="BA864" s="34"/>
      <c r="BB864" s="34"/>
      <c r="BC864" s="34"/>
    </row>
    <row r="865" spans="3:55" ht="12.95" customHeight="1">
      <c r="C865" s="2" t="s">
        <v>389</v>
      </c>
      <c r="J865" s="45" t="s">
        <v>616</v>
      </c>
      <c r="K865" s="5"/>
      <c r="L865" s="5"/>
      <c r="M865" s="5"/>
      <c r="N865" s="5"/>
      <c r="O865" s="5"/>
      <c r="P865" s="5"/>
      <c r="Q865" s="5"/>
      <c r="R865" s="5"/>
      <c r="S865" s="5"/>
      <c r="T865" s="5"/>
      <c r="U865" s="5"/>
      <c r="V865" s="46"/>
      <c r="W865" s="1639">
        <v>9800</v>
      </c>
      <c r="X865" s="1639"/>
      <c r="Y865" s="1639"/>
      <c r="Z865" s="1639"/>
      <c r="AA865" s="1639"/>
      <c r="AB865" s="1639"/>
      <c r="AC865" s="1639"/>
      <c r="AU865" s="14"/>
      <c r="AZ865" s="34"/>
      <c r="BA865" s="34"/>
      <c r="BB865" s="34"/>
      <c r="BC865" s="34"/>
    </row>
    <row r="866" spans="3:55" ht="12.95" customHeight="1">
      <c r="J866" s="45" t="s">
        <v>521</v>
      </c>
      <c r="K866" s="5"/>
      <c r="L866" s="5"/>
      <c r="M866" s="5"/>
      <c r="N866" s="5"/>
      <c r="O866" s="5"/>
      <c r="P866" s="5"/>
      <c r="Q866" s="5"/>
      <c r="R866" s="5"/>
      <c r="S866" s="5"/>
      <c r="T866" s="5"/>
      <c r="U866" s="5"/>
      <c r="V866" s="46"/>
      <c r="W866" s="1639">
        <v>117900</v>
      </c>
      <c r="X866" s="1639"/>
      <c r="Y866" s="1639"/>
      <c r="Z866" s="1639"/>
      <c r="AA866" s="1639"/>
      <c r="AB866" s="1639"/>
      <c r="AC866" s="1639"/>
      <c r="AU866" s="4"/>
      <c r="AZ866" s="34"/>
      <c r="BA866" s="34"/>
      <c r="BB866" s="34"/>
      <c r="BC866" s="34"/>
    </row>
    <row r="867" spans="3:55" ht="12.95" customHeight="1">
      <c r="J867" s="45" t="s">
        <v>520</v>
      </c>
      <c r="K867" s="5"/>
      <c r="L867" s="5"/>
      <c r="M867" s="5"/>
      <c r="N867" s="5"/>
      <c r="O867" s="5"/>
      <c r="P867" s="5"/>
      <c r="Q867" s="5"/>
      <c r="R867" s="5"/>
      <c r="S867" s="5"/>
      <c r="T867" s="5"/>
      <c r="U867" s="5"/>
      <c r="V867" s="46"/>
      <c r="W867" s="1639">
        <v>49100</v>
      </c>
      <c r="X867" s="1639"/>
      <c r="Y867" s="1639"/>
      <c r="Z867" s="1639"/>
      <c r="AA867" s="1639"/>
      <c r="AB867" s="1639"/>
      <c r="AC867" s="1639"/>
      <c r="AU867" s="4"/>
      <c r="AZ867" s="34"/>
      <c r="BA867" s="34"/>
      <c r="BB867" s="34"/>
      <c r="BC867" s="34"/>
    </row>
    <row r="868" spans="3:55" ht="12.95" customHeight="1">
      <c r="J868" s="45" t="s">
        <v>519</v>
      </c>
      <c r="K868" s="5"/>
      <c r="L868" s="5"/>
      <c r="M868" s="5"/>
      <c r="N868" s="5"/>
      <c r="O868" s="5"/>
      <c r="P868" s="5"/>
      <c r="Q868" s="5"/>
      <c r="R868" s="5"/>
      <c r="S868" s="5"/>
      <c r="T868" s="5"/>
      <c r="U868" s="5"/>
      <c r="V868" s="46"/>
      <c r="W868" s="1639">
        <v>1800</v>
      </c>
      <c r="X868" s="1639"/>
      <c r="Y868" s="1639"/>
      <c r="Z868" s="1639"/>
      <c r="AA868" s="1639"/>
      <c r="AB868" s="1639"/>
      <c r="AC868" s="1639"/>
      <c r="AU868" s="4"/>
      <c r="AZ868" s="34"/>
      <c r="BA868" s="34"/>
      <c r="BB868" s="34"/>
      <c r="BC868" s="34"/>
    </row>
    <row r="869" spans="3:55" ht="12.95" customHeight="1">
      <c r="J869" s="45" t="s">
        <v>518</v>
      </c>
      <c r="K869" s="5"/>
      <c r="L869" s="5"/>
      <c r="M869" s="5"/>
      <c r="N869" s="5"/>
      <c r="O869" s="5"/>
      <c r="P869" s="5"/>
      <c r="Q869" s="5"/>
      <c r="R869" s="5"/>
      <c r="S869" s="5"/>
      <c r="T869" s="5"/>
      <c r="U869" s="5"/>
      <c r="V869" s="46"/>
      <c r="W869" s="1639">
        <v>59000</v>
      </c>
      <c r="X869" s="1639"/>
      <c r="Y869" s="1639"/>
      <c r="Z869" s="1639"/>
      <c r="AA869" s="1639"/>
      <c r="AB869" s="1639"/>
      <c r="AC869" s="1639"/>
      <c r="AU869" s="4"/>
      <c r="AZ869" s="34"/>
      <c r="BA869" s="34"/>
      <c r="BB869" s="34"/>
      <c r="BC869" s="34"/>
    </row>
    <row r="870" spans="3:55" ht="12.95" customHeight="1">
      <c r="J870" s="45" t="s">
        <v>517</v>
      </c>
      <c r="K870" s="5"/>
      <c r="L870" s="5"/>
      <c r="M870" s="5"/>
      <c r="N870" s="5"/>
      <c r="O870" s="5"/>
      <c r="P870" s="5"/>
      <c r="Q870" s="5"/>
      <c r="R870" s="5"/>
      <c r="S870" s="5"/>
      <c r="T870" s="5"/>
      <c r="U870" s="5"/>
      <c r="V870" s="46"/>
      <c r="W870" s="1639">
        <v>12000</v>
      </c>
      <c r="X870" s="1639"/>
      <c r="Y870" s="1639"/>
      <c r="Z870" s="1639"/>
      <c r="AA870" s="1639"/>
      <c r="AB870" s="1639"/>
      <c r="AC870" s="1639"/>
      <c r="AU870" s="4"/>
      <c r="AZ870" s="34"/>
      <c r="BA870" s="34"/>
      <c r="BB870" s="34"/>
      <c r="BC870" s="34"/>
    </row>
    <row r="871" spans="3:55" ht="12.95" customHeight="1">
      <c r="J871" s="45" t="s">
        <v>169</v>
      </c>
      <c r="K871" s="5"/>
      <c r="L871" s="5"/>
      <c r="M871" s="1643" t="s">
        <v>2718</v>
      </c>
      <c r="N871" s="1644"/>
      <c r="O871" s="1644"/>
      <c r="P871" s="1644"/>
      <c r="Q871" s="1644"/>
      <c r="R871" s="1644"/>
      <c r="S871" s="1644"/>
      <c r="T871" s="1644"/>
      <c r="U871" s="1644"/>
      <c r="V871" s="1645"/>
      <c r="W871" s="1639">
        <v>59000</v>
      </c>
      <c r="X871" s="1639"/>
      <c r="Y871" s="1639"/>
      <c r="Z871" s="1639"/>
      <c r="AA871" s="1639"/>
      <c r="AB871" s="1639"/>
      <c r="AC871" s="1639"/>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274</v>
      </c>
      <c r="W872" s="1601">
        <f>SUM(W865:W871)</f>
        <v>308600</v>
      </c>
      <c r="X872" s="1601"/>
      <c r="Y872" s="1601"/>
      <c r="Z872" s="1601"/>
      <c r="AA872" s="1601"/>
      <c r="AB872" s="1601"/>
      <c r="AC872" s="1601"/>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1243</v>
      </c>
      <c r="J874" s="45" t="s">
        <v>169</v>
      </c>
      <c r="K874" s="5"/>
      <c r="L874" s="5"/>
      <c r="M874" s="1643" t="s">
        <v>333</v>
      </c>
      <c r="N874" s="1644"/>
      <c r="O874" s="1644"/>
      <c r="P874" s="1644"/>
      <c r="Q874" s="1644"/>
      <c r="R874" s="1644"/>
      <c r="S874" s="1644"/>
      <c r="T874" s="1644"/>
      <c r="U874" s="1644"/>
      <c r="V874" s="1645"/>
      <c r="W874" s="1468"/>
      <c r="X874" s="1368"/>
      <c r="Y874" s="1368"/>
      <c r="Z874" s="1368"/>
      <c r="AA874" s="1368"/>
      <c r="AB874" s="1368"/>
      <c r="AC874" s="1369"/>
      <c r="AD874" s="533"/>
      <c r="AV874" s="14"/>
      <c r="AW874" s="14"/>
      <c r="AX874" s="14"/>
      <c r="AY874" s="14"/>
      <c r="AZ874" s="34"/>
      <c r="BA874" s="34"/>
      <c r="BB874" s="34"/>
      <c r="BC874" s="34"/>
    </row>
    <row r="875" spans="3:55" ht="12.95" customHeight="1">
      <c r="C875" s="2" t="s">
        <v>1244</v>
      </c>
      <c r="J875" s="45" t="s">
        <v>169</v>
      </c>
      <c r="K875" s="5"/>
      <c r="L875" s="5"/>
      <c r="M875" s="1643" t="s">
        <v>333</v>
      </c>
      <c r="N875" s="1644"/>
      <c r="O875" s="1644"/>
      <c r="P875" s="1644"/>
      <c r="Q875" s="1644"/>
      <c r="R875" s="1644"/>
      <c r="S875" s="1644"/>
      <c r="T875" s="1644"/>
      <c r="U875" s="1644"/>
      <c r="V875" s="1645"/>
      <c r="W875" s="1468"/>
      <c r="X875" s="1368"/>
      <c r="Y875" s="1368"/>
      <c r="Z875" s="1368"/>
      <c r="AA875" s="1368"/>
      <c r="AB875" s="1368"/>
      <c r="AC875" s="1369"/>
      <c r="AD875" s="533"/>
      <c r="AV875" s="14"/>
      <c r="AW875" s="14"/>
      <c r="AX875" s="14"/>
      <c r="AY875" s="14"/>
      <c r="AZ875" s="34"/>
      <c r="BA875" s="34"/>
      <c r="BB875" s="34"/>
      <c r="BC875" s="34"/>
    </row>
    <row r="876" spans="3:55" ht="12.95" customHeight="1">
      <c r="J876" s="45" t="s">
        <v>169</v>
      </c>
      <c r="K876" s="5"/>
      <c r="L876" s="5"/>
      <c r="M876" s="1643" t="s">
        <v>333</v>
      </c>
      <c r="N876" s="1644"/>
      <c r="O876" s="1644"/>
      <c r="P876" s="1644"/>
      <c r="Q876" s="1644"/>
      <c r="R876" s="1644"/>
      <c r="S876" s="1644"/>
      <c r="T876" s="1644"/>
      <c r="U876" s="1644"/>
      <c r="V876" s="1645"/>
      <c r="W876" s="1468"/>
      <c r="X876" s="1368"/>
      <c r="Y876" s="1368"/>
      <c r="Z876" s="1368"/>
      <c r="AA876" s="1368"/>
      <c r="AB876" s="1368"/>
      <c r="AC876" s="1369"/>
      <c r="AL876" s="14"/>
      <c r="AM876" s="14"/>
      <c r="AN876" s="14"/>
      <c r="AO876" s="14"/>
      <c r="AP876" s="14"/>
      <c r="AQ876" s="14"/>
      <c r="AR876" s="14"/>
      <c r="AS876" s="14"/>
      <c r="AT876" s="14"/>
      <c r="AV876" s="4"/>
      <c r="AW876" s="4"/>
      <c r="AX876" s="4"/>
      <c r="AY876" s="4"/>
      <c r="AZ876" s="34"/>
      <c r="BA876" s="34"/>
      <c r="BB876" s="34"/>
      <c r="BC876" s="34"/>
    </row>
    <row r="877" spans="3:55" ht="12.95" customHeight="1">
      <c r="J877" s="45" t="s">
        <v>169</v>
      </c>
      <c r="K877" s="5"/>
      <c r="L877" s="5"/>
      <c r="M877" s="1643" t="s">
        <v>333</v>
      </c>
      <c r="N877" s="1644"/>
      <c r="O877" s="1644"/>
      <c r="P877" s="1644"/>
      <c r="Q877" s="1644"/>
      <c r="R877" s="1644"/>
      <c r="S877" s="1644"/>
      <c r="T877" s="1644"/>
      <c r="U877" s="1644"/>
      <c r="V877" s="1645"/>
      <c r="W877" s="1468"/>
      <c r="X877" s="1368"/>
      <c r="Y877" s="1368"/>
      <c r="Z877" s="1368"/>
      <c r="AA877" s="1368"/>
      <c r="AB877" s="1368"/>
      <c r="AC877" s="1369"/>
      <c r="AL877" s="14"/>
      <c r="AM877" s="14"/>
      <c r="AN877" s="14"/>
      <c r="AO877" s="14"/>
      <c r="AP877" s="14"/>
      <c r="AQ877" s="14"/>
      <c r="AR877" s="14"/>
      <c r="AS877" s="14"/>
      <c r="AT877" s="14"/>
      <c r="AV877" s="4"/>
      <c r="AW877" s="4"/>
      <c r="AX877" s="4"/>
      <c r="AY877" s="4"/>
      <c r="AZ877" s="34"/>
      <c r="BA877" s="34"/>
      <c r="BB877" s="34"/>
      <c r="BC877" s="34"/>
    </row>
    <row r="878" spans="3:55" ht="12.95" customHeight="1">
      <c r="J878" s="45" t="s">
        <v>169</v>
      </c>
      <c r="K878" s="5"/>
      <c r="L878" s="5"/>
      <c r="M878" s="1643" t="s">
        <v>333</v>
      </c>
      <c r="N878" s="1644"/>
      <c r="O878" s="1644"/>
      <c r="P878" s="1644"/>
      <c r="Q878" s="1644"/>
      <c r="R878" s="1644"/>
      <c r="S878" s="1644"/>
      <c r="T878" s="1644"/>
      <c r="U878" s="1644"/>
      <c r="V878" s="1645"/>
      <c r="W878" s="1468"/>
      <c r="X878" s="1368"/>
      <c r="Y878" s="1368"/>
      <c r="Z878" s="1368"/>
      <c r="AA878" s="1368"/>
      <c r="AB878" s="1368"/>
      <c r="AC878" s="136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275</v>
      </c>
      <c r="W879" s="1465">
        <f>SUM(W874:W878)</f>
        <v>0</v>
      </c>
      <c r="X879" s="1466"/>
      <c r="Y879" s="1466"/>
      <c r="Z879" s="1466"/>
      <c r="AA879" s="1466"/>
      <c r="AB879" s="1466"/>
      <c r="AC879" s="1467"/>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466">
        <f>W847+W855+W862+W863+W872+W879+W849</f>
        <v>921750</v>
      </c>
      <c r="AD883" s="1466"/>
      <c r="AE883" s="1466"/>
      <c r="AF883" s="1466"/>
      <c r="AG883" s="1466"/>
      <c r="AH883" s="1467"/>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510</v>
      </c>
      <c r="AC884" s="1646">
        <f>O797+O777+G753</f>
        <v>131</v>
      </c>
      <c r="AD884" s="1646"/>
      <c r="AE884" s="1646"/>
      <c r="AF884" s="1646"/>
      <c r="AG884" s="1646"/>
      <c r="AH884" s="1647"/>
      <c r="AL884" s="4"/>
      <c r="AM884" s="4"/>
      <c r="AN884" s="4"/>
      <c r="AO884" s="4"/>
      <c r="AP884" s="4"/>
      <c r="AQ884" s="4"/>
      <c r="AR884" s="4"/>
      <c r="AS884" s="4"/>
      <c r="AT884" s="4"/>
      <c r="AZ884" s="34"/>
      <c r="BA884" s="34"/>
      <c r="BB884" s="34"/>
      <c r="BC884" s="34"/>
    </row>
    <row r="885" spans="3:55" ht="12.95" customHeight="1">
      <c r="C885" s="41"/>
      <c r="D885" s="42"/>
      <c r="E885" s="1716" t="s">
        <v>32</v>
      </c>
      <c r="F885" s="1716"/>
      <c r="G885" s="1716"/>
      <c r="H885" s="1716"/>
      <c r="I885" s="1716"/>
      <c r="J885" s="1716"/>
      <c r="K885" s="1716"/>
      <c r="L885" s="1716"/>
      <c r="M885" s="1716"/>
      <c r="N885" s="1716"/>
      <c r="O885" s="1716"/>
      <c r="P885" s="1716"/>
      <c r="Q885" s="1716"/>
      <c r="R885" s="1716"/>
      <c r="S885" s="1716"/>
      <c r="T885" s="1716"/>
      <c r="U885" s="1716"/>
      <c r="V885" s="1716"/>
      <c r="W885" s="1716"/>
      <c r="X885" s="1716"/>
      <c r="Y885" s="1716"/>
      <c r="Z885" s="1716"/>
      <c r="AA885" s="1716"/>
      <c r="AB885" s="1717"/>
      <c r="AC885" s="1601">
        <f>IF(ISERROR((ROUNDDOWN(AC883/AC884,0))),0,(ROUNDDOWN(AC883/AC884,0)))</f>
        <v>7036</v>
      </c>
      <c r="AD885" s="1601"/>
      <c r="AE885" s="1601"/>
      <c r="AF885" s="1601"/>
      <c r="AG885" s="1601"/>
      <c r="AH885" s="1601"/>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760</v>
      </c>
      <c r="AC886" s="1648">
        <v>671694</v>
      </c>
      <c r="AD886" s="1649"/>
      <c r="AE886" s="1649"/>
      <c r="AF886" s="1649"/>
      <c r="AG886" s="1649"/>
      <c r="AH886" s="1649"/>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1159</v>
      </c>
      <c r="AC887" s="1369"/>
      <c r="AD887" s="1639"/>
      <c r="AE887" s="1639"/>
      <c r="AF887" s="1639"/>
      <c r="AG887" s="1639"/>
      <c r="AH887" s="1639"/>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509</v>
      </c>
      <c r="AC888" s="1368">
        <v>19000</v>
      </c>
      <c r="AD888" s="1368"/>
      <c r="AE888" s="1368"/>
      <c r="AF888" s="1368"/>
      <c r="AG888" s="1368"/>
      <c r="AH888" s="136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68">
        <v>32750</v>
      </c>
      <c r="AD889" s="1368"/>
      <c r="AE889" s="1368"/>
      <c r="AF889" s="1368"/>
      <c r="AG889" s="1368"/>
      <c r="AH889" s="136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81"/>
      <c r="AD890" s="1482"/>
      <c r="AE890" s="1482"/>
      <c r="AF890" s="1482"/>
      <c r="AG890" s="1482"/>
      <c r="AH890" s="1483"/>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68">
        <v>12000</v>
      </c>
      <c r="AD891" s="1368"/>
      <c r="AE891" s="1368"/>
      <c r="AF891" s="1368"/>
      <c r="AG891" s="1368"/>
      <c r="AH891" s="1369"/>
      <c r="AZ891" s="34"/>
      <c r="BA891" s="34"/>
      <c r="BB891" s="34"/>
      <c r="BC891" s="34"/>
    </row>
    <row r="892" spans="3:55" ht="12.95" hidden="1" customHeight="1">
      <c r="C892" s="1345" t="s">
        <v>2232</v>
      </c>
      <c r="D892" s="1346"/>
      <c r="E892" s="1346"/>
      <c r="F892" s="1346"/>
      <c r="G892" s="1346"/>
      <c r="H892" s="1346"/>
      <c r="I892" s="1346"/>
      <c r="J892" s="1346"/>
      <c r="K892" s="1346"/>
      <c r="L892" s="1346"/>
      <c r="M892" s="1346"/>
      <c r="N892" s="1346"/>
      <c r="O892" s="1346"/>
      <c r="P892" s="1346"/>
      <c r="Q892" s="1346"/>
      <c r="R892" s="1346"/>
      <c r="S892" s="1346"/>
      <c r="T892" s="1346"/>
      <c r="U892" s="1346"/>
      <c r="V892" s="1346"/>
      <c r="W892" s="1346"/>
      <c r="X892" s="1346"/>
      <c r="Y892" s="1346"/>
      <c r="Z892" s="1346"/>
      <c r="AA892" s="1346"/>
      <c r="AB892" s="1348"/>
      <c r="AC892" s="1368"/>
      <c r="AD892" s="1368"/>
      <c r="AE892" s="1368"/>
      <c r="AF892" s="1368"/>
      <c r="AG892" s="1368"/>
      <c r="AH892" s="136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368"/>
      <c r="AD893" s="1368"/>
      <c r="AE893" s="1368"/>
      <c r="AF893" s="1368"/>
      <c r="AG893" s="1368"/>
      <c r="AH893" s="1369"/>
      <c r="AZ893" s="34"/>
      <c r="BA893" s="34"/>
      <c r="BB893" s="34"/>
      <c r="BC893" s="34"/>
    </row>
    <row r="894" spans="3:55" ht="12.95" customHeight="1">
      <c r="C894" s="1659" t="s">
        <v>955</v>
      </c>
      <c r="D894" s="1660"/>
      <c r="E894" s="1660"/>
      <c r="F894" s="1660"/>
      <c r="G894" s="1660"/>
      <c r="H894" s="1660"/>
      <c r="I894" s="1660"/>
      <c r="J894" s="1660"/>
      <c r="K894" s="1660"/>
      <c r="L894" s="1660"/>
      <c r="M894" s="1660"/>
      <c r="N894" s="1660"/>
      <c r="O894" s="1660"/>
      <c r="P894" s="1660"/>
      <c r="Q894" s="1660"/>
      <c r="R894" s="1660"/>
      <c r="S894" s="1660"/>
      <c r="T894" s="1660"/>
      <c r="U894" s="1660"/>
      <c r="V894" s="1660"/>
      <c r="W894" s="1660"/>
      <c r="X894" s="1660"/>
      <c r="Y894" s="1660"/>
      <c r="Z894" s="1660"/>
      <c r="AA894" s="1660"/>
      <c r="AB894" s="1661"/>
      <c r="AC894" s="1639"/>
      <c r="AD894" s="1639"/>
      <c r="AE894" s="1639"/>
      <c r="AF894" s="1639"/>
      <c r="AG894" s="1639"/>
      <c r="AH894" s="1639"/>
      <c r="AZ894" s="34"/>
      <c r="BA894" s="34"/>
      <c r="BB894" s="34"/>
      <c r="BC894" s="34"/>
    </row>
    <row r="895" spans="3:55" ht="12.95" customHeight="1">
      <c r="C895" s="1659" t="s">
        <v>955</v>
      </c>
      <c r="D895" s="1660"/>
      <c r="E895" s="1660"/>
      <c r="F895" s="1660"/>
      <c r="G895" s="1660"/>
      <c r="H895" s="1660"/>
      <c r="I895" s="1660"/>
      <c r="J895" s="1660"/>
      <c r="K895" s="1660"/>
      <c r="L895" s="1660"/>
      <c r="M895" s="1660"/>
      <c r="N895" s="1660"/>
      <c r="O895" s="1660"/>
      <c r="P895" s="1660"/>
      <c r="Q895" s="1660"/>
      <c r="R895" s="1660"/>
      <c r="S895" s="1660"/>
      <c r="T895" s="1660"/>
      <c r="U895" s="1660"/>
      <c r="V895" s="1660"/>
      <c r="W895" s="1660"/>
      <c r="X895" s="1660"/>
      <c r="Y895" s="1660"/>
      <c r="Z895" s="1660"/>
      <c r="AA895" s="1660"/>
      <c r="AB895" s="1661"/>
      <c r="AC895" s="1639"/>
      <c r="AD895" s="1639"/>
      <c r="AE895" s="1639"/>
      <c r="AF895" s="1639"/>
      <c r="AG895" s="1639"/>
      <c r="AH895" s="1639"/>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612</v>
      </c>
      <c r="C897" s="2" t="s">
        <v>236</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237</v>
      </c>
      <c r="I899" s="5"/>
      <c r="J899" s="5"/>
      <c r="K899" s="5"/>
      <c r="L899" s="5"/>
      <c r="M899" s="5"/>
      <c r="N899" s="5"/>
      <c r="O899" s="5"/>
      <c r="P899" s="5"/>
      <c r="Q899" s="5"/>
      <c r="R899" s="5"/>
      <c r="S899" s="5"/>
      <c r="T899" s="5"/>
      <c r="U899" s="5"/>
      <c r="V899" s="5"/>
      <c r="W899" s="5"/>
      <c r="X899" s="5"/>
      <c r="Y899" s="46"/>
      <c r="Z899" s="1468"/>
      <c r="AA899" s="1368"/>
      <c r="AB899" s="1368"/>
      <c r="AC899" s="1368"/>
      <c r="AD899" s="1368"/>
      <c r="AE899" s="1369"/>
      <c r="AF899" s="533"/>
      <c r="AZ899" s="34"/>
      <c r="BB899" s="30"/>
      <c r="BC899" s="816"/>
      <c r="BD899" s="1635"/>
      <c r="BE899" s="1635"/>
      <c r="BF899" s="14"/>
    </row>
    <row r="900" spans="1:58" ht="12.95" customHeight="1">
      <c r="H900" s="121" t="s">
        <v>238</v>
      </c>
      <c r="I900" s="5"/>
      <c r="J900" s="5"/>
      <c r="K900" s="5"/>
      <c r="L900" s="5"/>
      <c r="M900" s="5"/>
      <c r="N900" s="5"/>
      <c r="O900" s="5"/>
      <c r="P900" s="5"/>
      <c r="Q900" s="5"/>
      <c r="R900" s="5"/>
      <c r="S900" s="5"/>
      <c r="T900" s="5"/>
      <c r="U900" s="5"/>
      <c r="V900" s="5"/>
      <c r="W900" s="5"/>
      <c r="X900" s="5"/>
      <c r="Y900" s="5"/>
      <c r="Z900" s="1468"/>
      <c r="AA900" s="1368"/>
      <c r="AB900" s="1368"/>
      <c r="AC900" s="1368"/>
      <c r="AD900" s="1368"/>
      <c r="AE900" s="1369"/>
      <c r="AZ900" s="34"/>
      <c r="BB900" s="30"/>
      <c r="BC900" s="816"/>
      <c r="BD900" s="1635"/>
      <c r="BE900" s="1635"/>
      <c r="BF900" s="14"/>
    </row>
    <row r="901" spans="1:58" ht="12.95" customHeight="1">
      <c r="H901" s="121" t="s">
        <v>239</v>
      </c>
      <c r="I901" s="5"/>
      <c r="J901" s="5"/>
      <c r="K901" s="5"/>
      <c r="L901" s="5"/>
      <c r="M901" s="5"/>
      <c r="N901" s="5"/>
      <c r="O901" s="5"/>
      <c r="P901" s="5"/>
      <c r="Q901" s="5"/>
      <c r="R901" s="5"/>
      <c r="S901" s="5"/>
      <c r="T901" s="5"/>
      <c r="U901" s="5"/>
      <c r="V901" s="5"/>
      <c r="W901" s="5"/>
      <c r="X901" s="5"/>
      <c r="Y901" s="5"/>
      <c r="Z901" s="1468"/>
      <c r="AA901" s="1368"/>
      <c r="AB901" s="1368"/>
      <c r="AC901" s="1368"/>
      <c r="AD901" s="1368"/>
      <c r="AE901" s="1369"/>
      <c r="AZ901" s="34"/>
      <c r="BB901" s="30"/>
      <c r="BC901" s="816"/>
      <c r="BD901" s="1634"/>
      <c r="BE901" s="1634"/>
      <c r="BF901" s="14"/>
    </row>
    <row r="902" spans="1:58" ht="12.95" customHeight="1">
      <c r="H902" s="45"/>
      <c r="I902" s="5"/>
      <c r="J902" s="5"/>
      <c r="K902" s="5"/>
      <c r="L902" s="5"/>
      <c r="M902" s="5"/>
      <c r="N902" s="5"/>
      <c r="O902" s="5"/>
      <c r="P902" s="5"/>
      <c r="Q902" s="5"/>
      <c r="R902" s="5"/>
      <c r="S902" s="5"/>
      <c r="T902" s="5"/>
      <c r="U902" s="5"/>
      <c r="V902" s="5"/>
      <c r="W902" s="5"/>
      <c r="X902" s="5"/>
      <c r="Y902" s="181" t="s">
        <v>240</v>
      </c>
      <c r="Z902" s="1465">
        <f>Z899-(Z900+Z901)</f>
        <v>0</v>
      </c>
      <c r="AA902" s="1466"/>
      <c r="AB902" s="1466"/>
      <c r="AC902" s="1466"/>
      <c r="AD902" s="1466"/>
      <c r="AE902" s="1467"/>
      <c r="AZ902" s="34"/>
      <c r="BB902" s="30"/>
      <c r="BC902" s="816"/>
      <c r="BD902" s="1634"/>
      <c r="BE902" s="1634"/>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4"/>
      <c r="BE903" s="1634"/>
      <c r="BF903" s="14"/>
    </row>
    <row r="904" spans="1:58" ht="12.95"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5"/>
      <c r="BE904" s="1634"/>
      <c r="BF904" s="14"/>
    </row>
    <row r="905" spans="1:58" ht="12.95"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51"/>
      <c r="BE905" s="1651"/>
      <c r="BF905" s="1651"/>
    </row>
    <row r="906" spans="1:58" ht="12.95"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50"/>
      <c r="BE906" s="1650"/>
      <c r="BF906" s="1650"/>
    </row>
    <row r="907" spans="1:58" ht="12.95" customHeight="1">
      <c r="C907" s="340" t="s">
        <v>1012</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4"/>
      <c r="BE907" s="1634"/>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5"/>
      <c r="BE908" s="1634"/>
      <c r="BF908" s="14"/>
    </row>
    <row r="909" spans="1:58" ht="12.95" customHeight="1">
      <c r="AZ909" s="34"/>
      <c r="BB909" s="30"/>
      <c r="BC909" s="816"/>
    </row>
    <row r="910" spans="1:58" ht="12.95" customHeight="1">
      <c r="A910" s="1531" t="s">
        <v>96</v>
      </c>
      <c r="B910" s="1531"/>
      <c r="C910" s="1531"/>
      <c r="D910" s="1531"/>
      <c r="E910" s="1531"/>
      <c r="F910" s="1531"/>
      <c r="G910" s="1531"/>
      <c r="H910" s="1531"/>
      <c r="I910" s="1531"/>
      <c r="J910" s="1531"/>
      <c r="K910" s="1531"/>
      <c r="L910" s="1531"/>
      <c r="M910" s="1531"/>
      <c r="N910" s="1531"/>
      <c r="O910" s="1531"/>
      <c r="P910" s="1531"/>
      <c r="Q910" s="1531"/>
      <c r="R910" s="1531"/>
      <c r="S910" s="1531"/>
      <c r="T910" s="1531"/>
      <c r="U910" s="1531"/>
      <c r="V910" s="1531"/>
      <c r="W910" s="1531"/>
      <c r="X910" s="1531"/>
      <c r="Y910" s="1531"/>
      <c r="Z910" s="1531"/>
      <c r="AA910" s="1531"/>
      <c r="AB910" s="1531"/>
      <c r="AC910" s="1531"/>
      <c r="AD910" s="1531"/>
      <c r="AE910" s="1531"/>
      <c r="AF910" s="1531"/>
      <c r="AG910" s="1531"/>
      <c r="AH910" s="1531"/>
      <c r="AI910" s="1531"/>
      <c r="AJ910" s="1531"/>
      <c r="AK910" s="1531"/>
      <c r="AL910" s="1531"/>
      <c r="AM910" s="1531"/>
      <c r="AN910" s="1531"/>
      <c r="AO910" s="1531"/>
      <c r="AP910" s="1531"/>
      <c r="AQ910" s="1531"/>
      <c r="AR910" s="1531"/>
      <c r="AS910" s="1531"/>
      <c r="AT910" s="1531"/>
      <c r="AZ910" s="34"/>
      <c r="BA910" s="34"/>
      <c r="BB910" s="30"/>
      <c r="BC910" s="30"/>
      <c r="BD910" s="1635"/>
      <c r="BE910" s="1634"/>
      <c r="BF910" s="911"/>
    </row>
    <row r="911" spans="1:58" ht="12.95" customHeight="1">
      <c r="A911" s="1531"/>
      <c r="B911" s="1531"/>
      <c r="C911" s="1531"/>
      <c r="D911" s="1531"/>
      <c r="E911" s="1531"/>
      <c r="F911" s="1531"/>
      <c r="G911" s="1531"/>
      <c r="H911" s="1531"/>
      <c r="I911" s="1531"/>
      <c r="J911" s="1531"/>
      <c r="K911" s="1531"/>
      <c r="L911" s="1531"/>
      <c r="M911" s="1531"/>
      <c r="N911" s="1531"/>
      <c r="O911" s="1531"/>
      <c r="P911" s="1531"/>
      <c r="Q911" s="1531"/>
      <c r="R911" s="1531"/>
      <c r="S911" s="1531"/>
      <c r="T911" s="1531"/>
      <c r="U911" s="1531"/>
      <c r="V911" s="1531"/>
      <c r="W911" s="1531"/>
      <c r="X911" s="1531"/>
      <c r="Y911" s="1531"/>
      <c r="Z911" s="1531"/>
      <c r="AA911" s="1531"/>
      <c r="AB911" s="1531"/>
      <c r="AC911" s="1531"/>
      <c r="AD911" s="1531"/>
      <c r="AE911" s="1531"/>
      <c r="AF911" s="1531"/>
      <c r="AG911" s="1531"/>
      <c r="AH911" s="1531"/>
      <c r="AI911" s="1531"/>
      <c r="AJ911" s="1531"/>
      <c r="AK911" s="1531"/>
      <c r="AL911" s="1531"/>
      <c r="AM911" s="1531"/>
      <c r="AN911" s="1531"/>
      <c r="AO911" s="1531"/>
      <c r="AP911" s="1531"/>
      <c r="AQ911" s="1531"/>
      <c r="AR911" s="1531"/>
      <c r="AS911" s="1531"/>
      <c r="AT911" s="1531"/>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18" t="s">
        <v>791</v>
      </c>
      <c r="G915" s="1719"/>
      <c r="H915" s="1719"/>
      <c r="I915" s="1719"/>
      <c r="J915" s="1719"/>
      <c r="K915" s="1719"/>
      <c r="L915" s="1719"/>
      <c r="M915" s="1719"/>
      <c r="N915" s="1719"/>
      <c r="O915" s="1719"/>
      <c r="P915" s="1719"/>
      <c r="Q915" s="1719"/>
      <c r="R915" s="1719"/>
      <c r="S915" s="1719"/>
      <c r="T915" s="1720"/>
      <c r="U915" s="1752" t="s">
        <v>31</v>
      </c>
      <c r="V915" s="1604"/>
      <c r="W915" s="1604"/>
      <c r="X915" s="1604"/>
      <c r="Y915" s="1604"/>
      <c r="Z915" s="1604"/>
      <c r="AA915" s="43"/>
      <c r="AB915" s="105"/>
      <c r="AC915" s="105"/>
      <c r="AD915" s="105"/>
      <c r="AE915" s="105"/>
      <c r="AF915" s="106"/>
      <c r="AZ915" s="34"/>
      <c r="BA915" s="34"/>
      <c r="BB915" s="34"/>
      <c r="BC915" s="34"/>
    </row>
    <row r="916" spans="1:58" ht="12.95" customHeight="1">
      <c r="B916" s="2"/>
      <c r="F916" s="1753" t="s">
        <v>817</v>
      </c>
      <c r="G916" s="1754"/>
      <c r="H916" s="1754"/>
      <c r="I916" s="1754"/>
      <c r="J916" s="1754"/>
      <c r="K916" s="1754"/>
      <c r="L916" s="1754"/>
      <c r="M916" s="1754"/>
      <c r="N916" s="1754"/>
      <c r="O916" s="1754"/>
      <c r="P916" s="1754"/>
      <c r="Q916" s="1754"/>
      <c r="R916" s="1754"/>
      <c r="S916" s="1754"/>
      <c r="T916" s="1838"/>
      <c r="U916" s="1753"/>
      <c r="V916" s="1754"/>
      <c r="W916" s="1754"/>
      <c r="X916" s="1754"/>
      <c r="Y916" s="1754"/>
      <c r="Z916" s="1754"/>
      <c r="AA916" s="44"/>
      <c r="AB916" s="4"/>
      <c r="AC916" s="4"/>
      <c r="AD916" s="4"/>
      <c r="AE916" s="4"/>
      <c r="AF916" s="107"/>
      <c r="AZ916" s="34"/>
      <c r="BA916" s="34"/>
      <c r="BB916" s="34"/>
      <c r="BC916" s="34"/>
    </row>
    <row r="917" spans="1:58" ht="12.95" customHeight="1">
      <c r="B917" s="2"/>
      <c r="F917" s="1755"/>
      <c r="G917" s="1606"/>
      <c r="H917" s="1606"/>
      <c r="I917" s="1606"/>
      <c r="J917" s="1606"/>
      <c r="K917" s="1606"/>
      <c r="L917" s="1606"/>
      <c r="M917" s="1606"/>
      <c r="N917" s="1606"/>
      <c r="O917" s="1606"/>
      <c r="P917" s="1606"/>
      <c r="Q917" s="1606"/>
      <c r="R917" s="1606"/>
      <c r="S917" s="1606"/>
      <c r="T917" s="1607"/>
      <c r="U917" s="1755"/>
      <c r="V917" s="1606"/>
      <c r="W917" s="1606"/>
      <c r="X917" s="1606"/>
      <c r="Y917" s="1606"/>
      <c r="Z917" s="1606"/>
      <c r="AA917" s="108"/>
      <c r="AB917" s="1688" t="s">
        <v>390</v>
      </c>
      <c r="AC917" s="1688"/>
      <c r="AD917" s="1688"/>
      <c r="AE917" s="1688"/>
      <c r="AF917" s="109"/>
      <c r="AZ917" s="34"/>
      <c r="BA917" s="34"/>
      <c r="BB917" s="34"/>
      <c r="BC917" s="34"/>
    </row>
    <row r="918" spans="1:58" ht="12.95" customHeight="1">
      <c r="B918" s="2"/>
      <c r="F918" s="45" t="s">
        <v>757</v>
      </c>
      <c r="G918" s="48"/>
      <c r="H918" s="48"/>
      <c r="I918" s="48"/>
      <c r="J918" s="48"/>
      <c r="K918" s="48"/>
      <c r="L918" s="48"/>
      <c r="M918" s="48"/>
      <c r="N918" s="48"/>
      <c r="O918" s="48"/>
      <c r="P918" s="48"/>
      <c r="Q918" s="48"/>
      <c r="R918" s="48"/>
      <c r="S918" s="48"/>
      <c r="T918" s="49"/>
      <c r="U918" s="1619" t="s">
        <v>544</v>
      </c>
      <c r="V918" s="1438"/>
      <c r="W918" s="1438"/>
      <c r="X918" s="1438"/>
      <c r="Y918" s="1438"/>
      <c r="Z918" s="1439"/>
      <c r="AA918" s="1623">
        <v>20262958</v>
      </c>
      <c r="AB918" s="1518"/>
      <c r="AC918" s="1518"/>
      <c r="AD918" s="1518"/>
      <c r="AE918" s="1518"/>
      <c r="AF918" s="1624"/>
      <c r="AZ918" s="34"/>
      <c r="BA918" s="34"/>
      <c r="BB918" s="34"/>
      <c r="BC918" s="34"/>
    </row>
    <row r="919" spans="1:58" ht="12.95" customHeight="1">
      <c r="B919" s="2"/>
      <c r="F919" s="66" t="s">
        <v>674</v>
      </c>
      <c r="G919" s="48"/>
      <c r="H919" s="48"/>
      <c r="I919" s="48"/>
      <c r="J919" s="48"/>
      <c r="K919" s="48"/>
      <c r="L919" s="48"/>
      <c r="M919" s="48"/>
      <c r="N919" s="48"/>
      <c r="O919" s="48"/>
      <c r="P919" s="48"/>
      <c r="Q919" s="48"/>
      <c r="R919" s="48"/>
      <c r="S919" s="48"/>
      <c r="T919" s="49"/>
      <c r="U919" s="1619" t="s">
        <v>544</v>
      </c>
      <c r="V919" s="1438"/>
      <c r="W919" s="1438"/>
      <c r="X919" s="1438"/>
      <c r="Y919" s="1438"/>
      <c r="Z919" s="1439"/>
      <c r="AA919" s="1623">
        <v>27967053</v>
      </c>
      <c r="AB919" s="1518"/>
      <c r="AC919" s="1518"/>
      <c r="AD919" s="1518"/>
      <c r="AE919" s="1518"/>
      <c r="AF919" s="1624"/>
      <c r="AZ919" s="34"/>
      <c r="BA919" s="34"/>
      <c r="BB919" s="34"/>
      <c r="BC919" s="34"/>
    </row>
    <row r="920" spans="1:58" ht="12.95" customHeight="1">
      <c r="F920" s="45" t="s">
        <v>800</v>
      </c>
      <c r="G920" s="5"/>
      <c r="H920" s="5"/>
      <c r="I920" s="5"/>
      <c r="J920" s="5"/>
      <c r="K920" s="5"/>
      <c r="L920" s="5"/>
      <c r="M920" s="5"/>
      <c r="N920" s="5"/>
      <c r="O920" s="5"/>
      <c r="P920" s="5"/>
      <c r="Q920" s="5"/>
      <c r="R920" s="5"/>
      <c r="S920" s="5"/>
      <c r="T920" s="46"/>
      <c r="U920" s="1619" t="s">
        <v>590</v>
      </c>
      <c r="V920" s="1438"/>
      <c r="W920" s="1438"/>
      <c r="X920" s="1438"/>
      <c r="Y920" s="1438"/>
      <c r="Z920" s="1439"/>
      <c r="AA920" s="1623"/>
      <c r="AB920" s="1518"/>
      <c r="AC920" s="1518"/>
      <c r="AD920" s="1518"/>
      <c r="AE920" s="1518"/>
      <c r="AF920" s="1624"/>
      <c r="AZ920" s="34"/>
      <c r="BA920" s="34"/>
      <c r="BB920" s="34"/>
      <c r="BC920" s="34"/>
    </row>
    <row r="921" spans="1:58" ht="12.95" customHeight="1">
      <c r="F921" s="45" t="s">
        <v>677</v>
      </c>
      <c r="G921" s="5"/>
      <c r="H921" s="5"/>
      <c r="I921" s="5"/>
      <c r="J921" s="5"/>
      <c r="K921" s="5"/>
      <c r="L921" s="5"/>
      <c r="M921" s="5"/>
      <c r="N921" s="5"/>
      <c r="O921" s="5"/>
      <c r="P921" s="5"/>
      <c r="Q921" s="5"/>
      <c r="R921" s="5"/>
      <c r="S921" s="5"/>
      <c r="T921" s="46"/>
      <c r="U921" s="1619" t="s">
        <v>590</v>
      </c>
      <c r="V921" s="1438"/>
      <c r="W921" s="1438"/>
      <c r="X921" s="1438"/>
      <c r="Y921" s="1438"/>
      <c r="Z921" s="1439"/>
      <c r="AA921" s="1623"/>
      <c r="AB921" s="1518"/>
      <c r="AC921" s="1518"/>
      <c r="AD921" s="1518"/>
      <c r="AE921" s="1518"/>
      <c r="AF921" s="1624"/>
      <c r="AZ921" s="34"/>
      <c r="BA921" s="34"/>
      <c r="BB921" s="34"/>
      <c r="BC921" s="34"/>
    </row>
    <row r="922" spans="1:58" ht="12.95" customHeight="1">
      <c r="F922" s="66" t="s">
        <v>785</v>
      </c>
      <c r="G922" s="5"/>
      <c r="H922" s="5"/>
      <c r="I922" s="5"/>
      <c r="J922" s="5"/>
      <c r="K922" s="5"/>
      <c r="L922" s="5"/>
      <c r="M922" s="5"/>
      <c r="N922" s="5"/>
      <c r="O922" s="5"/>
      <c r="P922" s="5"/>
      <c r="Q922" s="5"/>
      <c r="R922" s="5"/>
      <c r="S922" s="5"/>
      <c r="T922" s="46"/>
      <c r="U922" s="1619" t="s">
        <v>590</v>
      </c>
      <c r="V922" s="1438"/>
      <c r="W922" s="1438"/>
      <c r="X922" s="1438"/>
      <c r="Y922" s="1438"/>
      <c r="Z922" s="1439"/>
      <c r="AA922" s="1623"/>
      <c r="AB922" s="1518"/>
      <c r="AC922" s="1518"/>
      <c r="AD922" s="1518"/>
      <c r="AE922" s="1518"/>
      <c r="AF922" s="1624"/>
      <c r="AZ922" s="34"/>
      <c r="BA922" s="34"/>
      <c r="BB922" s="34"/>
      <c r="BC922" s="34"/>
    </row>
    <row r="923" spans="1:58" ht="12.95" customHeight="1">
      <c r="F923" s="66" t="s">
        <v>786</v>
      </c>
      <c r="G923" s="5"/>
      <c r="H923" s="5"/>
      <c r="I923" s="5"/>
      <c r="J923" s="5"/>
      <c r="K923" s="5"/>
      <c r="L923" s="5"/>
      <c r="M923" s="5"/>
      <c r="N923" s="5"/>
      <c r="O923" s="5"/>
      <c r="P923" s="5"/>
      <c r="Q923" s="5"/>
      <c r="R923" s="5"/>
      <c r="S923" s="5"/>
      <c r="T923" s="46"/>
      <c r="U923" s="1619" t="s">
        <v>590</v>
      </c>
      <c r="V923" s="1438"/>
      <c r="W923" s="1438"/>
      <c r="X923" s="1438"/>
      <c r="Y923" s="1438"/>
      <c r="Z923" s="1439"/>
      <c r="AA923" s="1623"/>
      <c r="AB923" s="1518"/>
      <c r="AC923" s="1518"/>
      <c r="AD923" s="1518"/>
      <c r="AE923" s="1518"/>
      <c r="AF923" s="1624"/>
      <c r="AZ923" s="34"/>
      <c r="BA923" s="34"/>
      <c r="BB923" s="34"/>
      <c r="BC923" s="34"/>
    </row>
    <row r="924" spans="1:58" ht="12.95" customHeight="1">
      <c r="F924" s="66" t="s">
        <v>787</v>
      </c>
      <c r="G924" s="5"/>
      <c r="H924" s="5"/>
      <c r="I924" s="5"/>
      <c r="J924" s="5"/>
      <c r="K924" s="5"/>
      <c r="L924" s="5"/>
      <c r="M924" s="5"/>
      <c r="N924" s="5"/>
      <c r="O924" s="5"/>
      <c r="P924" s="5"/>
      <c r="Q924" s="5"/>
      <c r="R924" s="5"/>
      <c r="S924" s="5"/>
      <c r="T924" s="46"/>
      <c r="U924" s="1619" t="s">
        <v>590</v>
      </c>
      <c r="V924" s="1438"/>
      <c r="W924" s="1438"/>
      <c r="X924" s="1438"/>
      <c r="Y924" s="1438"/>
      <c r="Z924" s="1439"/>
      <c r="AA924" s="1623"/>
      <c r="AB924" s="1518"/>
      <c r="AC924" s="1518"/>
      <c r="AD924" s="1518"/>
      <c r="AE924" s="1518"/>
      <c r="AF924" s="1624"/>
      <c r="AZ924" s="34"/>
      <c r="BA924" s="34"/>
      <c r="BB924" s="34"/>
      <c r="BC924" s="34"/>
    </row>
    <row r="925" spans="1:58" ht="12.95" customHeight="1">
      <c r="F925" s="45" t="s">
        <v>676</v>
      </c>
      <c r="G925" s="5"/>
      <c r="H925" s="5"/>
      <c r="I925" s="5"/>
      <c r="J925" s="5"/>
      <c r="K925" s="5"/>
      <c r="L925" s="5"/>
      <c r="M925" s="5"/>
      <c r="N925" s="5"/>
      <c r="O925" s="5"/>
      <c r="P925" s="5"/>
      <c r="Q925" s="5"/>
      <c r="R925" s="5"/>
      <c r="S925" s="5"/>
      <c r="T925" s="46"/>
      <c r="U925" s="1619" t="s">
        <v>590</v>
      </c>
      <c r="V925" s="1438"/>
      <c r="W925" s="1438"/>
      <c r="X925" s="1438"/>
      <c r="Y925" s="1438"/>
      <c r="Z925" s="1439"/>
      <c r="AA925" s="1623"/>
      <c r="AB925" s="1518"/>
      <c r="AC925" s="1518"/>
      <c r="AD925" s="1518"/>
      <c r="AE925" s="1518"/>
      <c r="AF925" s="1624"/>
      <c r="AZ925" s="34"/>
      <c r="BA925" s="34"/>
      <c r="BB925" s="34"/>
      <c r="BC925" s="34"/>
    </row>
    <row r="926" spans="1:58" ht="12.95" customHeight="1">
      <c r="F926" s="1620" t="s">
        <v>2192</v>
      </c>
      <c r="G926" s="1621"/>
      <c r="H926" s="1621"/>
      <c r="I926" s="1621"/>
      <c r="J926" s="1621"/>
      <c r="K926" s="1621"/>
      <c r="L926" s="1621"/>
      <c r="M926" s="1621"/>
      <c r="N926" s="1621"/>
      <c r="O926" s="1621"/>
      <c r="P926" s="1621"/>
      <c r="Q926" s="1621"/>
      <c r="R926" s="1621"/>
      <c r="S926" s="1621"/>
      <c r="T926" s="1622"/>
      <c r="U926" s="1619" t="s">
        <v>590</v>
      </c>
      <c r="V926" s="1438"/>
      <c r="W926" s="1438"/>
      <c r="X926" s="1438"/>
      <c r="Y926" s="1438"/>
      <c r="Z926" s="1439"/>
      <c r="AA926" s="1623"/>
      <c r="AB926" s="1518"/>
      <c r="AC926" s="1518"/>
      <c r="AD926" s="1518"/>
      <c r="AE926" s="1518"/>
      <c r="AF926" s="1624"/>
      <c r="AZ926" s="34"/>
      <c r="BA926" s="34"/>
      <c r="BB926" s="34"/>
      <c r="BC926" s="34"/>
    </row>
    <row r="927" spans="1:58" ht="12.95" customHeight="1">
      <c r="F927" s="1620" t="s">
        <v>678</v>
      </c>
      <c r="G927" s="1621"/>
      <c r="H927" s="1621"/>
      <c r="I927" s="1621"/>
      <c r="J927" s="1621"/>
      <c r="K927" s="1621"/>
      <c r="L927" s="1621"/>
      <c r="M927" s="1621"/>
      <c r="N927" s="1621"/>
      <c r="O927" s="1621"/>
      <c r="P927" s="1621"/>
      <c r="Q927" s="1621"/>
      <c r="R927" s="1621"/>
      <c r="S927" s="1621"/>
      <c r="T927" s="1622"/>
      <c r="U927" s="1619" t="s">
        <v>590</v>
      </c>
      <c r="V927" s="1438"/>
      <c r="W927" s="1438"/>
      <c r="X927" s="1438"/>
      <c r="Y927" s="1438"/>
      <c r="Z927" s="1439"/>
      <c r="AA927" s="1623"/>
      <c r="AB927" s="1518"/>
      <c r="AC927" s="1518"/>
      <c r="AD927" s="1518"/>
      <c r="AE927" s="1518"/>
      <c r="AF927" s="1624"/>
      <c r="AU927" s="2"/>
      <c r="AZ927" s="34"/>
      <c r="BA927" s="34"/>
      <c r="BB927" s="34"/>
      <c r="BC927" s="34"/>
    </row>
    <row r="928" spans="1:58" ht="12.95" customHeight="1">
      <c r="F928" s="1620" t="s">
        <v>2193</v>
      </c>
      <c r="G928" s="1621"/>
      <c r="H928" s="1621"/>
      <c r="I928" s="1621"/>
      <c r="J928" s="1621"/>
      <c r="K928" s="1621"/>
      <c r="L928" s="1621"/>
      <c r="M928" s="1621"/>
      <c r="N928" s="1621"/>
      <c r="O928" s="1621"/>
      <c r="P928" s="1621"/>
      <c r="Q928" s="1621"/>
      <c r="R928" s="1621"/>
      <c r="S928" s="1621"/>
      <c r="T928" s="1622"/>
      <c r="U928" s="1619" t="s">
        <v>590</v>
      </c>
      <c r="V928" s="1438"/>
      <c r="W928" s="1438"/>
      <c r="X928" s="1438"/>
      <c r="Y928" s="1438"/>
      <c r="Z928" s="1439"/>
      <c r="AA928" s="1623"/>
      <c r="AB928" s="1518"/>
      <c r="AC928" s="1518"/>
      <c r="AD928" s="1518"/>
      <c r="AE928" s="1518"/>
      <c r="AF928" s="1624"/>
      <c r="AU928" s="2"/>
      <c r="AZ928" s="34"/>
      <c r="BA928" s="34"/>
      <c r="BB928" s="34"/>
      <c r="BC928" s="34"/>
    </row>
    <row r="929" spans="6:55" ht="12.95" customHeight="1">
      <c r="F929" s="1620" t="s">
        <v>2194</v>
      </c>
      <c r="G929" s="1621"/>
      <c r="H929" s="1621"/>
      <c r="I929" s="1621"/>
      <c r="J929" s="1621"/>
      <c r="K929" s="1621"/>
      <c r="L929" s="1621"/>
      <c r="M929" s="1621"/>
      <c r="N929" s="1621"/>
      <c r="O929" s="1621"/>
      <c r="P929" s="1621"/>
      <c r="Q929" s="1621"/>
      <c r="R929" s="1621"/>
      <c r="S929" s="1621"/>
      <c r="T929" s="1622"/>
      <c r="U929" s="1619" t="s">
        <v>590</v>
      </c>
      <c r="V929" s="1438"/>
      <c r="W929" s="1438"/>
      <c r="X929" s="1438"/>
      <c r="Y929" s="1438"/>
      <c r="Z929" s="1439"/>
      <c r="AA929" s="1623"/>
      <c r="AB929" s="1518"/>
      <c r="AC929" s="1518"/>
      <c r="AD929" s="1518"/>
      <c r="AE929" s="1518"/>
      <c r="AF929" s="1624"/>
      <c r="AU929" s="2"/>
      <c r="AZ929" s="34"/>
      <c r="BA929" s="34"/>
      <c r="BB929" s="34"/>
      <c r="BC929" s="34"/>
    </row>
    <row r="930" spans="6:55" ht="12.95" customHeight="1">
      <c r="F930" s="1620" t="s">
        <v>2195</v>
      </c>
      <c r="G930" s="1621"/>
      <c r="H930" s="1621"/>
      <c r="I930" s="1621"/>
      <c r="J930" s="1621"/>
      <c r="K930" s="1621"/>
      <c r="L930" s="1621"/>
      <c r="M930" s="1621"/>
      <c r="N930" s="1621"/>
      <c r="O930" s="1621"/>
      <c r="P930" s="1621"/>
      <c r="Q930" s="1621"/>
      <c r="R930" s="1621"/>
      <c r="S930" s="1621"/>
      <c r="T930" s="1622"/>
      <c r="U930" s="1619" t="s">
        <v>590</v>
      </c>
      <c r="V930" s="1438"/>
      <c r="W930" s="1438"/>
      <c r="X930" s="1438"/>
      <c r="Y930" s="1438"/>
      <c r="Z930" s="1439"/>
      <c r="AA930" s="1623"/>
      <c r="AB930" s="1518"/>
      <c r="AC930" s="1518"/>
      <c r="AD930" s="1518"/>
      <c r="AE930" s="1518"/>
      <c r="AF930" s="1624"/>
      <c r="AU930" s="2"/>
      <c r="AZ930" s="34"/>
      <c r="BA930" s="34"/>
      <c r="BB930" s="34"/>
      <c r="BC930" s="34"/>
    </row>
    <row r="931" spans="6:55" ht="12.95" customHeight="1">
      <c r="F931" s="1620" t="s">
        <v>2196</v>
      </c>
      <c r="G931" s="1621"/>
      <c r="H931" s="1621"/>
      <c r="I931" s="1621"/>
      <c r="J931" s="1621"/>
      <c r="K931" s="1621"/>
      <c r="L931" s="1621"/>
      <c r="M931" s="1621"/>
      <c r="N931" s="1621"/>
      <c r="O931" s="1621"/>
      <c r="P931" s="1621"/>
      <c r="Q931" s="1621"/>
      <c r="R931" s="1621"/>
      <c r="S931" s="1621"/>
      <c r="T931" s="1622"/>
      <c r="U931" s="1619" t="s">
        <v>590</v>
      </c>
      <c r="V931" s="1438"/>
      <c r="W931" s="1438"/>
      <c r="X931" s="1438"/>
      <c r="Y931" s="1438"/>
      <c r="Z931" s="1439"/>
      <c r="AA931" s="1623"/>
      <c r="AB931" s="1518"/>
      <c r="AC931" s="1518"/>
      <c r="AD931" s="1518"/>
      <c r="AE931" s="1518"/>
      <c r="AF931" s="1624"/>
      <c r="AU931" s="2"/>
      <c r="AZ931" s="34"/>
      <c r="BA931" s="34"/>
      <c r="BB931" s="34"/>
      <c r="BC931" s="34"/>
    </row>
    <row r="932" spans="6:55" ht="12.95" customHeight="1">
      <c r="F932" s="1620" t="s">
        <v>2197</v>
      </c>
      <c r="G932" s="1621"/>
      <c r="H932" s="1621"/>
      <c r="I932" s="1621"/>
      <c r="J932" s="1621"/>
      <c r="K932" s="1621"/>
      <c r="L932" s="1621"/>
      <c r="M932" s="1621"/>
      <c r="N932" s="1621"/>
      <c r="O932" s="1621"/>
      <c r="P932" s="1621"/>
      <c r="Q932" s="1621"/>
      <c r="R932" s="1621"/>
      <c r="S932" s="1621"/>
      <c r="T932" s="1622"/>
      <c r="U932" s="1619" t="s">
        <v>590</v>
      </c>
      <c r="V932" s="1438"/>
      <c r="W932" s="1438"/>
      <c r="X932" s="1438"/>
      <c r="Y932" s="1438"/>
      <c r="Z932" s="1439"/>
      <c r="AA932" s="1623"/>
      <c r="AB932" s="1518"/>
      <c r="AC932" s="1518"/>
      <c r="AD932" s="1518"/>
      <c r="AE932" s="1518"/>
      <c r="AF932" s="1624"/>
      <c r="AZ932" s="30"/>
      <c r="BA932" s="30"/>
    </row>
    <row r="933" spans="6:55" ht="12.95" customHeight="1">
      <c r="F933" s="178" t="s">
        <v>675</v>
      </c>
      <c r="G933" s="5"/>
      <c r="H933" s="5"/>
      <c r="I933" s="5"/>
      <c r="J933" s="5"/>
      <c r="K933" s="5"/>
      <c r="L933" s="5"/>
      <c r="M933" s="5"/>
      <c r="N933" s="5"/>
      <c r="O933" s="5"/>
      <c r="P933" s="5"/>
      <c r="Q933" s="5"/>
      <c r="R933" s="5"/>
      <c r="S933" s="5"/>
      <c r="T933" s="46"/>
      <c r="U933" s="1619" t="s">
        <v>590</v>
      </c>
      <c r="V933" s="1438"/>
      <c r="W933" s="1438"/>
      <c r="X933" s="1438"/>
      <c r="Y933" s="1438"/>
      <c r="Z933" s="1439"/>
      <c r="AA933" s="1623"/>
      <c r="AB933" s="1518"/>
      <c r="AC933" s="1518"/>
      <c r="AD933" s="1518"/>
      <c r="AE933" s="1518"/>
      <c r="AF933" s="1624"/>
    </row>
    <row r="934" spans="6:55" ht="12.95" customHeight="1">
      <c r="F934" s="121" t="s">
        <v>1277</v>
      </c>
      <c r="G934" s="5"/>
      <c r="H934" s="5"/>
      <c r="I934" s="5"/>
      <c r="J934" s="5"/>
      <c r="K934" s="5"/>
      <c r="L934" s="5"/>
      <c r="M934" s="5"/>
      <c r="N934" s="5"/>
      <c r="O934" s="5"/>
      <c r="P934" s="5"/>
      <c r="Q934" s="5"/>
      <c r="R934" s="5"/>
      <c r="S934" s="5"/>
      <c r="T934" s="46"/>
      <c r="U934" s="1619" t="s">
        <v>590</v>
      </c>
      <c r="V934" s="1438"/>
      <c r="W934" s="1438"/>
      <c r="X934" s="1438"/>
      <c r="Y934" s="1438"/>
      <c r="Z934" s="1439"/>
      <c r="AA934" s="1623"/>
      <c r="AB934" s="1518"/>
      <c r="AC934" s="1518"/>
      <c r="AD934" s="1518"/>
      <c r="AE934" s="1518"/>
      <c r="AF934" s="1624"/>
      <c r="AZ934" s="30"/>
      <c r="BA934" s="14"/>
    </row>
    <row r="935" spans="6:55" ht="12.95" customHeight="1">
      <c r="F935" s="66" t="s">
        <v>801</v>
      </c>
      <c r="G935" s="5"/>
      <c r="H935" s="5"/>
      <c r="I935" s="5"/>
      <c r="J935" s="5"/>
      <c r="K935" s="5"/>
      <c r="L935" s="5"/>
      <c r="M935" s="5"/>
      <c r="N935" s="5"/>
      <c r="O935" s="5"/>
      <c r="P935" s="5"/>
      <c r="Q935" s="5"/>
      <c r="R935" s="5"/>
      <c r="S935" s="5"/>
      <c r="T935" s="46"/>
      <c r="U935" s="1619" t="s">
        <v>590</v>
      </c>
      <c r="V935" s="1438"/>
      <c r="W935" s="1438"/>
      <c r="X935" s="1438"/>
      <c r="Y935" s="1438"/>
      <c r="Z935" s="1439"/>
      <c r="AA935" s="1623"/>
      <c r="AB935" s="1518"/>
      <c r="AC935" s="1518"/>
      <c r="AD935" s="1518"/>
      <c r="AE935" s="1518"/>
      <c r="AF935" s="1624"/>
      <c r="AZ935" s="30"/>
      <c r="BA935" s="14"/>
    </row>
    <row r="936" spans="6:55" ht="12.95" customHeight="1">
      <c r="F936" s="1616" t="s">
        <v>2201</v>
      </c>
      <c r="G936" s="1617"/>
      <c r="H936" s="1617"/>
      <c r="I936" s="1617"/>
      <c r="J936" s="1617"/>
      <c r="K936" s="1617"/>
      <c r="L936" s="1617"/>
      <c r="M936" s="1617"/>
      <c r="N936" s="1617"/>
      <c r="O936" s="1617"/>
      <c r="P936" s="1617"/>
      <c r="Q936" s="1617"/>
      <c r="R936" s="1617"/>
      <c r="S936" s="1617"/>
      <c r="T936" s="1618"/>
      <c r="U936" s="1619" t="s">
        <v>590</v>
      </c>
      <c r="V936" s="1438"/>
      <c r="W936" s="1438"/>
      <c r="X936" s="1438"/>
      <c r="Y936" s="1438"/>
      <c r="Z936" s="1439"/>
      <c r="AA936" s="1623"/>
      <c r="AB936" s="1518"/>
      <c r="AC936" s="1518"/>
      <c r="AD936" s="1518"/>
      <c r="AE936" s="1518"/>
      <c r="AF936" s="1624"/>
      <c r="AZ936" s="30"/>
      <c r="BA936" s="14"/>
    </row>
    <row r="937" spans="6:55" ht="12.95" customHeight="1">
      <c r="F937" s="1616" t="s">
        <v>2202</v>
      </c>
      <c r="G937" s="1617"/>
      <c r="H937" s="1617"/>
      <c r="I937" s="1617"/>
      <c r="J937" s="1617"/>
      <c r="K937" s="1617"/>
      <c r="L937" s="1617"/>
      <c r="M937" s="1617"/>
      <c r="N937" s="1617"/>
      <c r="O937" s="1617"/>
      <c r="P937" s="1617"/>
      <c r="Q937" s="1617"/>
      <c r="R937" s="1617"/>
      <c r="S937" s="1617"/>
      <c r="T937" s="1618"/>
      <c r="U937" s="1619" t="s">
        <v>590</v>
      </c>
      <c r="V937" s="1438"/>
      <c r="W937" s="1438"/>
      <c r="X937" s="1438"/>
      <c r="Y937" s="1438"/>
      <c r="Z937" s="1439"/>
      <c r="AA937" s="1623"/>
      <c r="AB937" s="1518"/>
      <c r="AC937" s="1518"/>
      <c r="AD937" s="1518"/>
      <c r="AE937" s="1518"/>
      <c r="AF937" s="1624"/>
      <c r="AZ937" s="30"/>
      <c r="BA937" s="30"/>
    </row>
    <row r="938" spans="6:55" ht="12.95" customHeight="1">
      <c r="F938" s="1620" t="s">
        <v>2198</v>
      </c>
      <c r="G938" s="1621"/>
      <c r="H938" s="1621"/>
      <c r="I938" s="1621"/>
      <c r="J938" s="1621"/>
      <c r="K938" s="1621"/>
      <c r="L938" s="1621"/>
      <c r="M938" s="1621"/>
      <c r="N938" s="1621"/>
      <c r="O938" s="1621"/>
      <c r="P938" s="1621"/>
      <c r="Q938" s="1621"/>
      <c r="R938" s="1621"/>
      <c r="S938" s="1621"/>
      <c r="T938" s="1622"/>
      <c r="U938" s="1619" t="s">
        <v>590</v>
      </c>
      <c r="V938" s="1438"/>
      <c r="W938" s="1438"/>
      <c r="X938" s="1438"/>
      <c r="Y938" s="1438"/>
      <c r="Z938" s="1439"/>
      <c r="AA938" s="1623"/>
      <c r="AB938" s="1518"/>
      <c r="AC938" s="1518"/>
      <c r="AD938" s="1518"/>
      <c r="AE938" s="1518"/>
      <c r="AF938" s="1624"/>
      <c r="AZ938" s="30"/>
      <c r="BA938" s="30"/>
    </row>
    <row r="939" spans="6:55" ht="12.95" customHeight="1">
      <c r="F939" s="1620" t="s">
        <v>2199</v>
      </c>
      <c r="G939" s="1621"/>
      <c r="H939" s="1621"/>
      <c r="I939" s="1621"/>
      <c r="J939" s="1621"/>
      <c r="K939" s="1621"/>
      <c r="L939" s="1621"/>
      <c r="M939" s="1621"/>
      <c r="N939" s="1621"/>
      <c r="O939" s="1621"/>
      <c r="P939" s="1621"/>
      <c r="Q939" s="1621"/>
      <c r="R939" s="1621"/>
      <c r="S939" s="1621"/>
      <c r="T939" s="1622"/>
      <c r="U939" s="1619" t="s">
        <v>590</v>
      </c>
      <c r="V939" s="1438"/>
      <c r="W939" s="1438"/>
      <c r="X939" s="1438"/>
      <c r="Y939" s="1438"/>
      <c r="Z939" s="1439"/>
      <c r="AA939" s="1623"/>
      <c r="AB939" s="1518"/>
      <c r="AC939" s="1518"/>
      <c r="AD939" s="1518"/>
      <c r="AE939" s="1518"/>
      <c r="AF939" s="1624"/>
      <c r="AZ939" s="30"/>
      <c r="BA939" s="30"/>
    </row>
    <row r="940" spans="6:55" ht="12.95" customHeight="1">
      <c r="F940" s="1620" t="s">
        <v>2200</v>
      </c>
      <c r="G940" s="1621"/>
      <c r="H940" s="1621"/>
      <c r="I940" s="1621"/>
      <c r="J940" s="1621"/>
      <c r="K940" s="1621"/>
      <c r="L940" s="1621"/>
      <c r="M940" s="1621"/>
      <c r="N940" s="1621"/>
      <c r="O940" s="1621"/>
      <c r="P940" s="1621"/>
      <c r="Q940" s="1621"/>
      <c r="R940" s="1621"/>
      <c r="S940" s="1621"/>
      <c r="T940" s="1622"/>
      <c r="U940" s="1619" t="s">
        <v>590</v>
      </c>
      <c r="V940" s="1438"/>
      <c r="W940" s="1438"/>
      <c r="X940" s="1438"/>
      <c r="Y940" s="1438"/>
      <c r="Z940" s="1439"/>
      <c r="AA940" s="1623"/>
      <c r="AB940" s="1518"/>
      <c r="AC940" s="1518"/>
      <c r="AD940" s="1518"/>
      <c r="AE940" s="1518"/>
      <c r="AF940" s="1624"/>
      <c r="AZ940" s="34"/>
      <c r="BA940" s="34"/>
      <c r="BB940" s="14"/>
      <c r="BC940" s="14"/>
    </row>
    <row r="941" spans="6:55" ht="12.95" customHeight="1">
      <c r="F941" s="121" t="s">
        <v>1261</v>
      </c>
      <c r="G941" s="5"/>
      <c r="H941" s="5"/>
      <c r="I941" s="5"/>
      <c r="J941" s="5"/>
      <c r="K941" s="5"/>
      <c r="L941" s="5"/>
      <c r="M941" s="5"/>
      <c r="N941" s="5"/>
      <c r="O941" s="5"/>
      <c r="P941" s="5"/>
      <c r="Q941" s="5"/>
      <c r="R941" s="5"/>
      <c r="S941" s="5"/>
      <c r="T941" s="46"/>
      <c r="U941" s="1619" t="s">
        <v>590</v>
      </c>
      <c r="V941" s="1438"/>
      <c r="W941" s="1438"/>
      <c r="X941" s="1438"/>
      <c r="Y941" s="1438"/>
      <c r="Z941" s="1439"/>
      <c r="AA941" s="1623"/>
      <c r="AB941" s="1518"/>
      <c r="AC941" s="1518"/>
      <c r="AD941" s="1518"/>
      <c r="AE941" s="1518"/>
      <c r="AF941" s="1624"/>
      <c r="AZ941" s="34"/>
      <c r="BA941" s="34"/>
      <c r="BB941" s="14"/>
      <c r="BC941" s="14"/>
    </row>
    <row r="942" spans="6:55" ht="12.95" customHeight="1">
      <c r="F942" s="1616" t="s">
        <v>2203</v>
      </c>
      <c r="G942" s="1617"/>
      <c r="H942" s="1617"/>
      <c r="I942" s="1617"/>
      <c r="J942" s="1617"/>
      <c r="K942" s="1617"/>
      <c r="L942" s="1617"/>
      <c r="M942" s="1617"/>
      <c r="N942" s="1617"/>
      <c r="O942" s="1617"/>
      <c r="P942" s="1617"/>
      <c r="Q942" s="1617"/>
      <c r="R942" s="1617"/>
      <c r="S942" s="1617"/>
      <c r="T942" s="1618"/>
      <c r="U942" s="1619" t="s">
        <v>590</v>
      </c>
      <c r="V942" s="1438"/>
      <c r="W942" s="1438"/>
      <c r="X942" s="1438"/>
      <c r="Y942" s="1438"/>
      <c r="Z942" s="1439"/>
      <c r="AA942" s="1623"/>
      <c r="AB942" s="1518"/>
      <c r="AC942" s="1518"/>
      <c r="AD942" s="1518"/>
      <c r="AE942" s="1518"/>
      <c r="AF942" s="1624"/>
      <c r="AZ942" s="34"/>
      <c r="BA942" s="34"/>
      <c r="BB942" s="34"/>
      <c r="BC942" s="34"/>
    </row>
    <row r="943" spans="6:55" ht="12.95" customHeight="1">
      <c r="F943" s="121" t="s">
        <v>1262</v>
      </c>
      <c r="G943" s="5"/>
      <c r="H943" s="5"/>
      <c r="I943" s="5"/>
      <c r="J943" s="5"/>
      <c r="K943" s="5"/>
      <c r="L943" s="5"/>
      <c r="M943" s="5"/>
      <c r="N943" s="5"/>
      <c r="O943" s="5"/>
      <c r="P943" s="5"/>
      <c r="Q943" s="5"/>
      <c r="R943" s="5"/>
      <c r="S943" s="5"/>
      <c r="T943" s="46"/>
      <c r="U943" s="1619" t="s">
        <v>590</v>
      </c>
      <c r="V943" s="1438"/>
      <c r="W943" s="1438"/>
      <c r="X943" s="1438"/>
      <c r="Y943" s="1438"/>
      <c r="Z943" s="1439"/>
      <c r="AA943" s="1623"/>
      <c r="AB943" s="1518"/>
      <c r="AC943" s="1518"/>
      <c r="AD943" s="1518"/>
      <c r="AE943" s="1518"/>
      <c r="AF943" s="1624"/>
      <c r="AZ943" s="34"/>
      <c r="BA943" s="34"/>
      <c r="BB943" s="34"/>
      <c r="BC943" s="34"/>
    </row>
    <row r="944" spans="6:55" ht="12.95" customHeight="1">
      <c r="F944" s="1616" t="s">
        <v>2204</v>
      </c>
      <c r="G944" s="1617"/>
      <c r="H944" s="1617"/>
      <c r="I944" s="1617"/>
      <c r="J944" s="1617"/>
      <c r="K944" s="1617"/>
      <c r="L944" s="1617"/>
      <c r="M944" s="1617"/>
      <c r="N944" s="1617"/>
      <c r="O944" s="1617"/>
      <c r="P944" s="1617"/>
      <c r="Q944" s="1617"/>
      <c r="R944" s="1617"/>
      <c r="S944" s="1617"/>
      <c r="T944" s="1618"/>
      <c r="U944" s="1619" t="s">
        <v>590</v>
      </c>
      <c r="V944" s="1438"/>
      <c r="W944" s="1438"/>
      <c r="X944" s="1438"/>
      <c r="Y944" s="1438"/>
      <c r="Z944" s="1439"/>
      <c r="AA944" s="1623"/>
      <c r="AB944" s="1518"/>
      <c r="AC944" s="1518"/>
      <c r="AD944" s="1518"/>
      <c r="AE944" s="1518"/>
      <c r="AF944" s="1624"/>
      <c r="AZ944" s="34"/>
      <c r="BA944" s="34"/>
      <c r="BB944" s="34"/>
      <c r="BC944" s="34"/>
    </row>
    <row r="945" spans="1:55" ht="12.95" customHeight="1">
      <c r="F945" s="45" t="s">
        <v>805</v>
      </c>
      <c r="G945" s="5"/>
      <c r="H945" s="5"/>
      <c r="I945" s="5"/>
      <c r="J945" s="5"/>
      <c r="K945" s="5"/>
      <c r="L945" s="5"/>
      <c r="M945" s="5"/>
      <c r="N945" s="5"/>
      <c r="O945" s="5"/>
      <c r="P945" s="1619" t="s">
        <v>668</v>
      </c>
      <c r="Q945" s="1438"/>
      <c r="R945" s="1438"/>
      <c r="S945" s="1438"/>
      <c r="T945" s="1439"/>
      <c r="U945" s="1619" t="s">
        <v>590</v>
      </c>
      <c r="V945" s="1438"/>
      <c r="W945" s="1438"/>
      <c r="X945" s="1438"/>
      <c r="Y945" s="1438"/>
      <c r="Z945" s="1439"/>
      <c r="AA945" s="1623"/>
      <c r="AB945" s="1518"/>
      <c r="AC945" s="1518"/>
      <c r="AD945" s="1518"/>
      <c r="AE945" s="1518"/>
      <c r="AF945" s="1624"/>
      <c r="AZ945" s="34"/>
      <c r="BA945" s="34"/>
      <c r="BB945" s="34"/>
      <c r="BC945" s="34"/>
    </row>
    <row r="946" spans="1:55" ht="12.95" customHeight="1">
      <c r="F946" s="1620" t="s">
        <v>2191</v>
      </c>
      <c r="G946" s="1621"/>
      <c r="H946" s="1622"/>
      <c r="I946" s="1643" t="s">
        <v>333</v>
      </c>
      <c r="J946" s="1644"/>
      <c r="K946" s="1644"/>
      <c r="L946" s="1644"/>
      <c r="M946" s="1644"/>
      <c r="N946" s="1644"/>
      <c r="O946" s="1644"/>
      <c r="P946" s="1644"/>
      <c r="Q946" s="1644"/>
      <c r="R946" s="1644"/>
      <c r="S946" s="1644"/>
      <c r="T946" s="1645"/>
      <c r="U946" s="1619" t="s">
        <v>590</v>
      </c>
      <c r="V946" s="1438"/>
      <c r="W946" s="1438"/>
      <c r="X946" s="1438"/>
      <c r="Y946" s="1438"/>
      <c r="Z946" s="1439"/>
      <c r="AA946" s="1623"/>
      <c r="AB946" s="1518"/>
      <c r="AC946" s="1518"/>
      <c r="AD946" s="1518"/>
      <c r="AE946" s="1518"/>
      <c r="AF946" s="1624"/>
      <c r="AZ946" s="34"/>
      <c r="BA946" s="34"/>
      <c r="BB946" s="34"/>
      <c r="BC946" s="34"/>
    </row>
    <row r="947" spans="1:55" ht="12.95" customHeight="1">
      <c r="F947" s="45" t="s">
        <v>86</v>
      </c>
      <c r="G947" s="48"/>
      <c r="H947" s="48"/>
      <c r="I947" s="1643" t="s">
        <v>333</v>
      </c>
      <c r="J947" s="1644"/>
      <c r="K947" s="1644"/>
      <c r="L947" s="1644"/>
      <c r="M947" s="1644"/>
      <c r="N947" s="1644"/>
      <c r="O947" s="1644"/>
      <c r="P947" s="1644"/>
      <c r="Q947" s="1644"/>
      <c r="R947" s="1644"/>
      <c r="S947" s="1644"/>
      <c r="T947" s="1645"/>
      <c r="U947" s="1619" t="s">
        <v>590</v>
      </c>
      <c r="V947" s="1438"/>
      <c r="W947" s="1438"/>
      <c r="X947" s="1438"/>
      <c r="Y947" s="1438"/>
      <c r="Z947" s="1439"/>
      <c r="AA947" s="1623"/>
      <c r="AB947" s="1518"/>
      <c r="AC947" s="1518"/>
      <c r="AD947" s="1518"/>
      <c r="AE947" s="1518"/>
      <c r="AF947" s="1624"/>
      <c r="AZ947" s="34"/>
      <c r="BA947" s="34"/>
      <c r="BB947" s="34"/>
      <c r="BC947" s="34"/>
    </row>
    <row r="948" spans="1:55" ht="12.95" customHeight="1">
      <c r="F948" s="45" t="s">
        <v>10</v>
      </c>
      <c r="G948" s="48"/>
      <c r="H948" s="48"/>
      <c r="I948" s="1708" t="s">
        <v>333</v>
      </c>
      <c r="J948" s="1709"/>
      <c r="K948" s="1709"/>
      <c r="L948" s="1709"/>
      <c r="M948" s="1709"/>
      <c r="N948" s="1709"/>
      <c r="O948" s="1709"/>
      <c r="P948" s="1709"/>
      <c r="Q948" s="1709"/>
      <c r="R948" s="1709"/>
      <c r="S948" s="1709"/>
      <c r="T948" s="1710"/>
      <c r="U948" s="1619" t="s">
        <v>590</v>
      </c>
      <c r="V948" s="1438"/>
      <c r="W948" s="1438"/>
      <c r="X948" s="1438"/>
      <c r="Y948" s="1438"/>
      <c r="Z948" s="1439"/>
      <c r="AA948" s="1623"/>
      <c r="AB948" s="1518"/>
      <c r="AC948" s="1518"/>
      <c r="AD948" s="1518"/>
      <c r="AE948" s="1518"/>
      <c r="AF948" s="1624"/>
      <c r="AV948" s="2"/>
      <c r="AW948" s="2"/>
      <c r="AX948" s="2"/>
      <c r="AY948" s="2"/>
      <c r="AZ948" s="34"/>
      <c r="BA948" s="34"/>
      <c r="BB948" s="34"/>
      <c r="BC948" s="34"/>
    </row>
    <row r="949" spans="1:55" ht="12.95" customHeight="1">
      <c r="F949" s="47" t="s">
        <v>169</v>
      </c>
      <c r="G949" s="48"/>
      <c r="H949" s="48"/>
      <c r="I949" s="1643" t="s">
        <v>2719</v>
      </c>
      <c r="J949" s="1709"/>
      <c r="K949" s="1709"/>
      <c r="L949" s="1709"/>
      <c r="M949" s="1709"/>
      <c r="N949" s="1709"/>
      <c r="O949" s="1709"/>
      <c r="P949" s="1709"/>
      <c r="Q949" s="1709"/>
      <c r="R949" s="1709"/>
      <c r="S949" s="1709"/>
      <c r="T949" s="1710"/>
      <c r="U949" s="1619" t="s">
        <v>544</v>
      </c>
      <c r="V949" s="1438"/>
      <c r="W949" s="1438"/>
      <c r="X949" s="1438"/>
      <c r="Y949" s="1438"/>
      <c r="Z949" s="1439"/>
      <c r="AA949" s="1623">
        <v>6000000</v>
      </c>
      <c r="AB949" s="1518"/>
      <c r="AC949" s="1518"/>
      <c r="AD949" s="1518"/>
      <c r="AE949" s="1518"/>
      <c r="AF949" s="1624"/>
      <c r="AU949" s="2"/>
      <c r="AZ949" s="34"/>
      <c r="BA949" s="34"/>
      <c r="BB949" s="34"/>
      <c r="BC949" s="34"/>
    </row>
    <row r="950" spans="1:55" ht="12.95" customHeight="1">
      <c r="F950" s="47" t="s">
        <v>169</v>
      </c>
      <c r="G950" s="48"/>
      <c r="H950" s="48"/>
      <c r="I950" s="1708" t="s">
        <v>333</v>
      </c>
      <c r="J950" s="1709"/>
      <c r="K950" s="1709"/>
      <c r="L950" s="1709"/>
      <c r="M950" s="1709"/>
      <c r="N950" s="1709"/>
      <c r="O950" s="1709"/>
      <c r="P950" s="1709"/>
      <c r="Q950" s="1709"/>
      <c r="R950" s="1709"/>
      <c r="S950" s="1709"/>
      <c r="T950" s="1710"/>
      <c r="U950" s="1619" t="s">
        <v>590</v>
      </c>
      <c r="V950" s="1438"/>
      <c r="W950" s="1438"/>
      <c r="X950" s="1438"/>
      <c r="Y950" s="1438"/>
      <c r="Z950" s="1439"/>
      <c r="AA950" s="1623"/>
      <c r="AB950" s="1518"/>
      <c r="AC950" s="1518"/>
      <c r="AD950" s="1518"/>
      <c r="AE950" s="1518"/>
      <c r="AF950" s="1624"/>
      <c r="AU950" s="2"/>
      <c r="AZ950" s="34"/>
      <c r="BA950" s="34"/>
      <c r="BB950" s="34"/>
      <c r="BC950" s="34"/>
    </row>
    <row r="951" spans="1:55" ht="12.95" customHeight="1">
      <c r="AU951" s="2"/>
      <c r="AZ951" s="34"/>
      <c r="BA951" s="34"/>
      <c r="BB951" s="34"/>
      <c r="BC951" s="34"/>
    </row>
    <row r="952" spans="1:55" ht="12.95" customHeight="1">
      <c r="A952" s="2" t="s">
        <v>575</v>
      </c>
      <c r="C952" s="2" t="s">
        <v>750</v>
      </c>
      <c r="AZ952" s="34"/>
      <c r="BA952" s="34"/>
      <c r="BB952" s="34"/>
      <c r="BC952" s="34"/>
    </row>
    <row r="953" spans="1:55" ht="12.9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712"/>
      <c r="N955" s="1514"/>
      <c r="O955" s="1514"/>
      <c r="P955" s="1514"/>
      <c r="Q955" s="1514"/>
      <c r="R955" s="1514"/>
      <c r="S955" s="1657"/>
      <c r="U955" s="66" t="s">
        <v>11</v>
      </c>
      <c r="V955" s="5"/>
      <c r="W955" s="5"/>
      <c r="X955" s="5"/>
      <c r="Y955" s="5"/>
      <c r="Z955" s="5"/>
      <c r="AA955" s="5"/>
      <c r="AB955" s="5"/>
      <c r="AC955" s="5"/>
      <c r="AD955" s="46"/>
      <c r="AE955" s="1712"/>
      <c r="AF955" s="1514"/>
      <c r="AG955" s="1514"/>
      <c r="AH955" s="1514"/>
      <c r="AI955" s="1514"/>
      <c r="AJ955" s="1514"/>
      <c r="AK955" s="1657"/>
      <c r="AZ955" s="34"/>
      <c r="BA955" s="34"/>
      <c r="BB955" s="34"/>
      <c r="BC955" s="34"/>
    </row>
    <row r="956" spans="1:55" ht="12.95" customHeight="1">
      <c r="C956" s="66" t="s">
        <v>12</v>
      </c>
      <c r="D956" s="5"/>
      <c r="E956" s="5"/>
      <c r="F956" s="5"/>
      <c r="G956" s="5"/>
      <c r="H956" s="5"/>
      <c r="I956" s="5"/>
      <c r="J956" s="5"/>
      <c r="K956" s="5"/>
      <c r="L956" s="46"/>
      <c r="M956" s="1724"/>
      <c r="N956" s="1529"/>
      <c r="O956" s="1529"/>
      <c r="P956" s="1529"/>
      <c r="Q956" s="1529"/>
      <c r="R956" s="1529"/>
      <c r="S956" s="1725"/>
      <c r="U956" s="66" t="s">
        <v>12</v>
      </c>
      <c r="V956" s="5"/>
      <c r="W956" s="5"/>
      <c r="X956" s="5"/>
      <c r="Y956" s="5"/>
      <c r="Z956" s="5"/>
      <c r="AA956" s="5"/>
      <c r="AB956" s="5"/>
      <c r="AC956" s="5"/>
      <c r="AD956" s="46"/>
      <c r="AE956" s="1724"/>
      <c r="AF956" s="1529"/>
      <c r="AG956" s="1529"/>
      <c r="AH956" s="1529"/>
      <c r="AI956" s="1529"/>
      <c r="AJ956" s="1529"/>
      <c r="AK956" s="1725"/>
      <c r="AZ956" s="34"/>
      <c r="BA956" s="34"/>
      <c r="BB956" s="34"/>
      <c r="BC956" s="34"/>
    </row>
    <row r="957" spans="1:55" ht="12.95" customHeight="1">
      <c r="C957" s="66" t="s">
        <v>879</v>
      </c>
      <c r="D957" s="5"/>
      <c r="E957" s="5"/>
      <c r="J957" s="1721" t="s">
        <v>306</v>
      </c>
      <c r="K957" s="1722"/>
      <c r="L957" s="1722"/>
      <c r="M957" s="1722"/>
      <c r="N957" s="1722"/>
      <c r="O957" s="1722"/>
      <c r="P957" s="1722"/>
      <c r="Q957" s="1722"/>
      <c r="R957" s="1722"/>
      <c r="S957" s="1723"/>
      <c r="U957" s="66" t="s">
        <v>879</v>
      </c>
      <c r="V957" s="5"/>
      <c r="W957" s="5"/>
      <c r="AB957" s="1721" t="s">
        <v>306</v>
      </c>
      <c r="AC957" s="1722"/>
      <c r="AD957" s="1722"/>
      <c r="AE957" s="1722"/>
      <c r="AF957" s="1722"/>
      <c r="AG957" s="1722"/>
      <c r="AH957" s="1722"/>
      <c r="AI957" s="1722"/>
      <c r="AJ957" s="1722"/>
      <c r="AK957" s="1723"/>
      <c r="AZ957" s="34"/>
      <c r="BA957" s="34"/>
      <c r="BB957" s="34"/>
      <c r="BC957" s="34"/>
    </row>
    <row r="958" spans="1:55" ht="12.95" customHeight="1">
      <c r="C958" s="66" t="s">
        <v>13</v>
      </c>
      <c r="D958" s="5"/>
      <c r="E958" s="5"/>
      <c r="F958" s="5"/>
      <c r="G958" s="5"/>
      <c r="H958" s="5"/>
      <c r="I958" s="5"/>
      <c r="J958" s="5"/>
      <c r="K958" s="5"/>
      <c r="L958" s="46"/>
      <c r="M958" s="1729"/>
      <c r="N958" s="1730"/>
      <c r="O958" s="1730"/>
      <c r="P958" s="1730"/>
      <c r="Q958" s="1730"/>
      <c r="R958" s="1730"/>
      <c r="S958" s="1731"/>
      <c r="U958" s="66" t="s">
        <v>13</v>
      </c>
      <c r="V958" s="5"/>
      <c r="W958" s="5"/>
      <c r="X958" s="5"/>
      <c r="Y958" s="5"/>
      <c r="Z958" s="5"/>
      <c r="AA958" s="5"/>
      <c r="AB958" s="5"/>
      <c r="AC958" s="5"/>
      <c r="AD958" s="46"/>
      <c r="AE958" s="1837"/>
      <c r="AF958" s="1730"/>
      <c r="AG958" s="1730"/>
      <c r="AH958" s="1730"/>
      <c r="AI958" s="1730"/>
      <c r="AJ958" s="1730"/>
      <c r="AK958" s="1731"/>
      <c r="AZ958" s="34"/>
      <c r="BA958" s="34"/>
      <c r="BB958" s="34"/>
      <c r="BC958" s="34"/>
    </row>
    <row r="959" spans="1:55" ht="12.95" customHeight="1">
      <c r="C959" s="66" t="s">
        <v>14</v>
      </c>
      <c r="D959" s="5"/>
      <c r="E959" s="5"/>
      <c r="F959" s="5"/>
      <c r="G959" s="5"/>
      <c r="H959" s="5"/>
      <c r="I959" s="5"/>
      <c r="J959" s="5"/>
      <c r="K959" s="5"/>
      <c r="L959" s="46"/>
      <c r="M959" s="1615"/>
      <c r="N959" s="1613"/>
      <c r="O959" s="1613"/>
      <c r="P959" s="1613"/>
      <c r="Q959" s="1613"/>
      <c r="R959" s="1613"/>
      <c r="S959" s="1614"/>
      <c r="U959" s="66" t="s">
        <v>14</v>
      </c>
      <c r="V959" s="5"/>
      <c r="W959" s="5"/>
      <c r="X959" s="5"/>
      <c r="Y959" s="5"/>
      <c r="Z959" s="5"/>
      <c r="AA959" s="5"/>
      <c r="AB959" s="5"/>
      <c r="AC959" s="5"/>
      <c r="AD959" s="46"/>
      <c r="AE959" s="1615"/>
      <c r="AF959" s="1613"/>
      <c r="AG959" s="1613"/>
      <c r="AH959" s="1613"/>
      <c r="AI959" s="1613"/>
      <c r="AJ959" s="1613"/>
      <c r="AK959" s="1614"/>
      <c r="AV959" s="2"/>
      <c r="AW959" s="2"/>
      <c r="AX959" s="2"/>
      <c r="AY959" s="2"/>
      <c r="AZ959" s="34"/>
      <c r="BA959" s="34"/>
      <c r="BB959" s="34"/>
      <c r="BC959" s="34"/>
    </row>
    <row r="960" spans="1:55" ht="12.95" customHeight="1">
      <c r="C960" s="66" t="s">
        <v>15</v>
      </c>
      <c r="D960" s="5"/>
      <c r="E960" s="5"/>
      <c r="F960" s="5"/>
      <c r="G960" s="5"/>
      <c r="H960" s="5"/>
      <c r="I960" s="5"/>
      <c r="J960" s="5"/>
      <c r="K960" s="5"/>
      <c r="L960" s="46"/>
      <c r="M960" s="1623"/>
      <c r="N960" s="1518"/>
      <c r="O960" s="1518"/>
      <c r="P960" s="1518"/>
      <c r="Q960" s="1518"/>
      <c r="R960" s="1518"/>
      <c r="S960" s="1624"/>
      <c r="U960" s="66" t="s">
        <v>15</v>
      </c>
      <c r="V960" s="5"/>
      <c r="W960" s="5"/>
      <c r="X960" s="5"/>
      <c r="Y960" s="5"/>
      <c r="Z960" s="5"/>
      <c r="AA960" s="5"/>
      <c r="AB960" s="5"/>
      <c r="AC960" s="5"/>
      <c r="AD960" s="46"/>
      <c r="AE960" s="1623"/>
      <c r="AF960" s="1518"/>
      <c r="AG960" s="1518"/>
      <c r="AH960" s="1518"/>
      <c r="AI960" s="1518"/>
      <c r="AJ960" s="1518"/>
      <c r="AK960" s="1624"/>
      <c r="AV960" s="2"/>
      <c r="AW960" s="2"/>
      <c r="AX960" s="2"/>
      <c r="AY960" s="2"/>
      <c r="AZ960" s="34"/>
      <c r="BA960" s="34"/>
      <c r="BB960" s="34"/>
      <c r="BC960" s="34"/>
    </row>
    <row r="961" spans="1:64" ht="12.95" customHeight="1">
      <c r="C961" s="66" t="s">
        <v>16</v>
      </c>
      <c r="D961" s="5"/>
      <c r="E961" s="5"/>
      <c r="F961" s="5"/>
      <c r="G961" s="5"/>
      <c r="H961" s="5"/>
      <c r="I961" s="5"/>
      <c r="J961" s="5"/>
      <c r="K961" s="5"/>
      <c r="L961" s="46"/>
      <c r="M961" s="1623"/>
      <c r="N961" s="1518"/>
      <c r="O961" s="1518"/>
      <c r="P961" s="1518"/>
      <c r="Q961" s="1518"/>
      <c r="R961" s="1518"/>
      <c r="S961" s="1624"/>
      <c r="U961" s="66" t="s">
        <v>16</v>
      </c>
      <c r="V961" s="5"/>
      <c r="W961" s="5"/>
      <c r="X961" s="5"/>
      <c r="Y961" s="5"/>
      <c r="Z961" s="5"/>
      <c r="AA961" s="5"/>
      <c r="AB961" s="5"/>
      <c r="AC961" s="5"/>
      <c r="AD961" s="46"/>
      <c r="AE961" s="1623"/>
      <c r="AF961" s="1518"/>
      <c r="AG961" s="1518"/>
      <c r="AH961" s="1518"/>
      <c r="AI961" s="1518"/>
      <c r="AJ961" s="1518"/>
      <c r="AK961" s="1624"/>
      <c r="AV961" s="2"/>
      <c r="AW961" s="2"/>
      <c r="AX961" s="2"/>
      <c r="AY961" s="2"/>
      <c r="AZ961" s="34"/>
      <c r="BB961" s="34"/>
      <c r="BC961" s="34"/>
    </row>
    <row r="962" spans="1:64" ht="12.95" customHeight="1">
      <c r="C962" s="121" t="s">
        <v>1661</v>
      </c>
      <c r="D962" s="5"/>
      <c r="E962" s="5"/>
      <c r="F962" s="5"/>
      <c r="G962" s="5"/>
      <c r="H962" s="5"/>
      <c r="I962" s="5"/>
      <c r="J962" s="5"/>
      <c r="K962" s="5"/>
      <c r="L962" s="46"/>
      <c r="M962" s="1726"/>
      <c r="N962" s="1727"/>
      <c r="O962" s="1727"/>
      <c r="P962" s="1727"/>
      <c r="Q962" s="1727"/>
      <c r="R962" s="1727"/>
      <c r="S962" s="1728"/>
      <c r="U962" s="121" t="s">
        <v>1661</v>
      </c>
      <c r="V962" s="5"/>
      <c r="W962" s="5"/>
      <c r="X962" s="5"/>
      <c r="Y962" s="5"/>
      <c r="Z962" s="5"/>
      <c r="AA962" s="5"/>
      <c r="AB962" s="5"/>
      <c r="AC962" s="5"/>
      <c r="AD962" s="46"/>
      <c r="AE962" s="1726"/>
      <c r="AF962" s="1727"/>
      <c r="AG962" s="1727"/>
      <c r="AH962" s="1727"/>
      <c r="AI962" s="1727"/>
      <c r="AJ962" s="1727"/>
      <c r="AK962" s="1728"/>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585</v>
      </c>
      <c r="C964" s="2" t="s">
        <v>649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570</v>
      </c>
      <c r="G967" s="5"/>
      <c r="H967" s="5"/>
      <c r="I967" s="5"/>
      <c r="J967" s="5"/>
      <c r="K967" s="5"/>
      <c r="L967" s="46"/>
      <c r="M967" s="1705"/>
      <c r="N967" s="1706"/>
      <c r="O967" s="1706"/>
      <c r="P967" s="1706"/>
      <c r="Q967" s="1706"/>
      <c r="R967" s="1706"/>
      <c r="S967" s="1707"/>
      <c r="T967" s="66" t="s">
        <v>789</v>
      </c>
      <c r="U967" s="5"/>
      <c r="V967" s="5"/>
      <c r="W967" s="5"/>
      <c r="X967" s="5"/>
      <c r="Y967" s="5"/>
      <c r="Z967" s="46"/>
      <c r="AA967" s="1705"/>
      <c r="AB967" s="1706"/>
      <c r="AC967" s="1706"/>
      <c r="AD967" s="1706"/>
      <c r="AE967" s="1706"/>
      <c r="AF967" s="1706"/>
      <c r="AG967" s="1707"/>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571</v>
      </c>
      <c r="G968" s="5"/>
      <c r="H968" s="5"/>
      <c r="I968" s="5"/>
      <c r="J968" s="5"/>
      <c r="K968" s="5"/>
      <c r="L968" s="46"/>
      <c r="M968" s="1705"/>
      <c r="N968" s="1706"/>
      <c r="O968" s="1706"/>
      <c r="P968" s="1706"/>
      <c r="Q968" s="1706"/>
      <c r="R968" s="1706"/>
      <c r="S968" s="1707"/>
      <c r="T968" s="66" t="s">
        <v>788</v>
      </c>
      <c r="U968" s="5"/>
      <c r="V968" s="5"/>
      <c r="W968" s="5"/>
      <c r="X968" s="5"/>
      <c r="Y968" s="5"/>
      <c r="Z968" s="46"/>
      <c r="AA968" s="1705"/>
      <c r="AB968" s="1706"/>
      <c r="AC968" s="1706"/>
      <c r="AD968" s="1706"/>
      <c r="AE968" s="1706"/>
      <c r="AF968" s="1706"/>
      <c r="AG968" s="1707"/>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900</v>
      </c>
      <c r="G969" s="5"/>
      <c r="H969" s="5"/>
      <c r="I969" s="5"/>
      <c r="J969" s="5"/>
      <c r="K969" s="5"/>
      <c r="L969" s="46"/>
      <c r="M969" s="1713" t="s">
        <v>590</v>
      </c>
      <c r="N969" s="1714"/>
      <c r="O969" s="1714"/>
      <c r="P969" s="1714"/>
      <c r="Q969" s="1714"/>
      <c r="R969" s="1714"/>
      <c r="S969" s="1715"/>
      <c r="T969" s="45" t="s">
        <v>336</v>
      </c>
      <c r="U969" s="5"/>
      <c r="V969" s="5"/>
      <c r="W969" s="5"/>
      <c r="X969" s="5"/>
      <c r="Y969" s="5"/>
      <c r="Z969" s="46"/>
      <c r="AA969" s="1705"/>
      <c r="AB969" s="1706"/>
      <c r="AC969" s="1706"/>
      <c r="AD969" s="1706"/>
      <c r="AE969" s="1706"/>
      <c r="AF969" s="1706"/>
      <c r="AG969" s="1707"/>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572</v>
      </c>
      <c r="G970" s="5"/>
      <c r="H970" s="5"/>
      <c r="I970" s="5"/>
      <c r="J970" s="5"/>
      <c r="K970" s="5"/>
      <c r="L970" s="46"/>
      <c r="M970" s="1705"/>
      <c r="N970" s="1706"/>
      <c r="O970" s="1706"/>
      <c r="P970" s="1706"/>
      <c r="Q970" s="1706"/>
      <c r="R970" s="1706"/>
      <c r="S970" s="1707"/>
      <c r="T970" s="45" t="s">
        <v>337</v>
      </c>
      <c r="U970" s="5"/>
      <c r="V970" s="5"/>
      <c r="W970" s="5"/>
      <c r="X970" s="5"/>
      <c r="Y970" s="5"/>
      <c r="Z970" s="46"/>
      <c r="AA970" s="1705"/>
      <c r="AB970" s="1706"/>
      <c r="AC970" s="1706"/>
      <c r="AD970" s="1706"/>
      <c r="AE970" s="1706"/>
      <c r="AF970" s="1706"/>
      <c r="AG970" s="1707"/>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463</v>
      </c>
      <c r="G971" s="5"/>
      <c r="H971" s="5"/>
      <c r="I971" s="5"/>
      <c r="J971" s="5"/>
      <c r="K971" s="5"/>
      <c r="L971" s="46"/>
      <c r="M971" s="1705"/>
      <c r="N971" s="1706"/>
      <c r="O971" s="1706"/>
      <c r="P971" s="1706"/>
      <c r="Q971" s="1706"/>
      <c r="R971" s="1706"/>
      <c r="S971" s="1707"/>
      <c r="T971" s="45" t="s">
        <v>375</v>
      </c>
      <c r="U971" s="5"/>
      <c r="V971" s="5"/>
      <c r="W971" s="5"/>
      <c r="X971" s="5"/>
      <c r="Y971" s="5"/>
      <c r="Z971" s="46"/>
      <c r="AA971" s="1705"/>
      <c r="AB971" s="1706"/>
      <c r="AC971" s="1706"/>
      <c r="AD971" s="1706"/>
      <c r="AE971" s="1706"/>
      <c r="AF971" s="1706"/>
      <c r="AG971" s="1707"/>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879</v>
      </c>
      <c r="G972" s="42"/>
      <c r="H972" s="42"/>
      <c r="I972" s="42"/>
      <c r="J972" s="42"/>
      <c r="K972" s="42"/>
      <c r="L972" s="58"/>
      <c r="M972" s="1721" t="s">
        <v>306</v>
      </c>
      <c r="N972" s="1722"/>
      <c r="O972" s="1722"/>
      <c r="P972" s="1722"/>
      <c r="Q972" s="1722"/>
      <c r="R972" s="1722"/>
      <c r="S972" s="1723"/>
      <c r="T972" s="1759"/>
      <c r="U972" s="1760"/>
      <c r="V972" s="1760"/>
      <c r="W972" s="1760"/>
      <c r="X972" s="1760"/>
      <c r="Y972" s="1760"/>
      <c r="Z972" s="1761"/>
      <c r="AA972" s="1705"/>
      <c r="AB972" s="1706"/>
      <c r="AC972" s="1706"/>
      <c r="AD972" s="1706"/>
      <c r="AE972" s="1706"/>
      <c r="AF972" s="1706"/>
      <c r="AG972" s="1707"/>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464</v>
      </c>
      <c r="G973" s="42"/>
      <c r="H973" s="42"/>
      <c r="I973" s="42"/>
      <c r="J973" s="42"/>
      <c r="K973" s="42"/>
      <c r="L973" s="58"/>
      <c r="M973" s="1705"/>
      <c r="N973" s="1706"/>
      <c r="O973" s="1706"/>
      <c r="P973" s="1706"/>
      <c r="Q973" s="1706"/>
      <c r="R973" s="1706"/>
      <c r="S973" s="1707"/>
      <c r="T973" s="1759"/>
      <c r="U973" s="1760"/>
      <c r="V973" s="1760"/>
      <c r="W973" s="1760"/>
      <c r="X973" s="1760"/>
      <c r="Y973" s="1760"/>
      <c r="Z973" s="1761"/>
      <c r="AA973" s="1705"/>
      <c r="AB973" s="1706"/>
      <c r="AC973" s="1706"/>
      <c r="AD973" s="1706"/>
      <c r="AE973" s="1706"/>
      <c r="AF973" s="1706"/>
      <c r="AG973" s="1707"/>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335</v>
      </c>
      <c r="G974" s="42"/>
      <c r="H974" s="42"/>
      <c r="I974" s="42"/>
      <c r="J974" s="42"/>
      <c r="K974" s="42"/>
      <c r="L974" s="42"/>
      <c r="M974" s="42"/>
      <c r="N974" s="42"/>
      <c r="O974" s="1332" t="s">
        <v>668</v>
      </c>
      <c r="P974" s="1334"/>
      <c r="Q974" s="92"/>
      <c r="R974" s="92"/>
      <c r="S974" s="93"/>
      <c r="T974" s="41" t="s">
        <v>169</v>
      </c>
      <c r="U974" s="42"/>
      <c r="V974" s="42"/>
      <c r="W974" s="1825" t="s">
        <v>333</v>
      </c>
      <c r="X974" s="1826"/>
      <c r="Y974" s="1826"/>
      <c r="Z974" s="1826"/>
      <c r="AA974" s="1826"/>
      <c r="AB974" s="1826"/>
      <c r="AC974" s="1826"/>
      <c r="AD974" s="1826"/>
      <c r="AE974" s="1826"/>
      <c r="AF974" s="1826"/>
      <c r="AG974" s="1827"/>
      <c r="AU974" s="68"/>
      <c r="AV974" s="95"/>
      <c r="AW974" s="95"/>
      <c r="AX974" s="95"/>
      <c r="AY974" s="95"/>
      <c r="AZ974" s="34"/>
      <c r="BB974" s="34"/>
      <c r="BC974" s="34"/>
      <c r="BD974" s="34"/>
      <c r="BE974" s="34"/>
      <c r="BF974" s="34"/>
      <c r="BG974" s="34"/>
      <c r="BH974" s="34"/>
      <c r="BI974" s="34"/>
      <c r="BJ974" s="34"/>
      <c r="BK974" s="34"/>
      <c r="BL974" s="34"/>
    </row>
    <row r="975" spans="1:64" ht="12.95" customHeight="1">
      <c r="F975" s="1603" t="s">
        <v>33</v>
      </c>
      <c r="G975" s="1475"/>
      <c r="H975" s="1475"/>
      <c r="I975" s="1475"/>
      <c r="J975" s="1475"/>
      <c r="K975" s="1475"/>
      <c r="L975" s="1475"/>
      <c r="M975" s="1705"/>
      <c r="N975" s="1706"/>
      <c r="O975" s="1706"/>
      <c r="P975" s="1706"/>
      <c r="Q975" s="1706"/>
      <c r="R975" s="1706"/>
      <c r="S975" s="1707"/>
      <c r="T975" s="47"/>
      <c r="U975" s="48"/>
      <c r="V975" s="48"/>
      <c r="W975" s="48"/>
      <c r="X975" s="48"/>
      <c r="Y975" s="48"/>
      <c r="Z975" s="124" t="s">
        <v>134</v>
      </c>
      <c r="AA975" s="1756"/>
      <c r="AB975" s="1757"/>
      <c r="AC975" s="1757"/>
      <c r="AD975" s="1757"/>
      <c r="AE975" s="1757"/>
      <c r="AF975" s="1757"/>
      <c r="AG975" s="1758"/>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4"/>
      <c r="BH976" s="1634"/>
      <c r="BI976" s="1634"/>
      <c r="BJ976" s="1634"/>
      <c r="BK976" s="1634"/>
      <c r="BL976" s="1634"/>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531" t="s">
        <v>547</v>
      </c>
      <c r="B979" s="1531"/>
      <c r="C979" s="1531"/>
      <c r="D979" s="1531"/>
      <c r="E979" s="1531"/>
      <c r="F979" s="1531"/>
      <c r="G979" s="1531"/>
      <c r="H979" s="1531"/>
      <c r="I979" s="1531"/>
      <c r="J979" s="1531"/>
      <c r="K979" s="1531"/>
      <c r="L979" s="1531"/>
      <c r="M979" s="1531"/>
      <c r="N979" s="1531"/>
      <c r="O979" s="1531"/>
      <c r="P979" s="1531"/>
      <c r="Q979" s="1531"/>
      <c r="R979" s="1531"/>
      <c r="S979" s="1531"/>
      <c r="T979" s="1531"/>
      <c r="U979" s="1531"/>
      <c r="V979" s="1531"/>
      <c r="W979" s="1531"/>
      <c r="X979" s="1531"/>
      <c r="Y979" s="1531"/>
      <c r="Z979" s="1531"/>
      <c r="AA979" s="1531"/>
      <c r="AB979" s="1531"/>
      <c r="AC979" s="1531"/>
      <c r="AD979" s="1531"/>
      <c r="AE979" s="1531"/>
      <c r="AF979" s="1531"/>
      <c r="AG979" s="1531"/>
      <c r="AH979" s="1531"/>
      <c r="AI979" s="1531"/>
      <c r="AJ979" s="1531"/>
      <c r="AK979" s="1531"/>
      <c r="AL979" s="1531"/>
      <c r="AM979" s="1531"/>
      <c r="AN979" s="1531"/>
      <c r="AO979" s="1531"/>
      <c r="AP979" s="1531"/>
      <c r="AQ979" s="1531"/>
      <c r="AR979" s="1531"/>
      <c r="AS979" s="1531"/>
      <c r="AT979" s="1531"/>
      <c r="AU979" s="68"/>
      <c r="AV979" s="68"/>
      <c r="AW979" s="68"/>
      <c r="AX979" s="68"/>
      <c r="AY979" s="68"/>
      <c r="AZ979" s="14"/>
      <c r="BA979" s="14"/>
      <c r="BB979" s="912"/>
      <c r="BC979" s="912"/>
    </row>
    <row r="980" spans="1:64" ht="12.95" customHeight="1">
      <c r="A980" s="1531"/>
      <c r="B980" s="1531"/>
      <c r="C980" s="1531"/>
      <c r="D980" s="1531"/>
      <c r="E980" s="1531"/>
      <c r="F980" s="1531"/>
      <c r="G980" s="1531"/>
      <c r="H980" s="1531"/>
      <c r="I980" s="1531"/>
      <c r="J980" s="1531"/>
      <c r="K980" s="1531"/>
      <c r="L980" s="1531"/>
      <c r="M980" s="1531"/>
      <c r="N980" s="1531"/>
      <c r="O980" s="1531"/>
      <c r="P980" s="1531"/>
      <c r="Q980" s="1531"/>
      <c r="R980" s="1531"/>
      <c r="S980" s="1531"/>
      <c r="T980" s="1531"/>
      <c r="U980" s="1531"/>
      <c r="V980" s="1531"/>
      <c r="W980" s="1531"/>
      <c r="X980" s="1531"/>
      <c r="Y980" s="1531"/>
      <c r="Z980" s="1531"/>
      <c r="AA980" s="1531"/>
      <c r="AB980" s="1531"/>
      <c r="AC980" s="1531"/>
      <c r="AD980" s="1531"/>
      <c r="AE980" s="1531"/>
      <c r="AF980" s="1531"/>
      <c r="AG980" s="1531"/>
      <c r="AH980" s="1531"/>
      <c r="AI980" s="1531"/>
      <c r="AJ980" s="1531"/>
      <c r="AK980" s="1531"/>
      <c r="AL980" s="1531"/>
      <c r="AM980" s="1531"/>
      <c r="AN980" s="1531"/>
      <c r="AO980" s="1531"/>
      <c r="AP980" s="1531"/>
      <c r="AQ980" s="1531"/>
      <c r="AR980" s="1531"/>
      <c r="AS980" s="1531"/>
      <c r="AT980" s="1531"/>
      <c r="AU980" s="68"/>
      <c r="AV980" s="68"/>
      <c r="AW980" s="68"/>
      <c r="AX980" s="68"/>
      <c r="AY980" s="68"/>
      <c r="AZ980" s="30"/>
      <c r="BA980" s="14"/>
      <c r="BB980" s="14"/>
      <c r="BC980" s="14"/>
    </row>
    <row r="981" spans="1:64" ht="12.95" customHeight="1">
      <c r="A981" s="1531"/>
      <c r="B981" s="1531"/>
      <c r="C981" s="1531"/>
      <c r="D981" s="1531"/>
      <c r="E981" s="1531"/>
      <c r="F981" s="1531"/>
      <c r="G981" s="1531"/>
      <c r="H981" s="1531"/>
      <c r="I981" s="1531"/>
      <c r="J981" s="1531"/>
      <c r="K981" s="1531"/>
      <c r="L981" s="1531"/>
      <c r="M981" s="1531"/>
      <c r="N981" s="1531"/>
      <c r="O981" s="1531"/>
      <c r="P981" s="1531"/>
      <c r="Q981" s="1531"/>
      <c r="R981" s="1531"/>
      <c r="S981" s="1531"/>
      <c r="T981" s="1531"/>
      <c r="U981" s="1531"/>
      <c r="V981" s="1531"/>
      <c r="W981" s="1531"/>
      <c r="X981" s="1531"/>
      <c r="Y981" s="1531"/>
      <c r="Z981" s="1531"/>
      <c r="AA981" s="1531"/>
      <c r="AB981" s="1531"/>
      <c r="AC981" s="1531"/>
      <c r="AD981" s="1531"/>
      <c r="AE981" s="1531"/>
      <c r="AF981" s="1531"/>
      <c r="AG981" s="1531"/>
      <c r="AH981" s="1531"/>
      <c r="AI981" s="1531"/>
      <c r="AJ981" s="1531"/>
      <c r="AK981" s="1531"/>
      <c r="AL981" s="1531"/>
      <c r="AM981" s="1531"/>
      <c r="AN981" s="1531"/>
      <c r="AO981" s="1531"/>
      <c r="AP981" s="1531"/>
      <c r="AQ981" s="1531"/>
      <c r="AR981" s="1531"/>
      <c r="AS981" s="1531"/>
      <c r="AT981" s="1531"/>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318</v>
      </c>
      <c r="C983" s="2" t="s">
        <v>614</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778" t="s">
        <v>637</v>
      </c>
      <c r="E985" s="1779"/>
      <c r="F985" s="1779"/>
      <c r="G985" s="1779"/>
      <c r="H985" s="1779"/>
      <c r="I985" s="1779"/>
      <c r="J985" s="1779"/>
      <c r="K985" s="1779"/>
      <c r="L985" s="1779"/>
      <c r="M985" s="1779"/>
      <c r="N985" s="1779"/>
      <c r="O985" s="1779"/>
      <c r="P985" s="1779"/>
      <c r="Q985" s="1780"/>
      <c r="R985" s="1778" t="s">
        <v>638</v>
      </c>
      <c r="S985" s="1779"/>
      <c r="T985" s="1779"/>
      <c r="U985" s="1779"/>
      <c r="V985" s="1779"/>
      <c r="W985" s="1779"/>
      <c r="X985" s="1779"/>
      <c r="Y985" s="1779"/>
      <c r="Z985" s="1779"/>
      <c r="AA985" s="1780"/>
      <c r="AB985" s="1778" t="s">
        <v>639</v>
      </c>
      <c r="AC985" s="1779"/>
      <c r="AD985" s="1779"/>
      <c r="AE985" s="1779"/>
      <c r="AF985" s="1779"/>
      <c r="AG985" s="1779"/>
      <c r="AH985" s="1779"/>
      <c r="AI985" s="1780"/>
      <c r="AJ985" s="1778" t="s">
        <v>640</v>
      </c>
      <c r="AK985" s="1779"/>
      <c r="AL985" s="1779"/>
      <c r="AM985" s="1779"/>
      <c r="AN985" s="1779"/>
      <c r="AO985" s="1779"/>
      <c r="AP985" s="1779"/>
      <c r="AQ985" s="1780"/>
      <c r="AR985" s="68"/>
      <c r="AS985" s="68"/>
      <c r="AT985" s="68"/>
      <c r="AU985" s="68"/>
      <c r="AV985" s="68"/>
      <c r="AW985" s="68"/>
      <c r="AX985" s="68"/>
      <c r="AY985" s="68"/>
      <c r="AZ985" s="30"/>
      <c r="BB985" s="14"/>
      <c r="BC985" s="14"/>
    </row>
    <row r="986" spans="1:64" ht="12.95" customHeight="1">
      <c r="A986" s="14"/>
      <c r="B986" s="73"/>
      <c r="C986" s="929"/>
      <c r="D986" s="1694" t="s">
        <v>632</v>
      </c>
      <c r="E986" s="1695"/>
      <c r="F986" s="1695"/>
      <c r="G986" s="1695"/>
      <c r="H986" s="1695"/>
      <c r="I986" s="1695"/>
      <c r="J986" s="1695"/>
      <c r="K986" s="1695"/>
      <c r="L986" s="1695"/>
      <c r="M986" s="1695"/>
      <c r="N986" s="1695"/>
      <c r="O986" s="1695"/>
      <c r="P986" s="1695"/>
      <c r="Q986" s="1696"/>
      <c r="R986" s="1793">
        <f>IF(ISNA(IF($CU$122="4%",(INDEX($CS$160:$CW$217,MATCH($DG$122,$CR$160:$CR$217,0),MATCH(D986,$CS$159:$CW$159,0))),(INDEX($CZ$160:$DD$217,MATCH($DG$122,$CY$160:$CY$217,0),MATCH(D986,$CZ$159:$DD$159,0))))),0,IF($CU$122="4%",(INDEX($CS$160:$CW$217,MATCH($DG$122,$CR$160:$CR$217,0),MATCH(D986,$CS$159:$CW$159,0))),(INDEX($CZ$160:$DD$217,MATCH($DG$122,$CY$160:$CY$217,0),MATCH(D986,$CZ$159:$DD$159,0)))))</f>
        <v>473390</v>
      </c>
      <c r="S986" s="1793"/>
      <c r="T986" s="1793"/>
      <c r="U986" s="1793"/>
      <c r="V986" s="1793"/>
      <c r="W986" s="1793"/>
      <c r="X986" s="1793"/>
      <c r="Y986" s="1793"/>
      <c r="Z986" s="1793"/>
      <c r="AA986" s="1793"/>
      <c r="AB986" s="1805">
        <f>CP802</f>
        <v>0</v>
      </c>
      <c r="AC986" s="1806"/>
      <c r="AD986" s="1806"/>
      <c r="AE986" s="1806"/>
      <c r="AF986" s="1806"/>
      <c r="AG986" s="1806"/>
      <c r="AH986" s="1806"/>
      <c r="AI986" s="1807"/>
      <c r="AJ986" s="1732">
        <f>IF(ISERROR((R986*AB986)),0,(R986*AB986))</f>
        <v>0</v>
      </c>
      <c r="AK986" s="1733"/>
      <c r="AL986" s="1733"/>
      <c r="AM986" s="1733"/>
      <c r="AN986" s="1733"/>
      <c r="AO986" s="1733"/>
      <c r="AP986" s="1733"/>
      <c r="AQ986" s="1734"/>
      <c r="AR986" s="68"/>
      <c r="AS986" s="68"/>
      <c r="AT986" s="68"/>
      <c r="AU986" s="68"/>
      <c r="AV986" s="68"/>
      <c r="AW986" s="68"/>
      <c r="AX986" s="68"/>
      <c r="AY986" s="68"/>
      <c r="AZ986" s="30"/>
      <c r="BB986" s="14"/>
      <c r="BC986" s="14"/>
    </row>
    <row r="987" spans="1:64" ht="12.95" customHeight="1">
      <c r="A987" s="14"/>
      <c r="B987" s="73"/>
      <c r="C987" s="83"/>
      <c r="D987" s="1694" t="s">
        <v>324</v>
      </c>
      <c r="E987" s="1695"/>
      <c r="F987" s="1695"/>
      <c r="G987" s="1695"/>
      <c r="H987" s="1695"/>
      <c r="I987" s="1695"/>
      <c r="J987" s="1695"/>
      <c r="K987" s="1695"/>
      <c r="L987" s="1695"/>
      <c r="M987" s="1695"/>
      <c r="N987" s="1695"/>
      <c r="O987" s="1695"/>
      <c r="P987" s="1695"/>
      <c r="Q987" s="1696"/>
      <c r="R987" s="1793">
        <f>IF(ISNA(IF($CU$122="4%",(INDEX($CS$160:$CW$217,MATCH($DG$122,$CR$160:$CR$217,0),MATCH(D987,$CS$159:$CW$159,0))),(INDEX($CZ$160:$DD$217,MATCH($DG$122,$CY$160:$CY$217,0),MATCH(D987,$CZ$159:$DD$159,0))))),0,IF($CU$122="4%",(INDEX($CS$160:$CW$217,MATCH($DG$122,$CR$160:$CR$217,0),MATCH(D987,$CS$159:$CW$159,0))),(INDEX($CZ$160:$DD$217,MATCH($DG$122,$CY$160:$CY$217,0),MATCH(D987,$CZ$159:$DD$159,0)))))</f>
        <v>545814</v>
      </c>
      <c r="S987" s="1793"/>
      <c r="T987" s="1793"/>
      <c r="U987" s="1793"/>
      <c r="V987" s="1793"/>
      <c r="W987" s="1793"/>
      <c r="X987" s="1793"/>
      <c r="Y987" s="1793"/>
      <c r="Z987" s="1793"/>
      <c r="AA987" s="1793"/>
      <c r="AB987" s="1805">
        <f>CU802</f>
        <v>46</v>
      </c>
      <c r="AC987" s="1806"/>
      <c r="AD987" s="1806"/>
      <c r="AE987" s="1806"/>
      <c r="AF987" s="1806"/>
      <c r="AG987" s="1806"/>
      <c r="AH987" s="1806"/>
      <c r="AI987" s="1807"/>
      <c r="AJ987" s="1732">
        <f>IF(ISERROR((R987*AB987)),0,(R987*AB987))</f>
        <v>25107444</v>
      </c>
      <c r="AK987" s="1733"/>
      <c r="AL987" s="1733"/>
      <c r="AM987" s="1733"/>
      <c r="AN987" s="1733"/>
      <c r="AO987" s="1733"/>
      <c r="AP987" s="1733"/>
      <c r="AQ987" s="1734"/>
      <c r="AR987" s="68"/>
      <c r="AS987" s="68"/>
      <c r="AT987" s="68"/>
      <c r="AU987" s="68"/>
      <c r="AV987" s="68"/>
      <c r="AW987" s="68"/>
      <c r="AX987" s="68"/>
      <c r="AY987" s="68"/>
      <c r="AZ987" s="30"/>
      <c r="BB987" s="14"/>
      <c r="BC987" s="14"/>
    </row>
    <row r="988" spans="1:64" ht="12.95" customHeight="1">
      <c r="A988" s="14"/>
      <c r="B988" s="73"/>
      <c r="C988" s="83"/>
      <c r="D988" s="1694" t="s">
        <v>163</v>
      </c>
      <c r="E988" s="1695"/>
      <c r="F988" s="1695"/>
      <c r="G988" s="1695"/>
      <c r="H988" s="1695"/>
      <c r="I988" s="1695"/>
      <c r="J988" s="1695"/>
      <c r="K988" s="1695"/>
      <c r="L988" s="1695"/>
      <c r="M988" s="1695"/>
      <c r="N988" s="1695"/>
      <c r="O988" s="1695"/>
      <c r="P988" s="1695"/>
      <c r="Q988" s="1696"/>
      <c r="R988" s="1793">
        <f>IF(ISNA(IF($CU$122="4%",(INDEX($CS$160:$CW$217,MATCH($DG$122,$CR$160:$CR$217,0),MATCH(D988,$CS$159:$CW$159,0))),(INDEX($CZ$160:$DD$217,MATCH($DG$122,$CY$160:$CY$217,0),MATCH(D988,$CZ$159:$DD$159,0))))),0,IF($CU$122="4%",(INDEX($CS$160:$CW$217,MATCH($DG$122,$CR$160:$CR$217,0),MATCH(D988,$CS$159:$CW$159,0))),(INDEX($CZ$160:$DD$217,MATCH($DG$122,$CY$160:$CY$217,0),MATCH(D988,$CZ$159:$DD$159,0)))))</f>
        <v>658400</v>
      </c>
      <c r="S988" s="1793"/>
      <c r="T988" s="1793"/>
      <c r="U988" s="1793"/>
      <c r="V988" s="1793"/>
      <c r="W988" s="1793"/>
      <c r="X988" s="1793"/>
      <c r="Y988" s="1793"/>
      <c r="Z988" s="1793"/>
      <c r="AA988" s="1793"/>
      <c r="AB988" s="1805">
        <f>CZ802</f>
        <v>42</v>
      </c>
      <c r="AC988" s="1806"/>
      <c r="AD988" s="1806"/>
      <c r="AE988" s="1806"/>
      <c r="AF988" s="1806"/>
      <c r="AG988" s="1806"/>
      <c r="AH988" s="1806"/>
      <c r="AI988" s="1807"/>
      <c r="AJ988" s="1732">
        <f>IF(ISERROR((R988*AB988)),0,(R988*AB988))</f>
        <v>27652800</v>
      </c>
      <c r="AK988" s="1733"/>
      <c r="AL988" s="1733"/>
      <c r="AM988" s="1733"/>
      <c r="AN988" s="1733"/>
      <c r="AO988" s="1733"/>
      <c r="AP988" s="1733"/>
      <c r="AQ988" s="1734"/>
      <c r="AR988" s="68"/>
      <c r="AS988" s="68"/>
      <c r="AT988" s="68"/>
      <c r="AU988" s="68"/>
      <c r="AV988" s="68"/>
      <c r="AW988" s="68"/>
      <c r="AX988" s="68"/>
      <c r="AY988" s="68"/>
      <c r="AZ988" s="30"/>
      <c r="BB988" s="14"/>
      <c r="BC988" s="14"/>
    </row>
    <row r="989" spans="1:64" ht="12.95" customHeight="1">
      <c r="A989" s="14"/>
      <c r="B989" s="73"/>
      <c r="C989" s="83"/>
      <c r="D989" s="1694" t="s">
        <v>164</v>
      </c>
      <c r="E989" s="1695"/>
      <c r="F989" s="1695"/>
      <c r="G989" s="1695"/>
      <c r="H989" s="1695"/>
      <c r="I989" s="1695"/>
      <c r="J989" s="1695"/>
      <c r="K989" s="1695"/>
      <c r="L989" s="1695"/>
      <c r="M989" s="1695"/>
      <c r="N989" s="1695"/>
      <c r="O989" s="1695"/>
      <c r="P989" s="1695"/>
      <c r="Q989" s="1696"/>
      <c r="R989" s="1793">
        <f>IF(ISNA(IF($CU$122="4%",(INDEX($CS$160:$CW$217,MATCH($DG$122,$CR$160:$CR$217,0),MATCH(D989,$CS$159:$CW$159,0))),(INDEX($CZ$160:$DD$217,MATCH($DG$122,$CY$160:$CY$217,0),MATCH(D989,$CZ$159:$DD$159,0))))),0,IF($CU$122="4%",(INDEX($CS$160:$CW$217,MATCH($DG$122,$CR$160:$CR$217,0),MATCH(D989,$CS$159:$CW$159,0))),(INDEX($CZ$160:$DD$217,MATCH($DG$122,$CY$160:$CY$217,0),MATCH(D989,$CZ$159:$DD$159,0)))))</f>
        <v>842752</v>
      </c>
      <c r="S989" s="1793"/>
      <c r="T989" s="1793"/>
      <c r="U989" s="1793"/>
      <c r="V989" s="1793"/>
      <c r="W989" s="1793"/>
      <c r="X989" s="1793"/>
      <c r="Y989" s="1793"/>
      <c r="Z989" s="1793"/>
      <c r="AA989" s="1793"/>
      <c r="AB989" s="1805">
        <f>DE802</f>
        <v>43</v>
      </c>
      <c r="AC989" s="1806"/>
      <c r="AD989" s="1806"/>
      <c r="AE989" s="1806"/>
      <c r="AF989" s="1806"/>
      <c r="AG989" s="1806"/>
      <c r="AH989" s="1806"/>
      <c r="AI989" s="1807"/>
      <c r="AJ989" s="1732">
        <f>IF(ISERROR((R989*AB989)),0,(R989*AB989))</f>
        <v>36238336</v>
      </c>
      <c r="AK989" s="1733"/>
      <c r="AL989" s="1733"/>
      <c r="AM989" s="1733"/>
      <c r="AN989" s="1733"/>
      <c r="AO989" s="1733"/>
      <c r="AP989" s="1733"/>
      <c r="AQ989" s="1734"/>
      <c r="AR989" s="68"/>
      <c r="AS989" s="68"/>
      <c r="AT989" s="68"/>
      <c r="AU989" s="68"/>
      <c r="AV989" s="68"/>
      <c r="AW989" s="68"/>
      <c r="AX989" s="68"/>
      <c r="AY989" s="68"/>
      <c r="AZ989" s="30"/>
      <c r="BA989" s="34"/>
      <c r="BB989" s="14"/>
      <c r="BC989" s="14"/>
    </row>
    <row r="990" spans="1:64" ht="12.95" customHeight="1">
      <c r="A990" s="14"/>
      <c r="B990" s="47"/>
      <c r="C990" s="78"/>
      <c r="D990" s="1694" t="s">
        <v>459</v>
      </c>
      <c r="E990" s="1695"/>
      <c r="F990" s="1695"/>
      <c r="G990" s="1695"/>
      <c r="H990" s="1695"/>
      <c r="I990" s="1695"/>
      <c r="J990" s="1695"/>
      <c r="K990" s="1695"/>
      <c r="L990" s="1695"/>
      <c r="M990" s="1695"/>
      <c r="N990" s="1695"/>
      <c r="O990" s="1695"/>
      <c r="P990" s="1695"/>
      <c r="Q990" s="1696"/>
      <c r="R990" s="1793">
        <f>IF(ISNA(IF($CU$122="4%",(INDEX($CS$160:$CW$217,MATCH($DG$122,$CR$160:$CR$217,0),MATCH(D990,$CS$159:$CW$159,0))),(INDEX($CZ$160:$DD$217,MATCH($DG$122,$CY$160:$CY$217,0),MATCH(D990,$CZ$159:$DD$159,0))))),0,IF($CU$122="4%",(INDEX($CS$160:$CW$217,MATCH($DG$122,$CR$160:$CR$217,0),MATCH(D990,$CS$159:$CW$159,0))),(INDEX($CZ$160:$DD$217,MATCH($DG$122,$CY$160:$CY$217,0),MATCH(D990,$CZ$159:$DD$159,0)))))</f>
        <v>938878</v>
      </c>
      <c r="S990" s="1793"/>
      <c r="T990" s="1793"/>
      <c r="U990" s="1793"/>
      <c r="V990" s="1793"/>
      <c r="W990" s="1793"/>
      <c r="X990" s="1793"/>
      <c r="Y990" s="1793"/>
      <c r="Z990" s="1793"/>
      <c r="AA990" s="1793"/>
      <c r="AB990" s="1805">
        <f>DO802+DJ802</f>
        <v>0</v>
      </c>
      <c r="AC990" s="1806"/>
      <c r="AD990" s="1806"/>
      <c r="AE990" s="1806"/>
      <c r="AF990" s="1806"/>
      <c r="AG990" s="1806"/>
      <c r="AH990" s="1806"/>
      <c r="AI990" s="1807"/>
      <c r="AJ990" s="1732">
        <f>IF(ISERROR((R990*AB990)),0,(R990*AB990))</f>
        <v>0</v>
      </c>
      <c r="AK990" s="1733"/>
      <c r="AL990" s="1733"/>
      <c r="AM990" s="1733"/>
      <c r="AN990" s="1733"/>
      <c r="AO990" s="1733"/>
      <c r="AP990" s="1733"/>
      <c r="AQ990" s="1734"/>
      <c r="AR990" s="68"/>
      <c r="AS990" s="68"/>
      <c r="AT990" s="68"/>
      <c r="AU990" s="68"/>
      <c r="AV990" s="68"/>
      <c r="AW990" s="68"/>
      <c r="AX990" s="68"/>
      <c r="AY990" s="68"/>
      <c r="AZ990" s="30"/>
      <c r="BB990" s="14"/>
      <c r="BC990" s="14"/>
    </row>
    <row r="991" spans="1:64" ht="12.95" customHeight="1">
      <c r="A991" s="14"/>
      <c r="B991" s="1819" t="s">
        <v>790</v>
      </c>
      <c r="C991" s="1820"/>
      <c r="D991" s="1820"/>
      <c r="E991" s="1820"/>
      <c r="F991" s="1820"/>
      <c r="G991" s="1820"/>
      <c r="H991" s="1820"/>
      <c r="I991" s="1820"/>
      <c r="J991" s="1820"/>
      <c r="K991" s="1820"/>
      <c r="L991" s="1820"/>
      <c r="M991" s="1820"/>
      <c r="N991" s="1820"/>
      <c r="O991" s="1820"/>
      <c r="P991" s="1820"/>
      <c r="Q991" s="1820"/>
      <c r="R991" s="1820"/>
      <c r="S991" s="1820"/>
      <c r="T991" s="1820"/>
      <c r="U991" s="1820"/>
      <c r="V991" s="1820"/>
      <c r="W991" s="1820"/>
      <c r="X991" s="1820"/>
      <c r="Y991" s="1820"/>
      <c r="Z991" s="1820"/>
      <c r="AA991" s="1821"/>
      <c r="AB991" s="1805">
        <f>SUM(AB986:AI990)</f>
        <v>131</v>
      </c>
      <c r="AC991" s="1806"/>
      <c r="AD991" s="1806"/>
      <c r="AE991" s="1806"/>
      <c r="AF991" s="1806"/>
      <c r="AG991" s="1806"/>
      <c r="AH991" s="1806"/>
      <c r="AI991" s="1807"/>
      <c r="AJ991" s="1732"/>
      <c r="AK991" s="1733"/>
      <c r="AL991" s="1733"/>
      <c r="AM991" s="1733"/>
      <c r="AN991" s="1733"/>
      <c r="AO991" s="1733"/>
      <c r="AP991" s="1733"/>
      <c r="AQ991" s="1734"/>
      <c r="AR991" s="68"/>
      <c r="AS991" s="68"/>
      <c r="AT991" s="68"/>
      <c r="AU991" s="68"/>
      <c r="AV991" s="68"/>
      <c r="AW991" s="68"/>
      <c r="AX991" s="68"/>
      <c r="AY991" s="68"/>
      <c r="AZ991" s="34"/>
      <c r="BA991" s="34"/>
      <c r="BB991" s="14"/>
      <c r="BC991" s="14"/>
    </row>
    <row r="992" spans="1:64" ht="12.95" customHeight="1">
      <c r="A992" s="14"/>
      <c r="B992" s="1790" t="s">
        <v>511</v>
      </c>
      <c r="C992" s="1791"/>
      <c r="D992" s="1791"/>
      <c r="E992" s="1791"/>
      <c r="F992" s="1791"/>
      <c r="G992" s="1791"/>
      <c r="H992" s="1791"/>
      <c r="I992" s="1791"/>
      <c r="J992" s="1791"/>
      <c r="K992" s="1791"/>
      <c r="L992" s="1791"/>
      <c r="M992" s="1791"/>
      <c r="N992" s="1791"/>
      <c r="O992" s="1791"/>
      <c r="P992" s="1791"/>
      <c r="Q992" s="1791"/>
      <c r="R992" s="1791"/>
      <c r="S992" s="1791"/>
      <c r="T992" s="1791"/>
      <c r="U992" s="1791"/>
      <c r="V992" s="1791"/>
      <c r="W992" s="1791"/>
      <c r="X992" s="1791"/>
      <c r="Y992" s="1791"/>
      <c r="Z992" s="1791"/>
      <c r="AA992" s="1791"/>
      <c r="AB992" s="1791"/>
      <c r="AC992" s="1791"/>
      <c r="AD992" s="1791"/>
      <c r="AE992" s="1791"/>
      <c r="AF992" s="1791"/>
      <c r="AG992" s="1791"/>
      <c r="AH992" s="1791"/>
      <c r="AI992" s="1792"/>
      <c r="AJ992" s="1732">
        <f>SUM(AJ986:AQ990)</f>
        <v>88998580</v>
      </c>
      <c r="AK992" s="1733"/>
      <c r="AL992" s="1733"/>
      <c r="AM992" s="1733"/>
      <c r="AN992" s="1733"/>
      <c r="AO992" s="1733"/>
      <c r="AP992" s="1733"/>
      <c r="AQ992" s="1734"/>
      <c r="AR992" s="68"/>
      <c r="AS992" s="68"/>
      <c r="AT992" s="68"/>
      <c r="AU992" s="68"/>
      <c r="AV992" s="68"/>
      <c r="AW992" s="68"/>
      <c r="AX992" s="68"/>
      <c r="AY992" s="68"/>
      <c r="AZ992" s="34"/>
      <c r="BB992" s="34"/>
      <c r="BC992" s="34"/>
    </row>
    <row r="993" spans="1:55" ht="12.95" customHeight="1">
      <c r="A993" s="14"/>
      <c r="B993" s="1794"/>
      <c r="C993" s="1795"/>
      <c r="D993" s="1795"/>
      <c r="E993" s="1795"/>
      <c r="F993" s="1795"/>
      <c r="G993" s="1795"/>
      <c r="H993" s="1795"/>
      <c r="I993" s="1795"/>
      <c r="J993" s="1795"/>
      <c r="K993" s="1795"/>
      <c r="L993" s="1795"/>
      <c r="M993" s="1795"/>
      <c r="N993" s="1795"/>
      <c r="O993" s="1795"/>
      <c r="P993" s="1795"/>
      <c r="Q993" s="1795"/>
      <c r="R993" s="1795"/>
      <c r="S993" s="1795"/>
      <c r="T993" s="1795"/>
      <c r="U993" s="1795"/>
      <c r="V993" s="1795"/>
      <c r="W993" s="1795"/>
      <c r="X993" s="1795"/>
      <c r="Y993" s="1795"/>
      <c r="Z993" s="1795"/>
      <c r="AA993" s="1795"/>
      <c r="AB993" s="1795"/>
      <c r="AC993" s="1795"/>
      <c r="AD993" s="1795"/>
      <c r="AE993" s="1796"/>
      <c r="AF993" s="1811" t="s">
        <v>665</v>
      </c>
      <c r="AG993" s="1812"/>
      <c r="AH993" s="1812"/>
      <c r="AI993" s="1813"/>
      <c r="AJ993" s="1794"/>
      <c r="AK993" s="1795"/>
      <c r="AL993" s="1795"/>
      <c r="AM993" s="1795"/>
      <c r="AN993" s="1795"/>
      <c r="AO993" s="1795"/>
      <c r="AP993" s="1795"/>
      <c r="AQ993" s="1796"/>
      <c r="AR993" s="68"/>
      <c r="AS993" s="68"/>
      <c r="AT993" s="68"/>
      <c r="AU993" s="68"/>
      <c r="AV993" s="68"/>
      <c r="AW993" s="68"/>
      <c r="AX993" s="68"/>
      <c r="AY993" s="68"/>
      <c r="AZ993" s="34"/>
      <c r="BA993" s="34"/>
      <c r="BB993" s="34"/>
      <c r="BC993" s="34"/>
    </row>
    <row r="994" spans="1:55" ht="12.95" customHeight="1">
      <c r="A994" s="14"/>
      <c r="B994" s="73"/>
      <c r="C994" s="927" t="s">
        <v>667</v>
      </c>
      <c r="D994" s="1740" t="s">
        <v>1219</v>
      </c>
      <c r="E994" s="1741"/>
      <c r="F994" s="1741"/>
      <c r="G994" s="1741"/>
      <c r="H994" s="1741"/>
      <c r="I994" s="1741"/>
      <c r="J994" s="1741"/>
      <c r="K994" s="1741"/>
      <c r="L994" s="1741"/>
      <c r="M994" s="1741"/>
      <c r="N994" s="1741"/>
      <c r="O994" s="1741"/>
      <c r="P994" s="1741"/>
      <c r="Q994" s="1741"/>
      <c r="R994" s="1741"/>
      <c r="S994" s="1741"/>
      <c r="T994" s="1741"/>
      <c r="U994" s="1741"/>
      <c r="V994" s="1741"/>
      <c r="W994" s="1741"/>
      <c r="X994" s="1741"/>
      <c r="Y994" s="1741"/>
      <c r="Z994" s="1741"/>
      <c r="AA994" s="1741"/>
      <c r="AB994" s="1741"/>
      <c r="AC994" s="1741"/>
      <c r="AD994" s="1741"/>
      <c r="AE994" s="1742"/>
      <c r="AF994" s="79"/>
      <c r="AG994" s="1814" t="s">
        <v>668</v>
      </c>
      <c r="AH994" s="1815"/>
      <c r="AI994" s="87"/>
      <c r="AJ994" s="1781">
        <f>ROUND(IF(AND(AG994="yes",D1000&gt;0),AJ992*0.2,0),0)</f>
        <v>0</v>
      </c>
      <c r="AK994" s="1782"/>
      <c r="AL994" s="1782"/>
      <c r="AM994" s="1782"/>
      <c r="AN994" s="1782"/>
      <c r="AO994" s="1782"/>
      <c r="AP994" s="1782"/>
      <c r="AQ994" s="1783"/>
      <c r="AR994" s="68"/>
      <c r="AS994" s="68"/>
      <c r="AT994" s="68"/>
      <c r="AU994" s="68"/>
      <c r="AV994" s="68"/>
      <c r="AW994" s="68"/>
      <c r="AX994" s="68"/>
      <c r="AY994" s="68"/>
      <c r="AZ994" s="34"/>
      <c r="BA994" s="34"/>
      <c r="BB994" s="34"/>
      <c r="BC994" s="34"/>
    </row>
    <row r="995" spans="1:55" ht="12.95" customHeight="1">
      <c r="A995" s="14"/>
      <c r="B995" s="257"/>
      <c r="C995" s="256"/>
      <c r="D995" s="1765" t="s">
        <v>2234</v>
      </c>
      <c r="E995" s="1766"/>
      <c r="F995" s="1766"/>
      <c r="G995" s="1766"/>
      <c r="H995" s="1766"/>
      <c r="I995" s="1766"/>
      <c r="J995" s="1766"/>
      <c r="K995" s="1766"/>
      <c r="L995" s="1766"/>
      <c r="M995" s="1766"/>
      <c r="N995" s="1766"/>
      <c r="O995" s="1766"/>
      <c r="P995" s="1766"/>
      <c r="Q995" s="1766"/>
      <c r="R995" s="1766"/>
      <c r="S995" s="1766"/>
      <c r="T995" s="1766"/>
      <c r="U995" s="1766"/>
      <c r="V995" s="1766"/>
      <c r="W995" s="1766"/>
      <c r="X995" s="1766"/>
      <c r="Y995" s="1766"/>
      <c r="Z995" s="1766"/>
      <c r="AA995" s="1766"/>
      <c r="AB995" s="1766"/>
      <c r="AC995" s="1766"/>
      <c r="AD995" s="1766"/>
      <c r="AE995" s="1767"/>
      <c r="AF995" s="73"/>
      <c r="AG995" s="14"/>
      <c r="AH995" s="14"/>
      <c r="AI995" s="83"/>
      <c r="AJ995" s="1784"/>
      <c r="AK995" s="1785"/>
      <c r="AL995" s="1785"/>
      <c r="AM995" s="1785"/>
      <c r="AN995" s="1785"/>
      <c r="AO995" s="1785"/>
      <c r="AP995" s="1785"/>
      <c r="AQ995" s="1786"/>
      <c r="AR995" s="68"/>
      <c r="AS995" s="68"/>
      <c r="AT995" s="68"/>
      <c r="AU995" s="68"/>
      <c r="AV995" s="68"/>
      <c r="AW995" s="68"/>
      <c r="AX995" s="68"/>
      <c r="AY995" s="68"/>
      <c r="AZ995" s="34"/>
      <c r="BA995" s="34"/>
      <c r="BB995" s="34"/>
      <c r="BC995" s="34"/>
    </row>
    <row r="996" spans="1:55" ht="12.95" customHeight="1">
      <c r="A996" s="14"/>
      <c r="B996" s="257"/>
      <c r="C996" s="256"/>
      <c r="D996" s="1765"/>
      <c r="E996" s="1766"/>
      <c r="F996" s="1766"/>
      <c r="G996" s="1766"/>
      <c r="H996" s="1766"/>
      <c r="I996" s="1766"/>
      <c r="J996" s="1766"/>
      <c r="K996" s="1766"/>
      <c r="L996" s="1766"/>
      <c r="M996" s="1766"/>
      <c r="N996" s="1766"/>
      <c r="O996" s="1766"/>
      <c r="P996" s="1766"/>
      <c r="Q996" s="1766"/>
      <c r="R996" s="1766"/>
      <c r="S996" s="1766"/>
      <c r="T996" s="1766"/>
      <c r="U996" s="1766"/>
      <c r="V996" s="1766"/>
      <c r="W996" s="1766"/>
      <c r="X996" s="1766"/>
      <c r="Y996" s="1766"/>
      <c r="Z996" s="1766"/>
      <c r="AA996" s="1766"/>
      <c r="AB996" s="1766"/>
      <c r="AC996" s="1766"/>
      <c r="AD996" s="1766"/>
      <c r="AE996" s="1767"/>
      <c r="AF996" s="73"/>
      <c r="AG996" s="14"/>
      <c r="AH996" s="14"/>
      <c r="AI996" s="83"/>
      <c r="AJ996" s="1784"/>
      <c r="AK996" s="1785"/>
      <c r="AL996" s="1785"/>
      <c r="AM996" s="1785"/>
      <c r="AN996" s="1785"/>
      <c r="AO996" s="1785"/>
      <c r="AP996" s="1785"/>
      <c r="AQ996" s="1786"/>
      <c r="AR996" s="68"/>
      <c r="AS996" s="68"/>
      <c r="AT996" s="68"/>
      <c r="AU996" s="68"/>
      <c r="AV996" s="68"/>
      <c r="AW996" s="68"/>
      <c r="AX996" s="68"/>
      <c r="AY996" s="68"/>
      <c r="AZ996" s="34"/>
      <c r="BA996" s="34"/>
      <c r="BB996" s="34"/>
      <c r="BC996" s="34"/>
    </row>
    <row r="997" spans="1:55" ht="12.95" customHeight="1">
      <c r="A997" s="14"/>
      <c r="B997" s="257"/>
      <c r="C997" s="256"/>
      <c r="D997" s="1765"/>
      <c r="E997" s="1766"/>
      <c r="F997" s="1766"/>
      <c r="G997" s="1766"/>
      <c r="H997" s="1766"/>
      <c r="I997" s="1766"/>
      <c r="J997" s="1766"/>
      <c r="K997" s="1766"/>
      <c r="L997" s="1766"/>
      <c r="M997" s="1766"/>
      <c r="N997" s="1766"/>
      <c r="O997" s="1766"/>
      <c r="P997" s="1766"/>
      <c r="Q997" s="1766"/>
      <c r="R997" s="1766"/>
      <c r="S997" s="1766"/>
      <c r="T997" s="1766"/>
      <c r="U997" s="1766"/>
      <c r="V997" s="1766"/>
      <c r="W997" s="1766"/>
      <c r="X997" s="1766"/>
      <c r="Y997" s="1766"/>
      <c r="Z997" s="1766"/>
      <c r="AA997" s="1766"/>
      <c r="AB997" s="1766"/>
      <c r="AC997" s="1766"/>
      <c r="AD997" s="1766"/>
      <c r="AE997" s="1767"/>
      <c r="AF997" s="73"/>
      <c r="AG997" s="14"/>
      <c r="AH997" s="14"/>
      <c r="AI997" s="83"/>
      <c r="AJ997" s="1784"/>
      <c r="AK997" s="1785"/>
      <c r="AL997" s="1785"/>
      <c r="AM997" s="1785"/>
      <c r="AN997" s="1785"/>
      <c r="AO997" s="1785"/>
      <c r="AP997" s="1785"/>
      <c r="AQ997" s="1786"/>
      <c r="AR997" s="68"/>
      <c r="AS997" s="68"/>
      <c r="AT997" s="68"/>
      <c r="AU997" s="68"/>
      <c r="AV997" s="68"/>
      <c r="AW997" s="68"/>
      <c r="AX997" s="68"/>
      <c r="AY997" s="68"/>
      <c r="AZ997" s="34"/>
      <c r="BA997" s="34"/>
      <c r="BB997" s="34"/>
      <c r="BC997" s="34"/>
    </row>
    <row r="998" spans="1:55" ht="12.95" customHeight="1">
      <c r="A998" s="14"/>
      <c r="B998" s="257"/>
      <c r="C998" s="256"/>
      <c r="D998" s="1765"/>
      <c r="E998" s="1766"/>
      <c r="F998" s="1766"/>
      <c r="G998" s="1766"/>
      <c r="H998" s="1766"/>
      <c r="I998" s="1766"/>
      <c r="J998" s="1766"/>
      <c r="K998" s="1766"/>
      <c r="L998" s="1766"/>
      <c r="M998" s="1766"/>
      <c r="N998" s="1766"/>
      <c r="O998" s="1766"/>
      <c r="P998" s="1766"/>
      <c r="Q998" s="1766"/>
      <c r="R998" s="1766"/>
      <c r="S998" s="1766"/>
      <c r="T998" s="1766"/>
      <c r="U998" s="1766"/>
      <c r="V998" s="1766"/>
      <c r="W998" s="1766"/>
      <c r="X998" s="1766"/>
      <c r="Y998" s="1766"/>
      <c r="Z998" s="1766"/>
      <c r="AA998" s="1766"/>
      <c r="AB998" s="1766"/>
      <c r="AC998" s="1766"/>
      <c r="AD998" s="1766"/>
      <c r="AE998" s="1767"/>
      <c r="AF998" s="73"/>
      <c r="AG998" s="14"/>
      <c r="AH998" s="14"/>
      <c r="AI998" s="83"/>
      <c r="AJ998" s="1784"/>
      <c r="AK998" s="1785"/>
      <c r="AL998" s="1785"/>
      <c r="AM998" s="1785"/>
      <c r="AN998" s="1785"/>
      <c r="AO998" s="1785"/>
      <c r="AP998" s="1785"/>
      <c r="AQ998" s="1786"/>
      <c r="AR998" s="68"/>
      <c r="AS998" s="68"/>
      <c r="AT998" s="68"/>
      <c r="AU998" s="68"/>
      <c r="AV998" s="68"/>
      <c r="AW998" s="68"/>
      <c r="AX998" s="68"/>
      <c r="AY998" s="68"/>
      <c r="AZ998" s="34"/>
      <c r="BA998" s="34"/>
      <c r="BB998" s="34"/>
      <c r="BC998" s="34"/>
    </row>
    <row r="999" spans="1:55" ht="12.95" customHeight="1">
      <c r="A999" s="14"/>
      <c r="B999" s="257"/>
      <c r="C999" s="256"/>
      <c r="D999" s="1768" t="s">
        <v>2205</v>
      </c>
      <c r="E999" s="1769"/>
      <c r="F999" s="1769"/>
      <c r="G999" s="1769"/>
      <c r="H999" s="1769"/>
      <c r="I999" s="1769"/>
      <c r="J999" s="1769"/>
      <c r="K999" s="1769"/>
      <c r="L999" s="1769"/>
      <c r="M999" s="1769"/>
      <c r="N999" s="1769"/>
      <c r="O999" s="1769"/>
      <c r="P999" s="1769"/>
      <c r="Q999" s="1769"/>
      <c r="R999" s="1769"/>
      <c r="S999" s="1769"/>
      <c r="T999" s="1769"/>
      <c r="U999" s="1769"/>
      <c r="V999" s="1769"/>
      <c r="W999" s="1769"/>
      <c r="X999" s="1769"/>
      <c r="Y999" s="1769"/>
      <c r="Z999" s="1769"/>
      <c r="AA999" s="1769"/>
      <c r="AB999" s="1769"/>
      <c r="AC999" s="1769"/>
      <c r="AD999" s="1769"/>
      <c r="AE999" s="1770"/>
      <c r="AF999" s="73"/>
      <c r="AG999" s="14"/>
      <c r="AH999" s="14"/>
      <c r="AI999" s="83"/>
      <c r="AJ999" s="1784"/>
      <c r="AK999" s="1785"/>
      <c r="AL999" s="1785"/>
      <c r="AM999" s="1785"/>
      <c r="AN999" s="1785"/>
      <c r="AO999" s="1785"/>
      <c r="AP999" s="1785"/>
      <c r="AQ999" s="1786"/>
      <c r="AR999" s="68"/>
      <c r="AS999" s="68"/>
      <c r="AT999" s="68"/>
      <c r="AU999" s="68"/>
      <c r="AV999" s="68"/>
      <c r="AW999" s="68"/>
      <c r="AX999" s="68"/>
      <c r="AY999" s="68"/>
      <c r="AZ999" s="34"/>
      <c r="BA999" s="34"/>
      <c r="BB999" s="34"/>
      <c r="BC999" s="34"/>
    </row>
    <row r="1000" spans="1:55" ht="12.95" customHeight="1">
      <c r="A1000" s="14"/>
      <c r="B1000" s="257"/>
      <c r="C1000" s="256"/>
      <c r="D1000" s="1822"/>
      <c r="E1000" s="1823"/>
      <c r="F1000" s="1823"/>
      <c r="G1000" s="1823"/>
      <c r="H1000" s="1823"/>
      <c r="I1000" s="1823"/>
      <c r="J1000" s="1823"/>
      <c r="K1000" s="1823"/>
      <c r="L1000" s="1823"/>
      <c r="M1000" s="1823"/>
      <c r="N1000" s="1823"/>
      <c r="O1000" s="1823"/>
      <c r="P1000" s="1823"/>
      <c r="Q1000" s="1823"/>
      <c r="R1000" s="1823"/>
      <c r="S1000" s="1823"/>
      <c r="T1000" s="1823"/>
      <c r="U1000" s="1823"/>
      <c r="V1000" s="1823"/>
      <c r="W1000" s="1823"/>
      <c r="X1000" s="1823"/>
      <c r="Y1000" s="1823"/>
      <c r="Z1000" s="1823"/>
      <c r="AA1000" s="1823"/>
      <c r="AB1000" s="1823"/>
      <c r="AC1000" s="1823"/>
      <c r="AD1000" s="1823"/>
      <c r="AE1000" s="1824"/>
      <c r="AF1000" s="77"/>
      <c r="AG1000" s="7"/>
      <c r="AH1000" s="7"/>
      <c r="AI1000" s="78"/>
      <c r="AJ1000" s="1787"/>
      <c r="AK1000" s="1788"/>
      <c r="AL1000" s="1788"/>
      <c r="AM1000" s="1788"/>
      <c r="AN1000" s="1788"/>
      <c r="AO1000" s="1788"/>
      <c r="AP1000" s="1788"/>
      <c r="AQ1000" s="1789"/>
      <c r="AR1000" s="68"/>
      <c r="AS1000" s="68"/>
      <c r="AT1000" s="68"/>
      <c r="AU1000" s="68"/>
      <c r="AV1000" s="68"/>
      <c r="AW1000" s="68"/>
      <c r="AX1000" s="68"/>
      <c r="AY1000" s="68"/>
      <c r="AZ1000" s="34"/>
      <c r="BA1000" s="34"/>
      <c r="BB1000" s="34"/>
      <c r="BC1000" s="34"/>
    </row>
    <row r="1001" spans="1:55" ht="12.95" customHeight="1">
      <c r="A1001" s="14"/>
      <c r="B1001" s="255"/>
      <c r="C1001" s="318"/>
      <c r="D1001" s="1762" t="s">
        <v>1286</v>
      </c>
      <c r="E1001" s="1763"/>
      <c r="F1001" s="1763"/>
      <c r="G1001" s="1763"/>
      <c r="H1001" s="1763"/>
      <c r="I1001" s="1763"/>
      <c r="J1001" s="1763"/>
      <c r="K1001" s="1763"/>
      <c r="L1001" s="1763"/>
      <c r="M1001" s="1763"/>
      <c r="N1001" s="1763"/>
      <c r="O1001" s="1763"/>
      <c r="P1001" s="1763"/>
      <c r="Q1001" s="1763"/>
      <c r="R1001" s="1763"/>
      <c r="S1001" s="1763"/>
      <c r="T1001" s="1763"/>
      <c r="U1001" s="1763"/>
      <c r="V1001" s="1763"/>
      <c r="W1001" s="1763"/>
      <c r="X1001" s="1763"/>
      <c r="Y1001" s="1763"/>
      <c r="Z1001" s="1763"/>
      <c r="AA1001" s="1763"/>
      <c r="AB1001" s="1763"/>
      <c r="AC1001" s="1763"/>
      <c r="AD1001" s="1763"/>
      <c r="AE1001" s="1764"/>
      <c r="AF1001" s="79"/>
      <c r="AG1001" s="1748" t="s">
        <v>668</v>
      </c>
      <c r="AH1001" s="1749"/>
      <c r="AI1001" s="87"/>
      <c r="AJ1001" s="1781">
        <f>ROUND(IF(AG1001="yes",AJ992*0.05,0),0)</f>
        <v>0</v>
      </c>
      <c r="AK1001" s="1782"/>
      <c r="AL1001" s="1782"/>
      <c r="AM1001" s="1782"/>
      <c r="AN1001" s="1782"/>
      <c r="AO1001" s="1782"/>
      <c r="AP1001" s="1782"/>
      <c r="AQ1001" s="1783"/>
      <c r="AR1001" s="68"/>
      <c r="AS1001" s="68"/>
      <c r="AT1001" s="68"/>
      <c r="AU1001" s="68"/>
      <c r="AV1001" s="68"/>
      <c r="AW1001" s="68"/>
      <c r="AX1001" s="68"/>
      <c r="AY1001" s="68"/>
      <c r="AZ1001" s="34"/>
      <c r="BA1001" s="34"/>
      <c r="BB1001" s="34"/>
      <c r="BC1001" s="34"/>
    </row>
    <row r="1002" spans="1:55" ht="12.95" customHeight="1">
      <c r="A1002" s="14"/>
      <c r="B1002" s="257"/>
      <c r="C1002" s="82"/>
      <c r="D1002" s="1765" t="s">
        <v>1284</v>
      </c>
      <c r="E1002" s="1766"/>
      <c r="F1002" s="1766"/>
      <c r="G1002" s="1766"/>
      <c r="H1002" s="1766"/>
      <c r="I1002" s="1766"/>
      <c r="J1002" s="1766"/>
      <c r="K1002" s="1766"/>
      <c r="L1002" s="1766"/>
      <c r="M1002" s="1766"/>
      <c r="N1002" s="1766"/>
      <c r="O1002" s="1766"/>
      <c r="P1002" s="1766"/>
      <c r="Q1002" s="1766"/>
      <c r="R1002" s="1766"/>
      <c r="S1002" s="1766"/>
      <c r="T1002" s="1766"/>
      <c r="U1002" s="1766"/>
      <c r="V1002" s="1766"/>
      <c r="W1002" s="1766"/>
      <c r="X1002" s="1766"/>
      <c r="Y1002" s="1766"/>
      <c r="Z1002" s="1766"/>
      <c r="AA1002" s="1766"/>
      <c r="AB1002" s="1766"/>
      <c r="AC1002" s="1766"/>
      <c r="AD1002" s="1766"/>
      <c r="AE1002" s="1767"/>
      <c r="AF1002" s="73"/>
      <c r="AG1002" s="14"/>
      <c r="AH1002" s="14"/>
      <c r="AI1002" s="83"/>
      <c r="AJ1002" s="1784"/>
      <c r="AK1002" s="1785"/>
      <c r="AL1002" s="1785"/>
      <c r="AM1002" s="1785"/>
      <c r="AN1002" s="1785"/>
      <c r="AO1002" s="1785"/>
      <c r="AP1002" s="1785"/>
      <c r="AQ1002" s="1786"/>
      <c r="AR1002" s="68"/>
      <c r="AS1002" s="68"/>
      <c r="AT1002" s="68"/>
      <c r="AU1002" s="68"/>
      <c r="AV1002" s="68"/>
      <c r="AW1002" s="68"/>
      <c r="AX1002" s="68"/>
      <c r="AY1002" s="34"/>
      <c r="AZ1002" s="34"/>
      <c r="BB1002" s="34"/>
    </row>
    <row r="1003" spans="1:55" ht="12.95" customHeight="1">
      <c r="A1003" s="14"/>
      <c r="B1003" s="257"/>
      <c r="C1003" s="82"/>
      <c r="D1003" s="1765"/>
      <c r="E1003" s="1766"/>
      <c r="F1003" s="1766"/>
      <c r="G1003" s="1766"/>
      <c r="H1003" s="1766"/>
      <c r="I1003" s="1766"/>
      <c r="J1003" s="1766"/>
      <c r="K1003" s="1766"/>
      <c r="L1003" s="1766"/>
      <c r="M1003" s="1766"/>
      <c r="N1003" s="1766"/>
      <c r="O1003" s="1766"/>
      <c r="P1003" s="1766"/>
      <c r="Q1003" s="1766"/>
      <c r="R1003" s="1766"/>
      <c r="S1003" s="1766"/>
      <c r="T1003" s="1766"/>
      <c r="U1003" s="1766"/>
      <c r="V1003" s="1766"/>
      <c r="W1003" s="1766"/>
      <c r="X1003" s="1766"/>
      <c r="Y1003" s="1766"/>
      <c r="Z1003" s="1766"/>
      <c r="AA1003" s="1766"/>
      <c r="AB1003" s="1766"/>
      <c r="AC1003" s="1766"/>
      <c r="AD1003" s="1766"/>
      <c r="AE1003" s="1767"/>
      <c r="AF1003" s="73"/>
      <c r="AG1003" s="14"/>
      <c r="AH1003" s="14"/>
      <c r="AI1003" s="83"/>
      <c r="AJ1003" s="1784"/>
      <c r="AK1003" s="1785"/>
      <c r="AL1003" s="1785"/>
      <c r="AM1003" s="1785"/>
      <c r="AN1003" s="1785"/>
      <c r="AO1003" s="1785"/>
      <c r="AP1003" s="1785"/>
      <c r="AQ1003" s="1786"/>
      <c r="AR1003" s="68"/>
      <c r="AS1003" s="68"/>
      <c r="AT1003" s="68"/>
      <c r="AU1003" s="68"/>
      <c r="AV1003" s="68"/>
      <c r="AW1003" s="68"/>
      <c r="AX1003" s="68"/>
      <c r="AY1003" s="914">
        <f>G753+O797</f>
        <v>130</v>
      </c>
      <c r="AZ1003" s="34"/>
      <c r="BB1003" s="34"/>
    </row>
    <row r="1004" spans="1:55" ht="12.95" customHeight="1">
      <c r="A1004" s="14"/>
      <c r="B1004" s="257"/>
      <c r="C1004" s="82"/>
      <c r="D1004" s="1765"/>
      <c r="E1004" s="1766"/>
      <c r="F1004" s="1766"/>
      <c r="G1004" s="1766"/>
      <c r="H1004" s="1766"/>
      <c r="I1004" s="1766"/>
      <c r="J1004" s="1766"/>
      <c r="K1004" s="1766"/>
      <c r="L1004" s="1766"/>
      <c r="M1004" s="1766"/>
      <c r="N1004" s="1766"/>
      <c r="O1004" s="1766"/>
      <c r="P1004" s="1766"/>
      <c r="Q1004" s="1766"/>
      <c r="R1004" s="1766"/>
      <c r="S1004" s="1766"/>
      <c r="T1004" s="1766"/>
      <c r="U1004" s="1766"/>
      <c r="V1004" s="1766"/>
      <c r="W1004" s="1766"/>
      <c r="X1004" s="1766"/>
      <c r="Y1004" s="1766"/>
      <c r="Z1004" s="1766"/>
      <c r="AA1004" s="1766"/>
      <c r="AB1004" s="1766"/>
      <c r="AC1004" s="1766"/>
      <c r="AD1004" s="1766"/>
      <c r="AE1004" s="1767"/>
      <c r="AF1004" s="73"/>
      <c r="AG1004" s="14"/>
      <c r="AH1004" s="14"/>
      <c r="AI1004" s="83"/>
      <c r="AJ1004" s="1784"/>
      <c r="AK1004" s="1785"/>
      <c r="AL1004" s="1785"/>
      <c r="AM1004" s="1785"/>
      <c r="AN1004" s="1785"/>
      <c r="AO1004" s="1785"/>
      <c r="AP1004" s="1785"/>
      <c r="AQ1004" s="1786"/>
      <c r="AR1004" s="68"/>
      <c r="AS1004" s="68"/>
      <c r="AT1004" s="68"/>
      <c r="AU1004" s="68"/>
      <c r="AV1004" s="68"/>
      <c r="AW1004" s="68"/>
      <c r="AX1004" s="68"/>
      <c r="AY1004" s="14"/>
      <c r="AZ1004" s="34"/>
      <c r="BB1004" s="34"/>
    </row>
    <row r="1005" spans="1:55" ht="12.95" customHeight="1">
      <c r="A1005" s="14"/>
      <c r="B1005" s="257"/>
      <c r="C1005" s="82"/>
      <c r="D1005" s="1765"/>
      <c r="E1005" s="1766"/>
      <c r="F1005" s="1766"/>
      <c r="G1005" s="1766"/>
      <c r="H1005" s="1766"/>
      <c r="I1005" s="1766"/>
      <c r="J1005" s="1766"/>
      <c r="K1005" s="1766"/>
      <c r="L1005" s="1766"/>
      <c r="M1005" s="1766"/>
      <c r="N1005" s="1766"/>
      <c r="O1005" s="1766"/>
      <c r="P1005" s="1766"/>
      <c r="Q1005" s="1766"/>
      <c r="R1005" s="1766"/>
      <c r="S1005" s="1766"/>
      <c r="T1005" s="1766"/>
      <c r="U1005" s="1766"/>
      <c r="V1005" s="1766"/>
      <c r="W1005" s="1766"/>
      <c r="X1005" s="1766"/>
      <c r="Y1005" s="1766"/>
      <c r="Z1005" s="1766"/>
      <c r="AA1005" s="1766"/>
      <c r="AB1005" s="1766"/>
      <c r="AC1005" s="1766"/>
      <c r="AD1005" s="1766"/>
      <c r="AE1005" s="1767"/>
      <c r="AF1005" s="73"/>
      <c r="AG1005" s="14"/>
      <c r="AH1005" s="14"/>
      <c r="AI1005" s="83"/>
      <c r="AJ1005" s="1784"/>
      <c r="AK1005" s="1785"/>
      <c r="AL1005" s="1785"/>
      <c r="AM1005" s="1785"/>
      <c r="AN1005" s="1785"/>
      <c r="AO1005" s="1785"/>
      <c r="AP1005" s="1785"/>
      <c r="AQ1005" s="1786"/>
      <c r="AR1005" s="68"/>
      <c r="AS1005" s="68"/>
      <c r="AT1005" s="68"/>
      <c r="AU1005" s="68"/>
      <c r="AV1005" s="68"/>
      <c r="AW1005" s="68"/>
      <c r="AX1005" s="68"/>
      <c r="AY1005" s="913">
        <f>ROUNDDOWN(X1048/I1048,2)</f>
        <v>0.2</v>
      </c>
      <c r="AZ1005" s="34"/>
      <c r="BB1005" s="34"/>
    </row>
    <row r="1006" spans="1:55" ht="12.95" customHeight="1">
      <c r="A1006" s="14"/>
      <c r="B1006" s="75"/>
      <c r="C1006" s="76"/>
      <c r="D1006" s="1768"/>
      <c r="E1006" s="1769"/>
      <c r="F1006" s="1769"/>
      <c r="G1006" s="1769"/>
      <c r="H1006" s="1769"/>
      <c r="I1006" s="1769"/>
      <c r="J1006" s="1769"/>
      <c r="K1006" s="1769"/>
      <c r="L1006" s="1769"/>
      <c r="M1006" s="1769"/>
      <c r="N1006" s="1769"/>
      <c r="O1006" s="1769"/>
      <c r="P1006" s="1769"/>
      <c r="Q1006" s="1769"/>
      <c r="R1006" s="1769"/>
      <c r="S1006" s="1769"/>
      <c r="T1006" s="1769"/>
      <c r="U1006" s="1769"/>
      <c r="V1006" s="1769"/>
      <c r="W1006" s="1769"/>
      <c r="X1006" s="1769"/>
      <c r="Y1006" s="1769"/>
      <c r="Z1006" s="1769"/>
      <c r="AA1006" s="1769"/>
      <c r="AB1006" s="1769"/>
      <c r="AC1006" s="1769"/>
      <c r="AD1006" s="1769"/>
      <c r="AE1006" s="1770"/>
      <c r="AF1006" s="77"/>
      <c r="AG1006" s="7"/>
      <c r="AH1006" s="7"/>
      <c r="AI1006" s="78"/>
      <c r="AJ1006" s="1787"/>
      <c r="AK1006" s="1788"/>
      <c r="AL1006" s="1788"/>
      <c r="AM1006" s="1788"/>
      <c r="AN1006" s="1788"/>
      <c r="AO1006" s="1788"/>
      <c r="AP1006" s="1788"/>
      <c r="AQ1006" s="1789"/>
      <c r="AR1006" s="68"/>
      <c r="AS1006" s="68"/>
      <c r="AT1006" s="68"/>
      <c r="AU1006" s="68"/>
      <c r="AV1006" s="68"/>
      <c r="AW1006" s="68"/>
      <c r="AX1006" s="68"/>
      <c r="AY1006" s="913">
        <f>ROUNDDOWN(X1052/I1052,2)</f>
        <v>0.17</v>
      </c>
      <c r="AZ1006" s="34"/>
      <c r="BB1006" s="34"/>
    </row>
    <row r="1007" spans="1:55" ht="12.95" customHeight="1">
      <c r="A1007" s="14"/>
      <c r="B1007" s="255"/>
      <c r="C1007" s="80" t="s">
        <v>671</v>
      </c>
      <c r="D1007" s="1762" t="s">
        <v>1683</v>
      </c>
      <c r="E1007" s="1763"/>
      <c r="F1007" s="1763"/>
      <c r="G1007" s="1763"/>
      <c r="H1007" s="1763"/>
      <c r="I1007" s="1763"/>
      <c r="J1007" s="1763"/>
      <c r="K1007" s="1763"/>
      <c r="L1007" s="1763"/>
      <c r="M1007" s="1763"/>
      <c r="N1007" s="1763"/>
      <c r="O1007" s="1763"/>
      <c r="P1007" s="1763"/>
      <c r="Q1007" s="1763"/>
      <c r="R1007" s="1763"/>
      <c r="S1007" s="1763"/>
      <c r="T1007" s="1763"/>
      <c r="U1007" s="1763"/>
      <c r="V1007" s="1763"/>
      <c r="W1007" s="1763"/>
      <c r="X1007" s="1763"/>
      <c r="Y1007" s="1763"/>
      <c r="Z1007" s="1763"/>
      <c r="AA1007" s="1763"/>
      <c r="AB1007" s="1763"/>
      <c r="AC1007" s="1763"/>
      <c r="AD1007" s="1763"/>
      <c r="AE1007" s="1764"/>
      <c r="AF1007" s="86"/>
      <c r="AG1007" s="1748" t="s">
        <v>668</v>
      </c>
      <c r="AH1007" s="1749"/>
      <c r="AI1007" s="87"/>
      <c r="AJ1007" s="1781">
        <f>ROUND(IF(AG1007="yes",AJ992*0.1,0),0)</f>
        <v>0</v>
      </c>
      <c r="AK1007" s="1782"/>
      <c r="AL1007" s="1782"/>
      <c r="AM1007" s="1782"/>
      <c r="AN1007" s="1782"/>
      <c r="AO1007" s="1782"/>
      <c r="AP1007" s="1782"/>
      <c r="AQ1007" s="1783"/>
      <c r="AR1007" s="68"/>
      <c r="AS1007" s="68"/>
      <c r="AT1007" s="68"/>
      <c r="AU1007" s="68"/>
      <c r="AV1007" s="68"/>
      <c r="AW1007" s="68"/>
      <c r="AX1007" s="68"/>
      <c r="BB1007" s="34"/>
    </row>
    <row r="1008" spans="1:55" ht="12.95" customHeight="1">
      <c r="A1008" s="14"/>
      <c r="B1008" s="73"/>
      <c r="C1008" s="74"/>
      <c r="D1008" s="1702" t="s">
        <v>1285</v>
      </c>
      <c r="E1008" s="1703"/>
      <c r="F1008" s="1703"/>
      <c r="G1008" s="1703"/>
      <c r="H1008" s="1703"/>
      <c r="I1008" s="1703"/>
      <c r="J1008" s="1703"/>
      <c r="K1008" s="1703"/>
      <c r="L1008" s="1703"/>
      <c r="M1008" s="1703"/>
      <c r="N1008" s="1703"/>
      <c r="O1008" s="1703"/>
      <c r="P1008" s="1703"/>
      <c r="Q1008" s="1703"/>
      <c r="R1008" s="1703"/>
      <c r="S1008" s="1703"/>
      <c r="T1008" s="1703"/>
      <c r="U1008" s="1703"/>
      <c r="V1008" s="1703"/>
      <c r="W1008" s="1703"/>
      <c r="X1008" s="1703"/>
      <c r="Y1008" s="1703"/>
      <c r="Z1008" s="1703"/>
      <c r="AA1008" s="1703"/>
      <c r="AB1008" s="1703"/>
      <c r="AC1008" s="1703"/>
      <c r="AD1008" s="1703"/>
      <c r="AE1008" s="1704"/>
      <c r="AF1008" s="73"/>
      <c r="AI1008" s="83"/>
      <c r="AJ1008" s="1784"/>
      <c r="AK1008" s="1785"/>
      <c r="AL1008" s="1785"/>
      <c r="AM1008" s="1785"/>
      <c r="AN1008" s="1785"/>
      <c r="AO1008" s="1785"/>
      <c r="AP1008" s="1785"/>
      <c r="AQ1008" s="1786"/>
      <c r="AR1008" s="68"/>
      <c r="AS1008" s="68"/>
      <c r="AT1008" s="68"/>
      <c r="AU1008" s="68"/>
      <c r="AV1008" s="68"/>
      <c r="AW1008" s="68"/>
      <c r="AX1008" s="68"/>
    </row>
    <row r="1009" spans="1:52" ht="12.95" customHeight="1">
      <c r="A1009" s="14"/>
      <c r="B1009" s="73"/>
      <c r="C1009" s="74"/>
      <c r="D1009" s="1702"/>
      <c r="E1009" s="1703"/>
      <c r="F1009" s="1703"/>
      <c r="G1009" s="1703"/>
      <c r="H1009" s="1703"/>
      <c r="I1009" s="1703"/>
      <c r="J1009" s="1703"/>
      <c r="K1009" s="1703"/>
      <c r="L1009" s="1703"/>
      <c r="M1009" s="1703"/>
      <c r="N1009" s="1703"/>
      <c r="O1009" s="1703"/>
      <c r="P1009" s="1703"/>
      <c r="Q1009" s="1703"/>
      <c r="R1009" s="1703"/>
      <c r="S1009" s="1703"/>
      <c r="T1009" s="1703"/>
      <c r="U1009" s="1703"/>
      <c r="V1009" s="1703"/>
      <c r="W1009" s="1703"/>
      <c r="X1009" s="1703"/>
      <c r="Y1009" s="1703"/>
      <c r="Z1009" s="1703"/>
      <c r="AA1009" s="1703"/>
      <c r="AB1009" s="1703"/>
      <c r="AC1009" s="1703"/>
      <c r="AD1009" s="1703"/>
      <c r="AE1009" s="1704"/>
      <c r="AF1009" s="73"/>
      <c r="AG1009" s="14"/>
      <c r="AH1009" s="14"/>
      <c r="AI1009" s="83"/>
      <c r="AJ1009" s="1784"/>
      <c r="AK1009" s="1785"/>
      <c r="AL1009" s="1785"/>
      <c r="AM1009" s="1785"/>
      <c r="AN1009" s="1785"/>
      <c r="AO1009" s="1785"/>
      <c r="AP1009" s="1785"/>
      <c r="AQ1009" s="1786"/>
      <c r="AR1009" s="68"/>
      <c r="AS1009" s="68"/>
      <c r="AT1009" s="68"/>
      <c r="AU1009" s="68"/>
      <c r="AV1009" s="68"/>
      <c r="AW1009" s="68"/>
      <c r="AX1009" s="68"/>
    </row>
    <row r="1010" spans="1:52" ht="12.95" customHeight="1">
      <c r="A1010" s="14"/>
      <c r="B1010" s="85"/>
      <c r="C1010" s="76"/>
      <c r="D1010" s="1743"/>
      <c r="E1010" s="1744"/>
      <c r="F1010" s="1744"/>
      <c r="G1010" s="1744"/>
      <c r="H1010" s="1744"/>
      <c r="I1010" s="1744"/>
      <c r="J1010" s="1744"/>
      <c r="K1010" s="1744"/>
      <c r="L1010" s="1744"/>
      <c r="M1010" s="1744"/>
      <c r="N1010" s="1744"/>
      <c r="O1010" s="1744"/>
      <c r="P1010" s="1744"/>
      <c r="Q1010" s="1744"/>
      <c r="R1010" s="1744"/>
      <c r="S1010" s="1744"/>
      <c r="T1010" s="1744"/>
      <c r="U1010" s="1744"/>
      <c r="V1010" s="1744"/>
      <c r="W1010" s="1744"/>
      <c r="X1010" s="1744"/>
      <c r="Y1010" s="1744"/>
      <c r="Z1010" s="1744"/>
      <c r="AA1010" s="1744"/>
      <c r="AB1010" s="1744"/>
      <c r="AC1010" s="1744"/>
      <c r="AD1010" s="1744"/>
      <c r="AE1010" s="1745"/>
      <c r="AF1010" s="77"/>
      <c r="AG1010" s="7"/>
      <c r="AH1010" s="7"/>
      <c r="AI1010" s="78"/>
      <c r="AJ1010" s="1787"/>
      <c r="AK1010" s="1788"/>
      <c r="AL1010" s="1788"/>
      <c r="AM1010" s="1788"/>
      <c r="AN1010" s="1788"/>
      <c r="AO1010" s="1788"/>
      <c r="AP1010" s="1788"/>
      <c r="AQ1010" s="1789"/>
      <c r="AR1010" s="68"/>
      <c r="AS1010" s="68"/>
      <c r="AT1010" s="68"/>
      <c r="AU1010" s="68"/>
      <c r="AV1010" s="68"/>
      <c r="AW1010" s="68"/>
      <c r="AX1010" s="68"/>
    </row>
    <row r="1011" spans="1:52" ht="12.95" customHeight="1">
      <c r="A1011" s="14"/>
      <c r="B1011" s="79"/>
      <c r="C1011" s="80" t="s">
        <v>211</v>
      </c>
      <c r="D1011" s="1762" t="s">
        <v>1287</v>
      </c>
      <c r="E1011" s="1763"/>
      <c r="F1011" s="1763"/>
      <c r="G1011" s="1763"/>
      <c r="H1011" s="1763"/>
      <c r="I1011" s="1763"/>
      <c r="J1011" s="1763"/>
      <c r="K1011" s="1763"/>
      <c r="L1011" s="1763"/>
      <c r="M1011" s="1763"/>
      <c r="N1011" s="1763"/>
      <c r="O1011" s="1763"/>
      <c r="P1011" s="1763"/>
      <c r="Q1011" s="1763"/>
      <c r="R1011" s="1763"/>
      <c r="S1011" s="1763"/>
      <c r="T1011" s="1763"/>
      <c r="U1011" s="1763"/>
      <c r="V1011" s="1763"/>
      <c r="W1011" s="1763"/>
      <c r="X1011" s="1763"/>
      <c r="Y1011" s="1763"/>
      <c r="Z1011" s="1763"/>
      <c r="AA1011" s="1763"/>
      <c r="AB1011" s="1763"/>
      <c r="AC1011" s="1763"/>
      <c r="AD1011" s="1763"/>
      <c r="AE1011" s="1764"/>
      <c r="AF1011" s="79"/>
      <c r="AG1011" s="1748" t="s">
        <v>668</v>
      </c>
      <c r="AH1011" s="1749"/>
      <c r="AI1011" s="87"/>
      <c r="AJ1011" s="1781">
        <f>ROUND(IF(AG1011="yes",AJ992*0.02,0),0)</f>
        <v>0</v>
      </c>
      <c r="AK1011" s="1782"/>
      <c r="AL1011" s="1782"/>
      <c r="AM1011" s="1782"/>
      <c r="AN1011" s="1782"/>
      <c r="AO1011" s="1782"/>
      <c r="AP1011" s="1782"/>
      <c r="AQ1011" s="1783"/>
      <c r="AR1011" s="68"/>
      <c r="AS1011" s="68"/>
      <c r="AT1011" s="68"/>
      <c r="AU1011" s="68"/>
      <c r="AV1011" s="68"/>
      <c r="AW1011" s="68"/>
      <c r="AX1011" s="68"/>
    </row>
    <row r="1012" spans="1:52" ht="14.25" customHeight="1">
      <c r="A1012" s="14"/>
      <c r="B1012" s="73"/>
      <c r="C1012" s="74"/>
      <c r="D1012" s="1743" t="s">
        <v>1288</v>
      </c>
      <c r="E1012" s="1744"/>
      <c r="F1012" s="1744"/>
      <c r="G1012" s="1744"/>
      <c r="H1012" s="1744"/>
      <c r="I1012" s="1744"/>
      <c r="J1012" s="1744"/>
      <c r="K1012" s="1744"/>
      <c r="L1012" s="1744"/>
      <c r="M1012" s="1744"/>
      <c r="N1012" s="1744"/>
      <c r="O1012" s="1744"/>
      <c r="P1012" s="1744"/>
      <c r="Q1012" s="1744"/>
      <c r="R1012" s="1744"/>
      <c r="S1012" s="1744"/>
      <c r="T1012" s="1744"/>
      <c r="U1012" s="1744"/>
      <c r="V1012" s="1744"/>
      <c r="W1012" s="1744"/>
      <c r="X1012" s="1744"/>
      <c r="Y1012" s="1744"/>
      <c r="Z1012" s="1744"/>
      <c r="AA1012" s="1744"/>
      <c r="AB1012" s="1744"/>
      <c r="AC1012" s="1744"/>
      <c r="AD1012" s="1744"/>
      <c r="AE1012" s="1745"/>
      <c r="AF1012" s="77"/>
      <c r="AG1012" s="7"/>
      <c r="AH1012" s="7"/>
      <c r="AI1012" s="78"/>
      <c r="AJ1012" s="1787"/>
      <c r="AK1012" s="1788"/>
      <c r="AL1012" s="1788"/>
      <c r="AM1012" s="1788"/>
      <c r="AN1012" s="1788"/>
      <c r="AO1012" s="1788"/>
      <c r="AP1012" s="1788"/>
      <c r="AQ1012" s="1789"/>
      <c r="AR1012" s="68"/>
      <c r="AS1012" s="68"/>
      <c r="AT1012" s="68"/>
      <c r="AU1012" s="68"/>
      <c r="AV1012" s="68"/>
      <c r="AW1012" s="68"/>
      <c r="AX1012" s="3" t="s">
        <v>1841</v>
      </c>
      <c r="AZ1012" s="3" t="s">
        <v>2606</v>
      </c>
    </row>
    <row r="1013" spans="1:52" ht="12.95" customHeight="1">
      <c r="A1013" s="14"/>
      <c r="B1013" s="79"/>
      <c r="C1013" s="80" t="s">
        <v>214</v>
      </c>
      <c r="D1013" s="1762" t="s">
        <v>1289</v>
      </c>
      <c r="E1013" s="1763"/>
      <c r="F1013" s="1763"/>
      <c r="G1013" s="1763"/>
      <c r="H1013" s="1763"/>
      <c r="I1013" s="1763"/>
      <c r="J1013" s="1763"/>
      <c r="K1013" s="1763"/>
      <c r="L1013" s="1763"/>
      <c r="M1013" s="1763"/>
      <c r="N1013" s="1763"/>
      <c r="O1013" s="1763"/>
      <c r="P1013" s="1763"/>
      <c r="Q1013" s="1763"/>
      <c r="R1013" s="1763"/>
      <c r="S1013" s="1763"/>
      <c r="T1013" s="1763"/>
      <c r="U1013" s="1763"/>
      <c r="V1013" s="1763"/>
      <c r="W1013" s="1763"/>
      <c r="X1013" s="1763"/>
      <c r="Y1013" s="1763"/>
      <c r="Z1013" s="1763"/>
      <c r="AA1013" s="1763"/>
      <c r="AB1013" s="1763"/>
      <c r="AC1013" s="1763"/>
      <c r="AD1013" s="1763"/>
      <c r="AE1013" s="1764"/>
      <c r="AF1013" s="79"/>
      <c r="AG1013" s="1748" t="s">
        <v>668</v>
      </c>
      <c r="AH1013" s="1749"/>
      <c r="AI1013" s="79"/>
      <c r="AJ1013" s="1781">
        <f>ROUND(IF(AG1013="yes",AJ992*0.02,0),0)</f>
        <v>0</v>
      </c>
      <c r="AK1013" s="1782"/>
      <c r="AL1013" s="1782"/>
      <c r="AM1013" s="1782"/>
      <c r="AN1013" s="1782"/>
      <c r="AO1013" s="1782"/>
      <c r="AP1013" s="1782"/>
      <c r="AQ1013" s="1783"/>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702" t="s">
        <v>1290</v>
      </c>
      <c r="E1014" s="1703"/>
      <c r="F1014" s="1703"/>
      <c r="G1014" s="1703"/>
      <c r="H1014" s="1703"/>
      <c r="I1014" s="1703"/>
      <c r="J1014" s="1703"/>
      <c r="K1014" s="1703"/>
      <c r="L1014" s="1703"/>
      <c r="M1014" s="1703"/>
      <c r="N1014" s="1703"/>
      <c r="O1014" s="1703"/>
      <c r="P1014" s="1703"/>
      <c r="Q1014" s="1703"/>
      <c r="R1014" s="1703"/>
      <c r="S1014" s="1703"/>
      <c r="T1014" s="1703"/>
      <c r="U1014" s="1703"/>
      <c r="V1014" s="1703"/>
      <c r="W1014" s="1703"/>
      <c r="X1014" s="1703"/>
      <c r="Y1014" s="1703"/>
      <c r="Z1014" s="1703"/>
      <c r="AA1014" s="1703"/>
      <c r="AB1014" s="1703"/>
      <c r="AC1014" s="1703"/>
      <c r="AD1014" s="1703"/>
      <c r="AE1014" s="1704"/>
      <c r="AF1014" s="1853" t="str">
        <f>IF(AND(AG1013="yes",T212&lt;&gt;1),"The project may not be eligible for this boost","")</f>
        <v/>
      </c>
      <c r="AG1014" s="1854"/>
      <c r="AH1014" s="1854"/>
      <c r="AI1014" s="1855"/>
      <c r="AJ1014" s="1784"/>
      <c r="AK1014" s="1785"/>
      <c r="AL1014" s="1785"/>
      <c r="AM1014" s="1785"/>
      <c r="AN1014" s="1785"/>
      <c r="AO1014" s="1785"/>
      <c r="AP1014" s="1785"/>
      <c r="AQ1014" s="1786"/>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743"/>
      <c r="E1015" s="1744"/>
      <c r="F1015" s="1744"/>
      <c r="G1015" s="1744"/>
      <c r="H1015" s="1744"/>
      <c r="I1015" s="1744"/>
      <c r="J1015" s="1744"/>
      <c r="K1015" s="1744"/>
      <c r="L1015" s="1744"/>
      <c r="M1015" s="1744"/>
      <c r="N1015" s="1744"/>
      <c r="O1015" s="1744"/>
      <c r="P1015" s="1744"/>
      <c r="Q1015" s="1744"/>
      <c r="R1015" s="1744"/>
      <c r="S1015" s="1744"/>
      <c r="T1015" s="1744"/>
      <c r="U1015" s="1744"/>
      <c r="V1015" s="1744"/>
      <c r="W1015" s="1744"/>
      <c r="X1015" s="1744"/>
      <c r="Y1015" s="1744"/>
      <c r="Z1015" s="1744"/>
      <c r="AA1015" s="1744"/>
      <c r="AB1015" s="1744"/>
      <c r="AC1015" s="1744"/>
      <c r="AD1015" s="1744"/>
      <c r="AE1015" s="1745"/>
      <c r="AF1015" s="1856"/>
      <c r="AG1015" s="1857"/>
      <c r="AH1015" s="1857"/>
      <c r="AI1015" s="1858"/>
      <c r="AJ1015" s="1787"/>
      <c r="AK1015" s="1788"/>
      <c r="AL1015" s="1788"/>
      <c r="AM1015" s="1788"/>
      <c r="AN1015" s="1788"/>
      <c r="AO1015" s="1788"/>
      <c r="AP1015" s="1788"/>
      <c r="AQ1015" s="1789"/>
      <c r="AR1015" s="68"/>
      <c r="AS1015" s="68"/>
      <c r="AT1015" s="68"/>
      <c r="AU1015" s="68"/>
      <c r="AV1015" s="68"/>
      <c r="AW1015" s="68"/>
      <c r="AX1015" s="3">
        <v>3</v>
      </c>
      <c r="AY1015" s="200">
        <f t="shared" si="53"/>
        <v>0</v>
      </c>
      <c r="AZ1015" s="1255">
        <v>0.05</v>
      </c>
    </row>
    <row r="1016" spans="1:52" ht="12.95" customHeight="1">
      <c r="A1016" s="14"/>
      <c r="B1016" s="79"/>
      <c r="C1016" s="80" t="s">
        <v>217</v>
      </c>
      <c r="D1016" s="1740" t="s">
        <v>2235</v>
      </c>
      <c r="E1016" s="1741"/>
      <c r="F1016" s="1741"/>
      <c r="G1016" s="1741"/>
      <c r="H1016" s="1741"/>
      <c r="I1016" s="1741"/>
      <c r="J1016" s="1741"/>
      <c r="K1016" s="1741"/>
      <c r="L1016" s="1741"/>
      <c r="M1016" s="1741"/>
      <c r="N1016" s="1741"/>
      <c r="O1016" s="1741"/>
      <c r="P1016" s="1741"/>
      <c r="Q1016" s="1741"/>
      <c r="R1016" s="1741"/>
      <c r="S1016" s="1741"/>
      <c r="T1016" s="1741"/>
      <c r="U1016" s="1741"/>
      <c r="V1016" s="1741"/>
      <c r="W1016" s="1741"/>
      <c r="X1016" s="1741"/>
      <c r="Y1016" s="1741"/>
      <c r="Z1016" s="1741"/>
      <c r="AA1016" s="1741"/>
      <c r="AB1016" s="1741"/>
      <c r="AC1016" s="1741"/>
      <c r="AD1016" s="1741"/>
      <c r="AE1016" s="1742"/>
      <c r="AF1016" s="79"/>
      <c r="AG1016" s="1748" t="s">
        <v>668</v>
      </c>
      <c r="AH1016" s="1749"/>
      <c r="AI1016" s="87"/>
      <c r="AJ1016" s="1781">
        <f>IF(AG1016="yes",AJ992*AY1024,0)</f>
        <v>0</v>
      </c>
      <c r="AK1016" s="1782"/>
      <c r="AL1016" s="1782"/>
      <c r="AM1016" s="1782"/>
      <c r="AN1016" s="1782"/>
      <c r="AO1016" s="1782"/>
      <c r="AP1016" s="1782"/>
      <c r="AQ1016" s="1783"/>
      <c r="AR1016" s="68"/>
      <c r="AS1016" s="68"/>
      <c r="AT1016" s="68"/>
      <c r="AU1016" s="68"/>
      <c r="AV1016" s="68"/>
      <c r="AW1016" s="68"/>
      <c r="AX1016" s="3">
        <v>4</v>
      </c>
      <c r="AY1016" s="200">
        <f t="shared" si="53"/>
        <v>0</v>
      </c>
      <c r="AZ1016" s="1255">
        <v>0.02</v>
      </c>
    </row>
    <row r="1017" spans="1:52" ht="12.95" customHeight="1">
      <c r="A1017" s="14"/>
      <c r="B1017" s="73"/>
      <c r="C1017" s="74"/>
      <c r="D1017" s="1702" t="s">
        <v>1291</v>
      </c>
      <c r="E1017" s="1703"/>
      <c r="F1017" s="1703"/>
      <c r="G1017" s="1703"/>
      <c r="H1017" s="1703"/>
      <c r="I1017" s="1703"/>
      <c r="J1017" s="1703"/>
      <c r="K1017" s="1703"/>
      <c r="L1017" s="1703"/>
      <c r="M1017" s="1703"/>
      <c r="N1017" s="1703"/>
      <c r="O1017" s="1703"/>
      <c r="P1017" s="1703"/>
      <c r="Q1017" s="1703"/>
      <c r="R1017" s="1703"/>
      <c r="S1017" s="1703"/>
      <c r="T1017" s="1703"/>
      <c r="U1017" s="1703"/>
      <c r="V1017" s="1703"/>
      <c r="W1017" s="1703"/>
      <c r="X1017" s="1703"/>
      <c r="Y1017" s="1703"/>
      <c r="Z1017" s="1703"/>
      <c r="AA1017" s="1703"/>
      <c r="AB1017" s="1703"/>
      <c r="AC1017" s="1703"/>
      <c r="AD1017" s="1703"/>
      <c r="AE1017" s="1704"/>
      <c r="AF1017" s="1847" t="str">
        <f>IF(AND(AG1016="Yes",AY1024=0),AY1027,"")</f>
        <v/>
      </c>
      <c r="AG1017" s="1848"/>
      <c r="AH1017" s="1848"/>
      <c r="AI1017" s="1849"/>
      <c r="AJ1017" s="1784"/>
      <c r="AK1017" s="1785"/>
      <c r="AL1017" s="1785"/>
      <c r="AM1017" s="1785"/>
      <c r="AN1017" s="1785"/>
      <c r="AO1017" s="1785"/>
      <c r="AP1017" s="1785"/>
      <c r="AQ1017" s="1786"/>
      <c r="AR1017" s="68"/>
      <c r="AS1017" s="68"/>
      <c r="AT1017" s="68"/>
      <c r="AU1017" s="68"/>
      <c r="AV1017" s="68"/>
      <c r="AW1017" s="68"/>
      <c r="AX1017" s="3">
        <v>5</v>
      </c>
      <c r="AY1017" s="200">
        <f t="shared" si="53"/>
        <v>0</v>
      </c>
      <c r="AZ1017" s="1255">
        <v>0.04</v>
      </c>
    </row>
    <row r="1018" spans="1:52" ht="12.95" customHeight="1">
      <c r="A1018" s="14"/>
      <c r="B1018" s="73"/>
      <c r="C1018" s="74"/>
      <c r="D1018" s="1702"/>
      <c r="E1018" s="1703"/>
      <c r="F1018" s="1703"/>
      <c r="G1018" s="1703"/>
      <c r="H1018" s="1703"/>
      <c r="I1018" s="1703"/>
      <c r="J1018" s="1703"/>
      <c r="K1018" s="1703"/>
      <c r="L1018" s="1703"/>
      <c r="M1018" s="1703"/>
      <c r="N1018" s="1703"/>
      <c r="O1018" s="1703"/>
      <c r="P1018" s="1703"/>
      <c r="Q1018" s="1703"/>
      <c r="R1018" s="1703"/>
      <c r="S1018" s="1703"/>
      <c r="T1018" s="1703"/>
      <c r="U1018" s="1703"/>
      <c r="V1018" s="1703"/>
      <c r="W1018" s="1703"/>
      <c r="X1018" s="1703"/>
      <c r="Y1018" s="1703"/>
      <c r="Z1018" s="1703"/>
      <c r="AA1018" s="1703"/>
      <c r="AB1018" s="1703"/>
      <c r="AC1018" s="1703"/>
      <c r="AD1018" s="1703"/>
      <c r="AE1018" s="1704"/>
      <c r="AF1018" s="1847"/>
      <c r="AG1018" s="1848"/>
      <c r="AH1018" s="1848"/>
      <c r="AI1018" s="1849"/>
      <c r="AJ1018" s="1784"/>
      <c r="AK1018" s="1785"/>
      <c r="AL1018" s="1785"/>
      <c r="AM1018" s="1785"/>
      <c r="AN1018" s="1785"/>
      <c r="AO1018" s="1785"/>
      <c r="AP1018" s="1785"/>
      <c r="AQ1018" s="1786"/>
      <c r="AR1018" s="68"/>
      <c r="AS1018" s="68"/>
      <c r="AT1018" s="68"/>
      <c r="AU1018" s="68"/>
      <c r="AV1018" s="68"/>
      <c r="AW1018" s="68"/>
      <c r="AX1018" s="3">
        <v>6</v>
      </c>
      <c r="AY1018" s="200">
        <f t="shared" si="53"/>
        <v>0</v>
      </c>
      <c r="AZ1018" s="1255">
        <v>0.04</v>
      </c>
    </row>
    <row r="1019" spans="1:52" ht="12.95" customHeight="1">
      <c r="A1019" s="14"/>
      <c r="B1019" s="81"/>
      <c r="C1019" s="82"/>
      <c r="D1019" s="1743"/>
      <c r="E1019" s="1744"/>
      <c r="F1019" s="1744"/>
      <c r="G1019" s="1744"/>
      <c r="H1019" s="1744"/>
      <c r="I1019" s="1744"/>
      <c r="J1019" s="1744"/>
      <c r="K1019" s="1744"/>
      <c r="L1019" s="1744"/>
      <c r="M1019" s="1744"/>
      <c r="N1019" s="1744"/>
      <c r="O1019" s="1744"/>
      <c r="P1019" s="1744"/>
      <c r="Q1019" s="1744"/>
      <c r="R1019" s="1744"/>
      <c r="S1019" s="1744"/>
      <c r="T1019" s="1744"/>
      <c r="U1019" s="1744"/>
      <c r="V1019" s="1744"/>
      <c r="W1019" s="1744"/>
      <c r="X1019" s="1744"/>
      <c r="Y1019" s="1744"/>
      <c r="Z1019" s="1744"/>
      <c r="AA1019" s="1744"/>
      <c r="AB1019" s="1744"/>
      <c r="AC1019" s="1744"/>
      <c r="AD1019" s="1744"/>
      <c r="AE1019" s="1745"/>
      <c r="AF1019" s="1850"/>
      <c r="AG1019" s="1851"/>
      <c r="AH1019" s="1851"/>
      <c r="AI1019" s="1852"/>
      <c r="AJ1019" s="1787"/>
      <c r="AK1019" s="1788"/>
      <c r="AL1019" s="1788"/>
      <c r="AM1019" s="1788"/>
      <c r="AN1019" s="1788"/>
      <c r="AO1019" s="1788"/>
      <c r="AP1019" s="1788"/>
      <c r="AQ1019" s="1789"/>
      <c r="AR1019" s="68"/>
      <c r="AS1019" s="68"/>
      <c r="AT1019" s="68"/>
      <c r="AU1019" s="68"/>
      <c r="AV1019" s="68"/>
      <c r="AW1019" s="68"/>
      <c r="AX1019" s="3">
        <v>7</v>
      </c>
      <c r="AY1019" s="200">
        <f t="shared" si="53"/>
        <v>0</v>
      </c>
      <c r="AZ1019" s="1255">
        <v>0.01</v>
      </c>
    </row>
    <row r="1020" spans="1:52" ht="12.95" customHeight="1">
      <c r="A1020" s="14"/>
      <c r="B1020" s="79"/>
      <c r="C1020" s="80" t="s">
        <v>222</v>
      </c>
      <c r="D1020" s="1828" t="s">
        <v>1292</v>
      </c>
      <c r="E1020" s="1829"/>
      <c r="F1020" s="1829"/>
      <c r="G1020" s="1829"/>
      <c r="H1020" s="1829"/>
      <c r="I1020" s="1829"/>
      <c r="J1020" s="1829"/>
      <c r="K1020" s="1829"/>
      <c r="L1020" s="1829"/>
      <c r="M1020" s="1829"/>
      <c r="N1020" s="1829"/>
      <c r="O1020" s="1829"/>
      <c r="P1020" s="1829"/>
      <c r="Q1020" s="1829"/>
      <c r="R1020" s="1829"/>
      <c r="S1020" s="1829"/>
      <c r="T1020" s="1829"/>
      <c r="U1020" s="1829"/>
      <c r="V1020" s="1829"/>
      <c r="W1020" s="1829"/>
      <c r="X1020" s="1829"/>
      <c r="Y1020" s="1829"/>
      <c r="Z1020" s="1829"/>
      <c r="AA1020" s="1829"/>
      <c r="AB1020" s="1829"/>
      <c r="AC1020" s="1829"/>
      <c r="AD1020" s="1829"/>
      <c r="AE1020" s="1830"/>
      <c r="AF1020" s="79"/>
      <c r="AG1020" s="1748" t="s">
        <v>668</v>
      </c>
      <c r="AH1020" s="1749"/>
      <c r="AI1020" s="87"/>
      <c r="AJ1020" s="1781">
        <f>ROUND(IF(AND(AG1020="Yes",J1024&lt;&gt;"N/A",AF1023&lt;&gt;""),MIN(AF1023,(0.15*AJ992)),0),0)</f>
        <v>0</v>
      </c>
      <c r="AK1020" s="1782"/>
      <c r="AL1020" s="1782"/>
      <c r="AM1020" s="1782"/>
      <c r="AN1020" s="1782"/>
      <c r="AO1020" s="1782"/>
      <c r="AP1020" s="1782"/>
      <c r="AQ1020" s="1783"/>
      <c r="AR1020" s="68"/>
      <c r="AS1020" s="68"/>
      <c r="AT1020" s="68"/>
      <c r="AU1020" s="68"/>
      <c r="AV1020" s="68"/>
      <c r="AW1020" s="68"/>
      <c r="AX1020" s="3">
        <v>8</v>
      </c>
      <c r="AY1020" s="200">
        <f t="shared" si="53"/>
        <v>0</v>
      </c>
      <c r="AZ1020" s="1255">
        <v>0.01</v>
      </c>
    </row>
    <row r="1021" spans="1:52" ht="12.95" customHeight="1">
      <c r="A1021" s="14"/>
      <c r="B1021" s="81"/>
      <c r="C1021" s="84"/>
      <c r="D1021" s="1831"/>
      <c r="E1021" s="1832"/>
      <c r="F1021" s="1832"/>
      <c r="G1021" s="1832"/>
      <c r="H1021" s="1832"/>
      <c r="I1021" s="1832"/>
      <c r="J1021" s="1832"/>
      <c r="K1021" s="1832"/>
      <c r="L1021" s="1832"/>
      <c r="M1021" s="1832"/>
      <c r="N1021" s="1832"/>
      <c r="O1021" s="1832"/>
      <c r="P1021" s="1832"/>
      <c r="Q1021" s="1832"/>
      <c r="R1021" s="1832"/>
      <c r="S1021" s="1832"/>
      <c r="T1021" s="1832"/>
      <c r="U1021" s="1832"/>
      <c r="V1021" s="1832"/>
      <c r="W1021" s="1832"/>
      <c r="X1021" s="1832"/>
      <c r="Y1021" s="1832"/>
      <c r="Z1021" s="1832"/>
      <c r="AA1021" s="1832"/>
      <c r="AB1021" s="1832"/>
      <c r="AC1021" s="1832"/>
      <c r="AD1021" s="1832"/>
      <c r="AE1021" s="1833"/>
      <c r="AF1021" s="1816" t="str">
        <f>IF(AG1020="yes","Please Select Type and Enter Amount:","")</f>
        <v/>
      </c>
      <c r="AG1021" s="1817"/>
      <c r="AH1021" s="1817"/>
      <c r="AI1021" s="1818"/>
      <c r="AJ1021" s="1784"/>
      <c r="AK1021" s="1785"/>
      <c r="AL1021" s="1785"/>
      <c r="AM1021" s="1785"/>
      <c r="AN1021" s="1785"/>
      <c r="AO1021" s="1785"/>
      <c r="AP1021" s="1785"/>
      <c r="AQ1021" s="1786"/>
      <c r="AR1021" s="68"/>
      <c r="AS1021" s="68"/>
      <c r="AT1021" s="68"/>
      <c r="AU1021" s="68"/>
      <c r="AV1021" s="68"/>
      <c r="AW1021" s="68"/>
      <c r="AX1021" s="3">
        <v>9</v>
      </c>
      <c r="AY1021" s="200">
        <f t="shared" si="53"/>
        <v>0</v>
      </c>
      <c r="AZ1021" s="1255">
        <v>0.01</v>
      </c>
    </row>
    <row r="1022" spans="1:52" ht="12.95" customHeight="1">
      <c r="A1022" s="14"/>
      <c r="B1022" s="81"/>
      <c r="C1022" s="84"/>
      <c r="D1022" s="1702" t="s">
        <v>1293</v>
      </c>
      <c r="E1022" s="1703"/>
      <c r="F1022" s="1703"/>
      <c r="G1022" s="1703"/>
      <c r="H1022" s="1703"/>
      <c r="I1022" s="1703"/>
      <c r="J1022" s="1703"/>
      <c r="K1022" s="1703"/>
      <c r="L1022" s="1703"/>
      <c r="M1022" s="1703"/>
      <c r="N1022" s="1703"/>
      <c r="O1022" s="1703"/>
      <c r="P1022" s="1703"/>
      <c r="Q1022" s="1703"/>
      <c r="R1022" s="1703"/>
      <c r="S1022" s="1703"/>
      <c r="T1022" s="1703"/>
      <c r="U1022" s="1703"/>
      <c r="V1022" s="1703"/>
      <c r="W1022" s="1703"/>
      <c r="X1022" s="1703"/>
      <c r="Y1022" s="1703"/>
      <c r="Z1022" s="1703"/>
      <c r="AA1022" s="1703"/>
      <c r="AB1022" s="1703"/>
      <c r="AC1022" s="1703"/>
      <c r="AD1022" s="1703"/>
      <c r="AE1022" s="1704"/>
      <c r="AF1022" s="1816"/>
      <c r="AG1022" s="1817"/>
      <c r="AH1022" s="1817"/>
      <c r="AI1022" s="1818"/>
      <c r="AJ1022" s="1784"/>
      <c r="AK1022" s="1785"/>
      <c r="AL1022" s="1785"/>
      <c r="AM1022" s="1785"/>
      <c r="AN1022" s="1785"/>
      <c r="AO1022" s="1785"/>
      <c r="AP1022" s="1785"/>
      <c r="AQ1022" s="1786"/>
      <c r="AR1022" s="68"/>
      <c r="AS1022" s="68"/>
      <c r="AT1022" s="68"/>
      <c r="AU1022" s="68"/>
      <c r="AV1022" s="68"/>
      <c r="AW1022" s="68"/>
      <c r="AX1022" s="3">
        <v>10</v>
      </c>
      <c r="AY1022" s="200">
        <f t="shared" si="53"/>
        <v>0</v>
      </c>
      <c r="AZ1022" s="1255">
        <v>0.02</v>
      </c>
    </row>
    <row r="1023" spans="1:52" ht="12.95" customHeight="1">
      <c r="A1023" s="14"/>
      <c r="B1023" s="81"/>
      <c r="C1023" s="84"/>
      <c r="D1023" s="1702"/>
      <c r="E1023" s="1703"/>
      <c r="F1023" s="1703"/>
      <c r="G1023" s="1703"/>
      <c r="H1023" s="1703"/>
      <c r="I1023" s="1703"/>
      <c r="J1023" s="1703"/>
      <c r="K1023" s="1703"/>
      <c r="L1023" s="1703"/>
      <c r="M1023" s="1703"/>
      <c r="N1023" s="1703"/>
      <c r="O1023" s="1703"/>
      <c r="P1023" s="1703"/>
      <c r="Q1023" s="1703"/>
      <c r="R1023" s="1703"/>
      <c r="S1023" s="1703"/>
      <c r="T1023" s="1703"/>
      <c r="U1023" s="1703"/>
      <c r="V1023" s="1703"/>
      <c r="W1023" s="1703"/>
      <c r="X1023" s="1703"/>
      <c r="Y1023" s="1703"/>
      <c r="Z1023" s="1703"/>
      <c r="AA1023" s="1703"/>
      <c r="AB1023" s="1703"/>
      <c r="AC1023" s="1703"/>
      <c r="AD1023" s="1703"/>
      <c r="AE1023" s="1704"/>
      <c r="AF1023" s="1771"/>
      <c r="AG1023" s="1771"/>
      <c r="AH1023" s="1771"/>
      <c r="AI1023" s="1771"/>
      <c r="AJ1023" s="1784"/>
      <c r="AK1023" s="1785"/>
      <c r="AL1023" s="1785"/>
      <c r="AM1023" s="1785"/>
      <c r="AN1023" s="1785"/>
      <c r="AO1023" s="1785"/>
      <c r="AP1023" s="1785"/>
      <c r="AQ1023" s="1786"/>
      <c r="AR1023" s="68"/>
      <c r="AS1023" s="68"/>
      <c r="AT1023" s="68"/>
      <c r="AU1023" s="68"/>
      <c r="AV1023" s="68"/>
      <c r="AW1023" s="68"/>
      <c r="AX1023" s="3">
        <v>11</v>
      </c>
      <c r="AY1023" s="200">
        <f t="shared" si="53"/>
        <v>0</v>
      </c>
      <c r="AZ1023" s="1255">
        <v>0.02</v>
      </c>
    </row>
    <row r="1024" spans="1:52" ht="12.95" customHeight="1">
      <c r="A1024" s="14"/>
      <c r="B1024" s="81"/>
      <c r="C1024" s="84"/>
      <c r="D1024" s="526" t="s">
        <v>358</v>
      </c>
      <c r="E1024" s="90"/>
      <c r="F1024" s="90"/>
      <c r="G1024" s="104"/>
      <c r="H1024" s="104"/>
      <c r="I1024" s="49"/>
      <c r="J1024" s="1808" t="s">
        <v>590</v>
      </c>
      <c r="K1024" s="1809"/>
      <c r="L1024" s="1809"/>
      <c r="M1024" s="1809"/>
      <c r="N1024" s="1809"/>
      <c r="O1024" s="1809"/>
      <c r="P1024" s="1809"/>
      <c r="Q1024" s="1809"/>
      <c r="R1024" s="1809"/>
      <c r="S1024" s="1809"/>
      <c r="T1024" s="1809"/>
      <c r="U1024" s="1809"/>
      <c r="V1024" s="1809"/>
      <c r="W1024" s="1809"/>
      <c r="X1024" s="1809"/>
      <c r="Y1024" s="1809"/>
      <c r="Z1024" s="1809"/>
      <c r="AA1024" s="1809"/>
      <c r="AB1024" s="1809"/>
      <c r="AC1024" s="1809"/>
      <c r="AD1024" s="1809"/>
      <c r="AE1024" s="1810"/>
      <c r="AF1024" s="1771"/>
      <c r="AG1024" s="1771"/>
      <c r="AH1024" s="1771"/>
      <c r="AI1024" s="1771"/>
      <c r="AJ1024" s="1787"/>
      <c r="AK1024" s="1788"/>
      <c r="AL1024" s="1788"/>
      <c r="AM1024" s="1788"/>
      <c r="AN1024" s="1788"/>
      <c r="AO1024" s="1788"/>
      <c r="AP1024" s="1788"/>
      <c r="AQ1024" s="1789"/>
      <c r="AR1024" s="68"/>
      <c r="AS1024" s="68"/>
      <c r="AT1024" s="68"/>
      <c r="AU1024" s="68"/>
      <c r="AV1024" s="68"/>
      <c r="AW1024" s="68"/>
      <c r="AX1024" s="1032" t="s">
        <v>2605</v>
      </c>
      <c r="AY1024" s="201">
        <f>IF(SUM(AY1013:AY1023)&lt;=0.2,SUM(AY1013:AY1023),0.2)</f>
        <v>0</v>
      </c>
    </row>
    <row r="1025" spans="1:57" ht="12.95" customHeight="1">
      <c r="A1025" s="14"/>
      <c r="B1025" s="79"/>
      <c r="C1025" s="80" t="s">
        <v>228</v>
      </c>
      <c r="D1025" s="1762" t="s">
        <v>1294</v>
      </c>
      <c r="E1025" s="1763"/>
      <c r="F1025" s="1763"/>
      <c r="G1025" s="1763"/>
      <c r="H1025" s="1763"/>
      <c r="I1025" s="1763"/>
      <c r="J1025" s="1763"/>
      <c r="K1025" s="1763"/>
      <c r="L1025" s="1763"/>
      <c r="M1025" s="1763"/>
      <c r="N1025" s="1763"/>
      <c r="O1025" s="1763"/>
      <c r="P1025" s="1763"/>
      <c r="Q1025" s="1763"/>
      <c r="R1025" s="1763"/>
      <c r="S1025" s="1763"/>
      <c r="T1025" s="1763"/>
      <c r="U1025" s="1763"/>
      <c r="V1025" s="1763"/>
      <c r="W1025" s="1763"/>
      <c r="X1025" s="1763"/>
      <c r="Y1025" s="1763"/>
      <c r="Z1025" s="1763"/>
      <c r="AA1025" s="1763"/>
      <c r="AB1025" s="1763"/>
      <c r="AC1025" s="1763"/>
      <c r="AD1025" s="1763"/>
      <c r="AE1025" s="1764"/>
      <c r="AF1025" s="79"/>
      <c r="AG1025" s="1748" t="s">
        <v>544</v>
      </c>
      <c r="AH1025" s="1749"/>
      <c r="AI1025" s="87"/>
      <c r="AJ1025" s="1781">
        <f>ROUND(IF(AG1025="Yes",AF1027,0),0)</f>
        <v>4372860</v>
      </c>
      <c r="AK1025" s="1782"/>
      <c r="AL1025" s="1782"/>
      <c r="AM1025" s="1782"/>
      <c r="AN1025" s="1782"/>
      <c r="AO1025" s="1782"/>
      <c r="AP1025" s="1782"/>
      <c r="AQ1025" s="1783"/>
      <c r="AR1025" s="68"/>
      <c r="AS1025" s="68"/>
      <c r="AT1025" s="68"/>
      <c r="AU1025" s="68"/>
      <c r="AV1025" s="68"/>
      <c r="AW1025" s="68"/>
      <c r="AX1025" s="68"/>
      <c r="AY1025" s="68"/>
    </row>
    <row r="1026" spans="1:57" ht="12.95" customHeight="1">
      <c r="A1026" s="14"/>
      <c r="B1026" s="73"/>
      <c r="C1026" s="74"/>
      <c r="D1026" s="1702" t="s">
        <v>1690</v>
      </c>
      <c r="E1026" s="1703"/>
      <c r="F1026" s="1703"/>
      <c r="G1026" s="1703"/>
      <c r="H1026" s="1703"/>
      <c r="I1026" s="1703"/>
      <c r="J1026" s="1703"/>
      <c r="K1026" s="1703"/>
      <c r="L1026" s="1703"/>
      <c r="M1026" s="1703"/>
      <c r="N1026" s="1703"/>
      <c r="O1026" s="1703"/>
      <c r="P1026" s="1703"/>
      <c r="Q1026" s="1703"/>
      <c r="R1026" s="1703"/>
      <c r="S1026" s="1703"/>
      <c r="T1026" s="1703"/>
      <c r="U1026" s="1703"/>
      <c r="V1026" s="1703"/>
      <c r="W1026" s="1703"/>
      <c r="X1026" s="1703"/>
      <c r="Y1026" s="1703"/>
      <c r="Z1026" s="1703"/>
      <c r="AA1026" s="1703"/>
      <c r="AB1026" s="1703"/>
      <c r="AC1026" s="1703"/>
      <c r="AD1026" s="1703"/>
      <c r="AE1026" s="1704"/>
      <c r="AF1026" s="1834" t="str">
        <f>IF(AG1025="yes","Enter Amount:","")</f>
        <v>Enter Amount:</v>
      </c>
      <c r="AG1026" s="1835"/>
      <c r="AH1026" s="1835"/>
      <c r="AI1026" s="1836"/>
      <c r="AJ1026" s="1784"/>
      <c r="AK1026" s="1785"/>
      <c r="AL1026" s="1785"/>
      <c r="AM1026" s="1785"/>
      <c r="AN1026" s="1785"/>
      <c r="AO1026" s="1785"/>
      <c r="AP1026" s="1785"/>
      <c r="AQ1026" s="1786"/>
      <c r="AR1026" s="68"/>
      <c r="AS1026" s="68"/>
      <c r="AT1026" s="68"/>
      <c r="AU1026" s="68"/>
      <c r="AV1026" s="68"/>
      <c r="AW1026" s="68"/>
      <c r="AX1026" s="68"/>
      <c r="AY1026" s="68"/>
    </row>
    <row r="1027" spans="1:57" ht="12.95" customHeight="1">
      <c r="A1027" s="14"/>
      <c r="B1027" s="73"/>
      <c r="C1027" s="74"/>
      <c r="D1027" s="1702"/>
      <c r="E1027" s="1703"/>
      <c r="F1027" s="1703"/>
      <c r="G1027" s="1703"/>
      <c r="H1027" s="1703"/>
      <c r="I1027" s="1703"/>
      <c r="J1027" s="1703"/>
      <c r="K1027" s="1703"/>
      <c r="L1027" s="1703"/>
      <c r="M1027" s="1703"/>
      <c r="N1027" s="1703"/>
      <c r="O1027" s="1703"/>
      <c r="P1027" s="1703"/>
      <c r="Q1027" s="1703"/>
      <c r="R1027" s="1703"/>
      <c r="S1027" s="1703"/>
      <c r="T1027" s="1703"/>
      <c r="U1027" s="1703"/>
      <c r="V1027" s="1703"/>
      <c r="W1027" s="1703"/>
      <c r="X1027" s="1703"/>
      <c r="Y1027" s="1703"/>
      <c r="Z1027" s="1703"/>
      <c r="AA1027" s="1703"/>
      <c r="AB1027" s="1703"/>
      <c r="AC1027" s="1703"/>
      <c r="AD1027" s="1703"/>
      <c r="AE1027" s="1704"/>
      <c r="AF1027" s="1771">
        <v>4372860</v>
      </c>
      <c r="AG1027" s="1771"/>
      <c r="AH1027" s="1771"/>
      <c r="AI1027" s="1771"/>
      <c r="AJ1027" s="1784"/>
      <c r="AK1027" s="1785"/>
      <c r="AL1027" s="1785"/>
      <c r="AM1027" s="1785"/>
      <c r="AN1027" s="1785"/>
      <c r="AO1027" s="1785"/>
      <c r="AP1027" s="1785"/>
      <c r="AQ1027" s="1786"/>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743"/>
      <c r="E1028" s="1744"/>
      <c r="F1028" s="1744"/>
      <c r="G1028" s="1744"/>
      <c r="H1028" s="1744"/>
      <c r="I1028" s="1744"/>
      <c r="J1028" s="1744"/>
      <c r="K1028" s="1744"/>
      <c r="L1028" s="1744"/>
      <c r="M1028" s="1744"/>
      <c r="N1028" s="1744"/>
      <c r="O1028" s="1744"/>
      <c r="P1028" s="1744"/>
      <c r="Q1028" s="1744"/>
      <c r="R1028" s="1744"/>
      <c r="S1028" s="1744"/>
      <c r="T1028" s="1744"/>
      <c r="U1028" s="1744"/>
      <c r="V1028" s="1744"/>
      <c r="W1028" s="1744"/>
      <c r="X1028" s="1744"/>
      <c r="Y1028" s="1744"/>
      <c r="Z1028" s="1744"/>
      <c r="AA1028" s="1744"/>
      <c r="AB1028" s="1744"/>
      <c r="AC1028" s="1744"/>
      <c r="AD1028" s="1744"/>
      <c r="AE1028" s="1745"/>
      <c r="AF1028" s="1771"/>
      <c r="AG1028" s="1771"/>
      <c r="AH1028" s="1771"/>
      <c r="AI1028" s="1771"/>
      <c r="AJ1028" s="1787"/>
      <c r="AK1028" s="1788"/>
      <c r="AL1028" s="1788"/>
      <c r="AM1028" s="1788"/>
      <c r="AN1028" s="1788"/>
      <c r="AO1028" s="1788"/>
      <c r="AP1028" s="1788"/>
      <c r="AQ1028" s="1789"/>
      <c r="AR1028" s="68"/>
      <c r="AS1028" s="68"/>
      <c r="AT1028" s="68"/>
      <c r="AU1028" s="68"/>
      <c r="AV1028" s="68"/>
      <c r="AW1028" s="68"/>
      <c r="AX1028" s="68"/>
      <c r="AY1028" s="68"/>
    </row>
    <row r="1029" spans="1:57" ht="12.95" customHeight="1">
      <c r="A1029" s="14"/>
      <c r="B1029" s="79"/>
      <c r="C1029" s="80" t="s">
        <v>233</v>
      </c>
      <c r="D1029" s="1740" t="s">
        <v>1295</v>
      </c>
      <c r="E1029" s="1741"/>
      <c r="F1029" s="1741"/>
      <c r="G1029" s="1741"/>
      <c r="H1029" s="1741"/>
      <c r="I1029" s="1741"/>
      <c r="J1029" s="1741"/>
      <c r="K1029" s="1741"/>
      <c r="L1029" s="1741"/>
      <c r="M1029" s="1741"/>
      <c r="N1029" s="1741"/>
      <c r="O1029" s="1741"/>
      <c r="P1029" s="1741"/>
      <c r="Q1029" s="1741"/>
      <c r="R1029" s="1741"/>
      <c r="S1029" s="1741"/>
      <c r="T1029" s="1741"/>
      <c r="U1029" s="1741"/>
      <c r="V1029" s="1741"/>
      <c r="W1029" s="1741"/>
      <c r="X1029" s="1741"/>
      <c r="Y1029" s="1741"/>
      <c r="Z1029" s="1741"/>
      <c r="AA1029" s="1741"/>
      <c r="AB1029" s="1741"/>
      <c r="AC1029" s="1741"/>
      <c r="AD1029" s="1741"/>
      <c r="AE1029" s="1742"/>
      <c r="AF1029" s="79"/>
      <c r="AG1029" s="1748" t="s">
        <v>668</v>
      </c>
      <c r="AH1029" s="1749"/>
      <c r="AI1029" s="87"/>
      <c r="AJ1029" s="1781">
        <f>ROUND(IF(AG1029="yes",(AJ992*0.1),0),0)</f>
        <v>0</v>
      </c>
      <c r="AK1029" s="1782"/>
      <c r="AL1029" s="1782"/>
      <c r="AM1029" s="1782"/>
      <c r="AN1029" s="1782"/>
      <c r="AO1029" s="1782"/>
      <c r="AP1029" s="1782"/>
      <c r="AQ1029" s="1783"/>
      <c r="AR1029" s="68"/>
      <c r="AS1029" s="68"/>
      <c r="AT1029" s="68"/>
      <c r="AU1029" s="68"/>
      <c r="AV1029" s="68"/>
      <c r="AW1029" s="68"/>
      <c r="AX1029" s="68"/>
      <c r="AY1029" s="68"/>
    </row>
    <row r="1030" spans="1:57" ht="12.95" customHeight="1">
      <c r="A1030" s="14"/>
      <c r="B1030" s="73"/>
      <c r="C1030" s="74"/>
      <c r="D1030" s="1702" t="s">
        <v>1296</v>
      </c>
      <c r="E1030" s="1703"/>
      <c r="F1030" s="1703"/>
      <c r="G1030" s="1703"/>
      <c r="H1030" s="1703"/>
      <c r="I1030" s="1703"/>
      <c r="J1030" s="1703"/>
      <c r="K1030" s="1703"/>
      <c r="L1030" s="1703"/>
      <c r="M1030" s="1703"/>
      <c r="N1030" s="1703"/>
      <c r="O1030" s="1703"/>
      <c r="P1030" s="1703"/>
      <c r="Q1030" s="1703"/>
      <c r="R1030" s="1703"/>
      <c r="S1030" s="1703"/>
      <c r="T1030" s="1703"/>
      <c r="U1030" s="1703"/>
      <c r="V1030" s="1703"/>
      <c r="W1030" s="1703"/>
      <c r="X1030" s="1703"/>
      <c r="Y1030" s="1703"/>
      <c r="Z1030" s="1703"/>
      <c r="AA1030" s="1703"/>
      <c r="AB1030" s="1703"/>
      <c r="AC1030" s="1703"/>
      <c r="AD1030" s="1703"/>
      <c r="AE1030" s="1704"/>
      <c r="AF1030" s="73"/>
      <c r="AG1030" s="14"/>
      <c r="AH1030" s="14"/>
      <c r="AI1030" s="83"/>
      <c r="AJ1030" s="1784"/>
      <c r="AK1030" s="1785"/>
      <c r="AL1030" s="1785"/>
      <c r="AM1030" s="1785"/>
      <c r="AN1030" s="1785"/>
      <c r="AO1030" s="1785"/>
      <c r="AP1030" s="1785"/>
      <c r="AQ1030" s="1786"/>
      <c r="AR1030" s="68"/>
      <c r="AS1030" s="68"/>
      <c r="AT1030" s="68"/>
      <c r="AU1030" s="68"/>
      <c r="AV1030" s="68"/>
      <c r="AW1030" s="68"/>
      <c r="AX1030" s="68"/>
      <c r="AY1030" s="68"/>
    </row>
    <row r="1031" spans="1:57" ht="12.95" customHeight="1">
      <c r="A1031" s="14"/>
      <c r="B1031" s="77"/>
      <c r="C1031" s="74"/>
      <c r="D1031" s="1743"/>
      <c r="E1031" s="1744"/>
      <c r="F1031" s="1744"/>
      <c r="G1031" s="1744"/>
      <c r="H1031" s="1744"/>
      <c r="I1031" s="1744"/>
      <c r="J1031" s="1744"/>
      <c r="K1031" s="1744"/>
      <c r="L1031" s="1744"/>
      <c r="M1031" s="1744"/>
      <c r="N1031" s="1744"/>
      <c r="O1031" s="1744"/>
      <c r="P1031" s="1744"/>
      <c r="Q1031" s="1744"/>
      <c r="R1031" s="1744"/>
      <c r="S1031" s="1744"/>
      <c r="T1031" s="1744"/>
      <c r="U1031" s="1744"/>
      <c r="V1031" s="1744"/>
      <c r="W1031" s="1744"/>
      <c r="X1031" s="1744"/>
      <c r="Y1031" s="1744"/>
      <c r="Z1031" s="1744"/>
      <c r="AA1031" s="1744"/>
      <c r="AB1031" s="1744"/>
      <c r="AC1031" s="1744"/>
      <c r="AD1031" s="1744"/>
      <c r="AE1031" s="1745"/>
      <c r="AF1031" s="73"/>
      <c r="AG1031" s="14"/>
      <c r="AH1031" s="14"/>
      <c r="AI1031" s="83"/>
      <c r="AJ1031" s="1787"/>
      <c r="AK1031" s="1788"/>
      <c r="AL1031" s="1788"/>
      <c r="AM1031" s="1788"/>
      <c r="AN1031" s="1788"/>
      <c r="AO1031" s="1788"/>
      <c r="AP1031" s="1788"/>
      <c r="AQ1031" s="1789"/>
      <c r="AR1031" s="68"/>
      <c r="AS1031" s="68"/>
      <c r="AT1031" s="68"/>
      <c r="AU1031" s="68"/>
      <c r="AV1031" s="68"/>
      <c r="AW1031" s="68"/>
      <c r="AX1031" s="68"/>
      <c r="AY1031" s="68"/>
    </row>
    <row r="1032" spans="1:57" ht="12.95" customHeight="1">
      <c r="A1032" s="14"/>
      <c r="B1032" s="73"/>
      <c r="C1032" s="339" t="s">
        <v>686</v>
      </c>
      <c r="D1032" s="1762" t="s">
        <v>1686</v>
      </c>
      <c r="E1032" s="1763"/>
      <c r="F1032" s="1763"/>
      <c r="G1032" s="1763"/>
      <c r="H1032" s="1763"/>
      <c r="I1032" s="1763"/>
      <c r="J1032" s="1763"/>
      <c r="K1032" s="1763"/>
      <c r="L1032" s="1763"/>
      <c r="M1032" s="1763"/>
      <c r="N1032" s="1763"/>
      <c r="O1032" s="1763"/>
      <c r="P1032" s="1763"/>
      <c r="Q1032" s="1763"/>
      <c r="R1032" s="1763"/>
      <c r="S1032" s="1763"/>
      <c r="T1032" s="1763"/>
      <c r="U1032" s="1763"/>
      <c r="V1032" s="1763"/>
      <c r="W1032" s="1763"/>
      <c r="X1032" s="1763"/>
      <c r="Y1032" s="1763"/>
      <c r="Z1032" s="1763"/>
      <c r="AA1032" s="1763"/>
      <c r="AB1032" s="1763"/>
      <c r="AC1032" s="1763"/>
      <c r="AD1032" s="1763"/>
      <c r="AE1032" s="1764"/>
      <c r="AF1032" s="79"/>
      <c r="AG1032" s="1748" t="s">
        <v>668</v>
      </c>
      <c r="AH1032" s="1749"/>
      <c r="AI1032" s="87"/>
      <c r="AJ1032" s="1781">
        <f>ROUND(IF(AG1032="yes",(AJ992*0.15),0),0)</f>
        <v>0</v>
      </c>
      <c r="AK1032" s="1782"/>
      <c r="AL1032" s="1782"/>
      <c r="AM1032" s="1782"/>
      <c r="AN1032" s="1782"/>
      <c r="AO1032" s="1782"/>
      <c r="AP1032" s="1782"/>
      <c r="AQ1032" s="1783"/>
      <c r="AR1032" s="68"/>
      <c r="AS1032" s="68"/>
      <c r="AT1032" s="68"/>
      <c r="AU1032" s="68"/>
      <c r="AV1032" s="68"/>
      <c r="AW1032" s="68"/>
      <c r="AX1032" s="68"/>
      <c r="AY1032" s="68"/>
    </row>
    <row r="1033" spans="1:57" ht="12.95" customHeight="1">
      <c r="A1033" s="14"/>
      <c r="B1033" s="73"/>
      <c r="C1033" s="74"/>
      <c r="D1033" s="1800" t="s">
        <v>1687</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01"/>
      <c r="AF1033" s="915"/>
      <c r="AG1033" s="916"/>
      <c r="AH1033" s="916"/>
      <c r="AI1033" s="917"/>
      <c r="AJ1033" s="1784"/>
      <c r="AK1033" s="1785"/>
      <c r="AL1033" s="1785"/>
      <c r="AM1033" s="1785"/>
      <c r="AN1033" s="1785"/>
      <c r="AO1033" s="1785"/>
      <c r="AP1033" s="1785"/>
      <c r="AQ1033" s="1786"/>
      <c r="AR1033" s="68"/>
      <c r="AS1033" s="68"/>
      <c r="AT1033" s="68"/>
      <c r="AU1033" s="68"/>
      <c r="AV1033" s="68"/>
      <c r="AW1033" s="68"/>
      <c r="AX1033" s="68"/>
      <c r="AY1033" s="68"/>
    </row>
    <row r="1034" spans="1:57" ht="12.95" customHeight="1">
      <c r="A1034" s="14"/>
      <c r="B1034" s="73"/>
      <c r="C1034" s="74"/>
      <c r="D1034" s="1800"/>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01"/>
      <c r="AF1034" s="915"/>
      <c r="AG1034" s="916"/>
      <c r="AH1034" s="916"/>
      <c r="AI1034" s="917"/>
      <c r="AJ1034" s="1784"/>
      <c r="AK1034" s="1785"/>
      <c r="AL1034" s="1785"/>
      <c r="AM1034" s="1785"/>
      <c r="AN1034" s="1785"/>
      <c r="AO1034" s="1785"/>
      <c r="AP1034" s="1785"/>
      <c r="AQ1034" s="1786"/>
      <c r="AR1034" s="68"/>
      <c r="AS1034" s="68"/>
      <c r="AT1034" s="68"/>
      <c r="AU1034" s="68"/>
      <c r="AV1034" s="68"/>
      <c r="AW1034" s="68"/>
      <c r="AX1034" s="68"/>
      <c r="AY1034" s="68"/>
    </row>
    <row r="1035" spans="1:57" ht="12.95" customHeight="1">
      <c r="A1035" s="14"/>
      <c r="B1035" s="73"/>
      <c r="C1035" s="74"/>
      <c r="D1035" s="1802"/>
      <c r="E1035" s="1803"/>
      <c r="F1035" s="1803"/>
      <c r="G1035" s="1803"/>
      <c r="H1035" s="1803"/>
      <c r="I1035" s="1803"/>
      <c r="J1035" s="1803"/>
      <c r="K1035" s="1803"/>
      <c r="L1035" s="1803"/>
      <c r="M1035" s="1803"/>
      <c r="N1035" s="1803"/>
      <c r="O1035" s="1803"/>
      <c r="P1035" s="1803"/>
      <c r="Q1035" s="1803"/>
      <c r="R1035" s="1803"/>
      <c r="S1035" s="1803"/>
      <c r="T1035" s="1803"/>
      <c r="U1035" s="1803"/>
      <c r="V1035" s="1803"/>
      <c r="W1035" s="1803"/>
      <c r="X1035" s="1803"/>
      <c r="Y1035" s="1803"/>
      <c r="Z1035" s="1803"/>
      <c r="AA1035" s="1803"/>
      <c r="AB1035" s="1803"/>
      <c r="AC1035" s="1803"/>
      <c r="AD1035" s="1803"/>
      <c r="AE1035" s="1804"/>
      <c r="AF1035" s="918"/>
      <c r="AG1035" s="919"/>
      <c r="AH1035" s="919"/>
      <c r="AI1035" s="920"/>
      <c r="AJ1035" s="1787"/>
      <c r="AK1035" s="1788"/>
      <c r="AL1035" s="1788"/>
      <c r="AM1035" s="1788"/>
      <c r="AN1035" s="1788"/>
      <c r="AO1035" s="1788"/>
      <c r="AP1035" s="1788"/>
      <c r="AQ1035" s="1789"/>
      <c r="AR1035" s="68"/>
      <c r="AS1035" s="68"/>
      <c r="AT1035" s="68"/>
      <c r="AU1035" s="68"/>
      <c r="AV1035" s="68"/>
      <c r="AW1035" s="68"/>
      <c r="AX1035" s="68"/>
      <c r="AY1035" s="68"/>
    </row>
    <row r="1036" spans="1:57" ht="12.95" customHeight="1">
      <c r="A1036" s="14"/>
      <c r="B1036" s="73"/>
      <c r="C1036" s="339" t="s">
        <v>686</v>
      </c>
      <c r="D1036" s="1740" t="s">
        <v>1688</v>
      </c>
      <c r="E1036" s="1741"/>
      <c r="F1036" s="1741"/>
      <c r="G1036" s="1741"/>
      <c r="H1036" s="1741"/>
      <c r="I1036" s="1741"/>
      <c r="J1036" s="1741"/>
      <c r="K1036" s="1741"/>
      <c r="L1036" s="1741"/>
      <c r="M1036" s="1741"/>
      <c r="N1036" s="1741"/>
      <c r="O1036" s="1741"/>
      <c r="P1036" s="1741"/>
      <c r="Q1036" s="1741"/>
      <c r="R1036" s="1741"/>
      <c r="S1036" s="1741"/>
      <c r="T1036" s="1741"/>
      <c r="U1036" s="1741"/>
      <c r="V1036" s="1741"/>
      <c r="W1036" s="1741"/>
      <c r="X1036" s="1741"/>
      <c r="Y1036" s="1741"/>
      <c r="Z1036" s="1741"/>
      <c r="AA1036" s="1741"/>
      <c r="AB1036" s="1741"/>
      <c r="AC1036" s="1741"/>
      <c r="AD1036" s="1741"/>
      <c r="AE1036" s="1742"/>
      <c r="AF1036" s="73"/>
      <c r="AG1036" s="1750" t="s">
        <v>668</v>
      </c>
      <c r="AH1036" s="1751"/>
      <c r="AI1036" s="83"/>
      <c r="AJ1036" s="1781">
        <f>ROUND(IF(AND(AG1036="yes",AJ1032=0),(AJ992*0.1),0),0)</f>
        <v>0</v>
      </c>
      <c r="AK1036" s="1782"/>
      <c r="AL1036" s="1782"/>
      <c r="AM1036" s="1782"/>
      <c r="AN1036" s="1782"/>
      <c r="AO1036" s="1782"/>
      <c r="AP1036" s="1782"/>
      <c r="AQ1036" s="1783"/>
      <c r="AR1036" s="68"/>
      <c r="AS1036" s="68"/>
      <c r="AT1036" s="68"/>
      <c r="AU1036" s="68"/>
      <c r="AV1036" s="68"/>
      <c r="AW1036" s="68"/>
      <c r="AX1036" s="68"/>
      <c r="AY1036" s="68"/>
    </row>
    <row r="1037" spans="1:57" ht="12.95" customHeight="1">
      <c r="A1037" s="14"/>
      <c r="B1037" s="73"/>
      <c r="C1037" s="74"/>
      <c r="D1037" s="1800" t="s">
        <v>1689</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01"/>
      <c r="AF1037" s="73"/>
      <c r="AG1037" s="14"/>
      <c r="AH1037" s="14"/>
      <c r="AI1037" s="83"/>
      <c r="AJ1037" s="1784"/>
      <c r="AK1037" s="1785"/>
      <c r="AL1037" s="1785"/>
      <c r="AM1037" s="1785"/>
      <c r="AN1037" s="1785"/>
      <c r="AO1037" s="1785"/>
      <c r="AP1037" s="1785"/>
      <c r="AQ1037" s="1786"/>
      <c r="AR1037" s="68"/>
      <c r="AS1037" s="68"/>
      <c r="AT1037" s="68"/>
      <c r="AU1037" s="68"/>
      <c r="AV1037" s="68"/>
      <c r="AW1037" s="68"/>
      <c r="AX1037" s="68"/>
      <c r="AY1037" s="68"/>
    </row>
    <row r="1038" spans="1:57" ht="12.95" customHeight="1">
      <c r="A1038" s="14"/>
      <c r="B1038" s="73"/>
      <c r="C1038" s="74"/>
      <c r="D1038" s="1800"/>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01"/>
      <c r="AF1038" s="73"/>
      <c r="AG1038" s="14"/>
      <c r="AH1038" s="14"/>
      <c r="AI1038" s="83"/>
      <c r="AJ1038" s="1784"/>
      <c r="AK1038" s="1785"/>
      <c r="AL1038" s="1785"/>
      <c r="AM1038" s="1785"/>
      <c r="AN1038" s="1785"/>
      <c r="AO1038" s="1785"/>
      <c r="AP1038" s="1785"/>
      <c r="AQ1038" s="1786"/>
      <c r="AR1038" s="68"/>
      <c r="AS1038" s="68"/>
      <c r="AT1038" s="68"/>
      <c r="AU1038" s="68"/>
      <c r="AV1038" s="68"/>
      <c r="AW1038" s="68"/>
      <c r="AX1038" s="68"/>
      <c r="AY1038" s="68"/>
      <c r="BA1038" s="1183">
        <f>IFERROR(('Sources and Uses Budget'!$C$17+'Sources and Uses Budget'!$C$18+'Sources and Uses Budget'!$C$22)/$AG$437,0)</f>
        <v>0</v>
      </c>
      <c r="BB1038" s="1183" t="s">
        <v>2488</v>
      </c>
      <c r="BC1038" s="1183"/>
      <c r="BD1038" s="1183"/>
      <c r="BE1038" s="1183"/>
    </row>
    <row r="1039" spans="1:57" ht="12.95" customHeight="1">
      <c r="A1039" s="14"/>
      <c r="B1039" s="73"/>
      <c r="C1039" s="74"/>
      <c r="D1039" s="1800"/>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01"/>
      <c r="AF1039" s="73"/>
      <c r="AG1039" s="14"/>
      <c r="AH1039" s="14"/>
      <c r="AI1039" s="83"/>
      <c r="AJ1039" s="1784"/>
      <c r="AK1039" s="1785"/>
      <c r="AL1039" s="1785"/>
      <c r="AM1039" s="1785"/>
      <c r="AN1039" s="1785"/>
      <c r="AO1039" s="1785"/>
      <c r="AP1039" s="1785"/>
      <c r="AQ1039" s="1786"/>
      <c r="AR1039" s="68"/>
      <c r="AS1039" s="68"/>
      <c r="AT1039" s="68"/>
      <c r="AU1039" s="68"/>
      <c r="AV1039" s="68"/>
      <c r="AW1039" s="68"/>
      <c r="AX1039" s="68"/>
      <c r="AY1039" s="68"/>
      <c r="BA1039">
        <f>IFERROR((($CI$753+$CM$753)/$AG$440),0)</f>
        <v>0.38461538461538464</v>
      </c>
      <c r="BB1039" s="3" t="s">
        <v>2492</v>
      </c>
    </row>
    <row r="1040" spans="1:57" ht="12.95" customHeight="1">
      <c r="A1040" s="14"/>
      <c r="B1040" s="73"/>
      <c r="C1040" s="74"/>
      <c r="D1040" s="1802"/>
      <c r="E1040" s="1803"/>
      <c r="F1040" s="1803"/>
      <c r="G1040" s="1803"/>
      <c r="H1040" s="1803"/>
      <c r="I1040" s="1803"/>
      <c r="J1040" s="1803"/>
      <c r="K1040" s="1803"/>
      <c r="L1040" s="1803"/>
      <c r="M1040" s="1803"/>
      <c r="N1040" s="1803"/>
      <c r="O1040" s="1803"/>
      <c r="P1040" s="1803"/>
      <c r="Q1040" s="1803"/>
      <c r="R1040" s="1803"/>
      <c r="S1040" s="1803"/>
      <c r="T1040" s="1803"/>
      <c r="U1040" s="1803"/>
      <c r="V1040" s="1803"/>
      <c r="W1040" s="1803"/>
      <c r="X1040" s="1803"/>
      <c r="Y1040" s="1803"/>
      <c r="Z1040" s="1803"/>
      <c r="AA1040" s="1803"/>
      <c r="AB1040" s="1803"/>
      <c r="AC1040" s="1803"/>
      <c r="AD1040" s="1803"/>
      <c r="AE1040" s="1804"/>
      <c r="AF1040" s="73"/>
      <c r="AG1040" s="14"/>
      <c r="AH1040" s="14"/>
      <c r="AI1040" s="83"/>
      <c r="AJ1040" s="1784"/>
      <c r="AK1040" s="1785"/>
      <c r="AL1040" s="1785"/>
      <c r="AM1040" s="1785"/>
      <c r="AN1040" s="1785"/>
      <c r="AO1040" s="1785"/>
      <c r="AP1040" s="1785"/>
      <c r="AQ1040" s="1786"/>
      <c r="AR1040" s="68"/>
      <c r="AS1040" s="68"/>
      <c r="AT1040" s="68"/>
      <c r="AU1040" s="68"/>
      <c r="AV1040" s="68"/>
      <c r="AW1040" s="68"/>
      <c r="AX1040" s="68"/>
      <c r="AY1040" s="68"/>
      <c r="BA1040" t="b">
        <f>'Points System'!AJ164="Yes"</f>
        <v>1</v>
      </c>
      <c r="BB1040" s="3" t="s">
        <v>2489</v>
      </c>
    </row>
    <row r="1041" spans="1:56" ht="12.95" customHeight="1">
      <c r="A1041" s="14"/>
      <c r="B1041" s="79"/>
      <c r="C1041" s="131" t="s">
        <v>1009</v>
      </c>
      <c r="D1041" s="1762" t="s">
        <v>1297</v>
      </c>
      <c r="E1041" s="1763"/>
      <c r="F1041" s="1763"/>
      <c r="G1041" s="1763"/>
      <c r="H1041" s="1763"/>
      <c r="I1041" s="1763"/>
      <c r="J1041" s="1763"/>
      <c r="K1041" s="1763"/>
      <c r="L1041" s="1763"/>
      <c r="M1041" s="1763"/>
      <c r="N1041" s="1763"/>
      <c r="O1041" s="1763"/>
      <c r="P1041" s="1763"/>
      <c r="Q1041" s="1763"/>
      <c r="R1041" s="1763"/>
      <c r="S1041" s="1763"/>
      <c r="T1041" s="1763"/>
      <c r="U1041" s="1763"/>
      <c r="V1041" s="1763"/>
      <c r="W1041" s="1763"/>
      <c r="X1041" s="1763"/>
      <c r="Y1041" s="1763"/>
      <c r="Z1041" s="1763"/>
      <c r="AA1041" s="1763"/>
      <c r="AB1041" s="1763"/>
      <c r="AC1041" s="1763"/>
      <c r="AD1041" s="1763"/>
      <c r="AE1041" s="1764"/>
      <c r="AF1041" s="79"/>
      <c r="AG1041" s="1748" t="s">
        <v>544</v>
      </c>
      <c r="AH1041" s="1749"/>
      <c r="AI1041" s="87"/>
      <c r="AJ1041" s="1781">
        <f>ROUND(IF(AG1041="yes",(AJ992*0.1),0),0)</f>
        <v>8899858</v>
      </c>
      <c r="AK1041" s="1782"/>
      <c r="AL1041" s="1782"/>
      <c r="AM1041" s="1782"/>
      <c r="AN1041" s="1782"/>
      <c r="AO1041" s="1782"/>
      <c r="AP1041" s="1782"/>
      <c r="AQ1041" s="1783"/>
      <c r="AR1041" s="68"/>
      <c r="AS1041" s="68"/>
      <c r="AT1041" s="68"/>
      <c r="AU1041" s="68"/>
      <c r="AV1041" s="68"/>
      <c r="AW1041" s="68"/>
      <c r="AX1041" s="68"/>
      <c r="AY1041" s="68"/>
      <c r="BA1041">
        <f>Q212</f>
        <v>0</v>
      </c>
      <c r="BB1041" s="3" t="s">
        <v>2490</v>
      </c>
    </row>
    <row r="1042" spans="1:56" ht="12.95" customHeight="1">
      <c r="A1042" s="14"/>
      <c r="B1042" s="73"/>
      <c r="C1042" s="74"/>
      <c r="D1042" s="1702" t="s">
        <v>2144</v>
      </c>
      <c r="E1042" s="1703"/>
      <c r="F1042" s="1703"/>
      <c r="G1042" s="1703"/>
      <c r="H1042" s="1703"/>
      <c r="I1042" s="1703"/>
      <c r="J1042" s="1703"/>
      <c r="K1042" s="1703"/>
      <c r="L1042" s="1703"/>
      <c r="M1042" s="1703"/>
      <c r="N1042" s="1703"/>
      <c r="O1042" s="1703"/>
      <c r="P1042" s="1703"/>
      <c r="Q1042" s="1703"/>
      <c r="R1042" s="1703"/>
      <c r="S1042" s="1703"/>
      <c r="T1042" s="1703"/>
      <c r="U1042" s="1703"/>
      <c r="V1042" s="1703"/>
      <c r="W1042" s="1703"/>
      <c r="X1042" s="1703"/>
      <c r="Y1042" s="1703"/>
      <c r="Z1042" s="1703"/>
      <c r="AA1042" s="1703"/>
      <c r="AB1042" s="1703"/>
      <c r="AC1042" s="1703"/>
      <c r="AD1042" s="1703"/>
      <c r="AE1042" s="1704"/>
      <c r="AF1042" s="73"/>
      <c r="AG1042" s="14"/>
      <c r="AH1042" s="14"/>
      <c r="AI1042" s="83"/>
      <c r="AJ1042" s="1784"/>
      <c r="AK1042" s="1785"/>
      <c r="AL1042" s="1785"/>
      <c r="AM1042" s="1785"/>
      <c r="AN1042" s="1785"/>
      <c r="AO1042" s="1785"/>
      <c r="AP1042" s="1785"/>
      <c r="AQ1042" s="1786"/>
      <c r="AR1042" s="68"/>
      <c r="AS1042" s="68"/>
      <c r="AT1042" s="68"/>
      <c r="AU1042" s="68"/>
      <c r="AV1042" s="68"/>
      <c r="AW1042" s="68"/>
      <c r="AX1042" s="68"/>
      <c r="AY1042" s="68"/>
      <c r="BA1042" s="1184">
        <f>T212</f>
        <v>0</v>
      </c>
      <c r="BB1042" s="3" t="s">
        <v>2491</v>
      </c>
    </row>
    <row r="1043" spans="1:56" ht="12.95" customHeight="1">
      <c r="A1043" s="14"/>
      <c r="B1043" s="73"/>
      <c r="C1043" s="74"/>
      <c r="D1043" s="1702"/>
      <c r="E1043" s="1703"/>
      <c r="F1043" s="1703"/>
      <c r="G1043" s="1703"/>
      <c r="H1043" s="1703"/>
      <c r="I1043" s="1703"/>
      <c r="J1043" s="1703"/>
      <c r="K1043" s="1703"/>
      <c r="L1043" s="1703"/>
      <c r="M1043" s="1703"/>
      <c r="N1043" s="1703"/>
      <c r="O1043" s="1703"/>
      <c r="P1043" s="1703"/>
      <c r="Q1043" s="1703"/>
      <c r="R1043" s="1703"/>
      <c r="S1043" s="1703"/>
      <c r="T1043" s="1703"/>
      <c r="U1043" s="1703"/>
      <c r="V1043" s="1703"/>
      <c r="W1043" s="1703"/>
      <c r="X1043" s="1703"/>
      <c r="Y1043" s="1703"/>
      <c r="Z1043" s="1703"/>
      <c r="AA1043" s="1703"/>
      <c r="AB1043" s="1703"/>
      <c r="AC1043" s="1703"/>
      <c r="AD1043" s="1703"/>
      <c r="AE1043" s="1704"/>
      <c r="AF1043" s="73"/>
      <c r="AG1043" s="14"/>
      <c r="AH1043" s="14"/>
      <c r="AI1043" s="83"/>
      <c r="AJ1043" s="1784"/>
      <c r="AK1043" s="1785"/>
      <c r="AL1043" s="1785"/>
      <c r="AM1043" s="1785"/>
      <c r="AN1043" s="1785"/>
      <c r="AO1043" s="1785"/>
      <c r="AP1043" s="1785"/>
      <c r="AQ1043" s="1786"/>
      <c r="AR1043" s="68"/>
      <c r="AS1043" s="68"/>
      <c r="AT1043" s="68"/>
      <c r="AU1043" s="68"/>
      <c r="AV1043" s="68"/>
      <c r="AW1043" s="68"/>
      <c r="AX1043" s="68"/>
      <c r="AY1043" s="68"/>
    </row>
    <row r="1044" spans="1:56" ht="12.95" customHeight="1">
      <c r="A1044" s="14"/>
      <c r="B1044" s="73"/>
      <c r="C1044" s="74"/>
      <c r="D1044" s="1743"/>
      <c r="E1044" s="1744"/>
      <c r="F1044" s="1744"/>
      <c r="G1044" s="1744"/>
      <c r="H1044" s="1744"/>
      <c r="I1044" s="1744"/>
      <c r="J1044" s="1744"/>
      <c r="K1044" s="1744"/>
      <c r="L1044" s="1744"/>
      <c r="M1044" s="1744"/>
      <c r="N1044" s="1744"/>
      <c r="O1044" s="1744"/>
      <c r="P1044" s="1744"/>
      <c r="Q1044" s="1744"/>
      <c r="R1044" s="1744"/>
      <c r="S1044" s="1744"/>
      <c r="T1044" s="1744"/>
      <c r="U1044" s="1744"/>
      <c r="V1044" s="1744"/>
      <c r="W1044" s="1744"/>
      <c r="X1044" s="1744"/>
      <c r="Y1044" s="1744"/>
      <c r="Z1044" s="1744"/>
      <c r="AA1044" s="1744"/>
      <c r="AB1044" s="1744"/>
      <c r="AC1044" s="1744"/>
      <c r="AD1044" s="1744"/>
      <c r="AE1044" s="1745"/>
      <c r="AF1044" s="73"/>
      <c r="AG1044" s="14"/>
      <c r="AH1044" s="14"/>
      <c r="AI1044" s="83"/>
      <c r="AJ1044" s="1787"/>
      <c r="AK1044" s="1788"/>
      <c r="AL1044" s="1788"/>
      <c r="AM1044" s="1788"/>
      <c r="AN1044" s="1788"/>
      <c r="AO1044" s="1788"/>
      <c r="AP1044" s="1788"/>
      <c r="AQ1044" s="1789"/>
      <c r="AR1044" s="68"/>
      <c r="AS1044" s="68"/>
      <c r="AT1044" s="68"/>
      <c r="AU1044" s="68"/>
      <c r="AV1044" s="68"/>
      <c r="AW1044" s="68"/>
      <c r="AX1044" s="68"/>
      <c r="AY1044" s="68"/>
    </row>
    <row r="1045" spans="1:56" ht="12.95" customHeight="1">
      <c r="A1045" s="14"/>
      <c r="B1045" s="79"/>
      <c r="C1045" s="131" t="s">
        <v>1684</v>
      </c>
      <c r="D1045" s="1740" t="s">
        <v>1864</v>
      </c>
      <c r="E1045" s="1741"/>
      <c r="F1045" s="1741"/>
      <c r="G1045" s="1741"/>
      <c r="H1045" s="1741"/>
      <c r="I1045" s="1741"/>
      <c r="J1045" s="1741"/>
      <c r="K1045" s="1741"/>
      <c r="L1045" s="1741"/>
      <c r="M1045" s="1741"/>
      <c r="N1045" s="1741"/>
      <c r="O1045" s="1741"/>
      <c r="P1045" s="1741"/>
      <c r="Q1045" s="1741"/>
      <c r="R1045" s="1741"/>
      <c r="S1045" s="1741"/>
      <c r="T1045" s="1741"/>
      <c r="U1045" s="1741"/>
      <c r="V1045" s="1741"/>
      <c r="W1045" s="1741"/>
      <c r="X1045" s="1741"/>
      <c r="Y1045" s="1741"/>
      <c r="Z1045" s="1741"/>
      <c r="AA1045" s="1741"/>
      <c r="AB1045" s="1741"/>
      <c r="AC1045" s="1741"/>
      <c r="AD1045" s="1741"/>
      <c r="AE1045" s="1742"/>
      <c r="AF1045" s="79"/>
      <c r="AG1045" s="1746" t="str">
        <f>IF(X1048&gt;0,"Yes","No")</f>
        <v>Yes</v>
      </c>
      <c r="AH1045" s="1747"/>
      <c r="AI1045" s="87"/>
      <c r="AJ1045" s="1781">
        <f>IF((X1048=0),0,AY1005*AJ992)</f>
        <v>17799716</v>
      </c>
      <c r="AK1045" s="1782"/>
      <c r="AL1045" s="1782"/>
      <c r="AM1045" s="1782"/>
      <c r="AN1045" s="1782"/>
      <c r="AO1045" s="1782"/>
      <c r="AP1045" s="1782"/>
      <c r="AQ1045" s="1783"/>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2477</v>
      </c>
      <c r="BB1045" s="3"/>
      <c r="BC1045" s="3"/>
      <c r="BD1045" s="3"/>
    </row>
    <row r="1046" spans="1:56" ht="12.95" customHeight="1">
      <c r="A1046" s="14"/>
      <c r="B1046" s="73"/>
      <c r="C1046" s="442"/>
      <c r="D1046" s="1702" t="s">
        <v>1299</v>
      </c>
      <c r="E1046" s="1703"/>
      <c r="F1046" s="1703"/>
      <c r="G1046" s="1703"/>
      <c r="H1046" s="1703"/>
      <c r="I1046" s="1703"/>
      <c r="J1046" s="1703"/>
      <c r="K1046" s="1703"/>
      <c r="L1046" s="1703"/>
      <c r="M1046" s="1703"/>
      <c r="N1046" s="1703"/>
      <c r="O1046" s="1703"/>
      <c r="P1046" s="1703"/>
      <c r="Q1046" s="1703"/>
      <c r="R1046" s="1703"/>
      <c r="S1046" s="1703"/>
      <c r="T1046" s="1703"/>
      <c r="U1046" s="1703"/>
      <c r="V1046" s="1703"/>
      <c r="W1046" s="1703"/>
      <c r="X1046" s="1703"/>
      <c r="Y1046" s="1703"/>
      <c r="Z1046" s="1703"/>
      <c r="AA1046" s="1703"/>
      <c r="AB1046" s="1703"/>
      <c r="AC1046" s="1703"/>
      <c r="AD1046" s="1703"/>
      <c r="AE1046" s="1704"/>
      <c r="AF1046" s="73"/>
      <c r="AG1046" s="443"/>
      <c r="AH1046" s="443"/>
      <c r="AI1046" s="83"/>
      <c r="AJ1046" s="1784"/>
      <c r="AK1046" s="1785"/>
      <c r="AL1046" s="1785"/>
      <c r="AM1046" s="1785"/>
      <c r="AN1046" s="1785"/>
      <c r="AO1046" s="1785"/>
      <c r="AP1046" s="1785"/>
      <c r="AQ1046" s="1786"/>
      <c r="AR1046" s="68"/>
      <c r="AS1046" s="68"/>
      <c r="AT1046" s="68"/>
      <c r="AU1046" s="13"/>
      <c r="AV1046" s="68"/>
      <c r="AW1046" s="68"/>
      <c r="AX1046" s="68"/>
      <c r="AY1046" s="68"/>
      <c r="AZ1046" s="962">
        <f>'Sources and Uses Budget'!S97*BA1046</f>
        <v>9840532.4000000004</v>
      </c>
      <c r="BA1046" s="1182">
        <f>IF(BA1040,20%,15%)</f>
        <v>0.2</v>
      </c>
      <c r="BB1046" s="3" t="s">
        <v>2478</v>
      </c>
      <c r="BC1046" s="3" t="s">
        <v>2479</v>
      </c>
      <c r="BD1046" s="3"/>
    </row>
    <row r="1047" spans="1:56" ht="12.95" customHeight="1">
      <c r="A1047" s="14"/>
      <c r="B1047" s="73"/>
      <c r="C1047" s="442"/>
      <c r="D1047" s="1702"/>
      <c r="E1047" s="1703"/>
      <c r="F1047" s="1703"/>
      <c r="G1047" s="1703"/>
      <c r="H1047" s="1703"/>
      <c r="I1047" s="1703"/>
      <c r="J1047" s="1703"/>
      <c r="K1047" s="1703"/>
      <c r="L1047" s="1703"/>
      <c r="M1047" s="1703"/>
      <c r="N1047" s="1703"/>
      <c r="O1047" s="1703"/>
      <c r="P1047" s="1703"/>
      <c r="Q1047" s="1703"/>
      <c r="R1047" s="1703"/>
      <c r="S1047" s="1703"/>
      <c r="T1047" s="1703"/>
      <c r="U1047" s="1703"/>
      <c r="V1047" s="1703"/>
      <c r="W1047" s="1703"/>
      <c r="X1047" s="1703"/>
      <c r="Y1047" s="1703"/>
      <c r="Z1047" s="1703"/>
      <c r="AA1047" s="1703"/>
      <c r="AB1047" s="1703"/>
      <c r="AC1047" s="1703"/>
      <c r="AD1047" s="1703"/>
      <c r="AE1047" s="1704"/>
      <c r="AF1047" s="73"/>
      <c r="AG1047" s="443"/>
      <c r="AH1047" s="443"/>
      <c r="AI1047" s="83"/>
      <c r="AJ1047" s="1784"/>
      <c r="AK1047" s="1785"/>
      <c r="AL1047" s="1785"/>
      <c r="AM1047" s="1785"/>
      <c r="AN1047" s="1785"/>
      <c r="AO1047" s="1785"/>
      <c r="AP1047" s="1785"/>
      <c r="AQ1047" s="1786"/>
      <c r="AR1047" s="68"/>
      <c r="AS1047" s="68"/>
      <c r="AT1047" s="68"/>
      <c r="AU1047" s="13"/>
      <c r="AV1047" s="68"/>
      <c r="AW1047" s="68"/>
      <c r="AX1047" s="68"/>
      <c r="AY1047" s="68"/>
      <c r="AZ1047" s="962">
        <f>IF(M356="N/A",0,'Sources and Uses Budget'!T97*BA1047)</f>
        <v>0</v>
      </c>
      <c r="BA1047" s="1182">
        <v>0.15</v>
      </c>
      <c r="BB1047" s="3" t="s">
        <v>2478</v>
      </c>
      <c r="BC1047" s="3" t="s">
        <v>2480</v>
      </c>
      <c r="BD1047" s="3"/>
    </row>
    <row r="1048" spans="1:56" ht="12.95" customHeight="1">
      <c r="A1048" s="14"/>
      <c r="B1048" s="77"/>
      <c r="C1048" s="78"/>
      <c r="D1048" s="132" t="s">
        <v>971</v>
      </c>
      <c r="E1048" s="133"/>
      <c r="F1048" s="133"/>
      <c r="G1048" s="133"/>
      <c r="H1048" s="133"/>
      <c r="I1048" s="1776">
        <f>AY1003</f>
        <v>130</v>
      </c>
      <c r="J1048" s="1777"/>
      <c r="K1048" s="7"/>
      <c r="L1048" s="133"/>
      <c r="M1048" s="133"/>
      <c r="N1048" s="133"/>
      <c r="O1048" s="133"/>
      <c r="P1048" s="133"/>
      <c r="Q1048" s="133"/>
      <c r="R1048" s="133"/>
      <c r="S1048" s="133"/>
      <c r="T1048" s="133"/>
      <c r="U1048" s="133"/>
      <c r="V1048" s="134" t="s">
        <v>972</v>
      </c>
      <c r="W1048" s="48"/>
      <c r="X1048" s="1774">
        <f>CI753</f>
        <v>27</v>
      </c>
      <c r="Y1048" s="1775"/>
      <c r="Z1048" s="48"/>
      <c r="AA1048" s="48"/>
      <c r="AB1048" s="48"/>
      <c r="AC1048" s="48"/>
      <c r="AD1048" s="48"/>
      <c r="AE1048" s="49"/>
      <c r="AF1048" s="924"/>
      <c r="AG1048" s="925"/>
      <c r="AH1048" s="925"/>
      <c r="AI1048" s="926"/>
      <c r="AJ1048" s="1787"/>
      <c r="AK1048" s="1788"/>
      <c r="AL1048" s="1788"/>
      <c r="AM1048" s="1788"/>
      <c r="AN1048" s="1788"/>
      <c r="AO1048" s="1788"/>
      <c r="AP1048" s="1788"/>
      <c r="AQ1048" s="1789"/>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2478</v>
      </c>
      <c r="BC1048" s="3" t="s">
        <v>2481</v>
      </c>
      <c r="BD1048" s="3"/>
    </row>
    <row r="1049" spans="1:56" ht="12.95" customHeight="1">
      <c r="A1049" s="14"/>
      <c r="B1049" s="79"/>
      <c r="C1049" s="131" t="s">
        <v>1685</v>
      </c>
      <c r="D1049" s="1762" t="s">
        <v>2170</v>
      </c>
      <c r="E1049" s="1763"/>
      <c r="F1049" s="1763"/>
      <c r="G1049" s="1763"/>
      <c r="H1049" s="1763"/>
      <c r="I1049" s="1763"/>
      <c r="J1049" s="1763"/>
      <c r="K1049" s="1763"/>
      <c r="L1049" s="1763"/>
      <c r="M1049" s="1763"/>
      <c r="N1049" s="1763"/>
      <c r="O1049" s="1763"/>
      <c r="P1049" s="1763"/>
      <c r="Q1049" s="1763"/>
      <c r="R1049" s="1763"/>
      <c r="S1049" s="1763"/>
      <c r="T1049" s="1763"/>
      <c r="U1049" s="1763"/>
      <c r="V1049" s="1763"/>
      <c r="W1049" s="1763"/>
      <c r="X1049" s="1763"/>
      <c r="Y1049" s="1763"/>
      <c r="Z1049" s="1763"/>
      <c r="AA1049" s="1763"/>
      <c r="AB1049" s="1763"/>
      <c r="AC1049" s="1763"/>
      <c r="AD1049" s="1763"/>
      <c r="AE1049" s="1764"/>
      <c r="AF1049" s="73"/>
      <c r="AG1049" s="1746" t="str">
        <f>IF(X1052&gt;0,"Yes","No")</f>
        <v>Yes</v>
      </c>
      <c r="AH1049" s="1747"/>
      <c r="AI1049" s="83"/>
      <c r="AJ1049" s="1781">
        <f>IF((X1052=0),0,(2*AY1006)*AJ992)</f>
        <v>30259517.200000003</v>
      </c>
      <c r="AK1049" s="1782"/>
      <c r="AL1049" s="1782"/>
      <c r="AM1049" s="1782"/>
      <c r="AN1049" s="1782"/>
      <c r="AO1049" s="1782"/>
      <c r="AP1049" s="1782"/>
      <c r="AQ1049" s="1783"/>
      <c r="AR1049" s="68"/>
      <c r="AS1049" s="68"/>
      <c r="AT1049" s="68"/>
      <c r="AU1049" s="14"/>
      <c r="AV1049" s="68"/>
      <c r="AW1049" s="68"/>
      <c r="AX1049" s="68"/>
      <c r="AY1049" s="68"/>
      <c r="AZ1049" s="962">
        <f>AZ1045*BA1049</f>
        <v>0</v>
      </c>
      <c r="BA1049" s="1182">
        <v>0.15</v>
      </c>
      <c r="BB1049" s="3" t="s">
        <v>2478</v>
      </c>
      <c r="BC1049" s="3" t="s">
        <v>2482</v>
      </c>
      <c r="BD1049" s="3"/>
    </row>
    <row r="1050" spans="1:56" ht="12.95" customHeight="1">
      <c r="A1050" s="14"/>
      <c r="B1050" s="73"/>
      <c r="C1050" s="442"/>
      <c r="D1050" s="1702" t="s">
        <v>1298</v>
      </c>
      <c r="E1050" s="1703"/>
      <c r="F1050" s="1703"/>
      <c r="G1050" s="1703"/>
      <c r="H1050" s="1703"/>
      <c r="I1050" s="1703"/>
      <c r="J1050" s="1703"/>
      <c r="K1050" s="1703"/>
      <c r="L1050" s="1703"/>
      <c r="M1050" s="1703"/>
      <c r="N1050" s="1703"/>
      <c r="O1050" s="1703"/>
      <c r="P1050" s="1703"/>
      <c r="Q1050" s="1703"/>
      <c r="R1050" s="1703"/>
      <c r="S1050" s="1703"/>
      <c r="T1050" s="1703"/>
      <c r="U1050" s="1703"/>
      <c r="V1050" s="1703"/>
      <c r="W1050" s="1703"/>
      <c r="X1050" s="1703"/>
      <c r="Y1050" s="1703"/>
      <c r="Z1050" s="1703"/>
      <c r="AA1050" s="1703"/>
      <c r="AB1050" s="1703"/>
      <c r="AC1050" s="1703"/>
      <c r="AD1050" s="1703"/>
      <c r="AE1050" s="1704"/>
      <c r="AF1050" s="73"/>
      <c r="AG1050" s="443"/>
      <c r="AH1050" s="443"/>
      <c r="AI1050" s="83"/>
      <c r="AJ1050" s="1784"/>
      <c r="AK1050" s="1785"/>
      <c r="AL1050" s="1785"/>
      <c r="AM1050" s="1785"/>
      <c r="AN1050" s="1785"/>
      <c r="AO1050" s="1785"/>
      <c r="AP1050" s="1785"/>
      <c r="AQ1050" s="1786"/>
      <c r="AR1050" s="68"/>
      <c r="AS1050" s="68"/>
      <c r="AT1050" s="68"/>
      <c r="AU1050" s="68"/>
      <c r="AV1050" s="68"/>
      <c r="AW1050" s="68"/>
      <c r="AX1050" s="68"/>
      <c r="AY1050" s="68"/>
      <c r="AZ1050" s="962"/>
      <c r="BA1050" s="3"/>
      <c r="BB1050" s="3"/>
      <c r="BC1050" s="3"/>
      <c r="BD1050" s="3"/>
    </row>
    <row r="1051" spans="1:56" ht="12.95" customHeight="1">
      <c r="A1051" s="14"/>
      <c r="B1051" s="73"/>
      <c r="C1051" s="83"/>
      <c r="D1051" s="1702"/>
      <c r="E1051" s="1703"/>
      <c r="F1051" s="1703"/>
      <c r="G1051" s="1703"/>
      <c r="H1051" s="1703"/>
      <c r="I1051" s="1703"/>
      <c r="J1051" s="1703"/>
      <c r="K1051" s="1703"/>
      <c r="L1051" s="1703"/>
      <c r="M1051" s="1703"/>
      <c r="N1051" s="1703"/>
      <c r="O1051" s="1703"/>
      <c r="P1051" s="1703"/>
      <c r="Q1051" s="1703"/>
      <c r="R1051" s="1703"/>
      <c r="S1051" s="1703"/>
      <c r="T1051" s="1703"/>
      <c r="U1051" s="1703"/>
      <c r="V1051" s="1703"/>
      <c r="W1051" s="1703"/>
      <c r="X1051" s="1703"/>
      <c r="Y1051" s="1703"/>
      <c r="Z1051" s="1703"/>
      <c r="AA1051" s="1703"/>
      <c r="AB1051" s="1703"/>
      <c r="AC1051" s="1703"/>
      <c r="AD1051" s="1703"/>
      <c r="AE1051" s="1704"/>
      <c r="AF1051" s="921"/>
      <c r="AG1051" s="922"/>
      <c r="AH1051" s="922"/>
      <c r="AI1051" s="923"/>
      <c r="AJ1051" s="1784"/>
      <c r="AK1051" s="1785"/>
      <c r="AL1051" s="1785"/>
      <c r="AM1051" s="1785"/>
      <c r="AN1051" s="1785"/>
      <c r="AO1051" s="1785"/>
      <c r="AP1051" s="1785"/>
      <c r="AQ1051" s="1786"/>
      <c r="AR1051" s="68"/>
      <c r="AS1051" s="68"/>
      <c r="AT1051" s="68"/>
      <c r="AU1051" s="68"/>
      <c r="AV1051" s="68"/>
      <c r="AW1051" s="68"/>
      <c r="AX1051" s="68"/>
      <c r="AY1051" s="68"/>
      <c r="AZ1051" s="962">
        <f>ROUNDDOWN(MIN(SUM(AZ1046,AZ1047,AZ1048,AZ1049),BD1051),0)</f>
        <v>3000000</v>
      </c>
      <c r="BA1051" s="3" t="s">
        <v>2483</v>
      </c>
      <c r="BB1051" s="3"/>
      <c r="BC1051" s="3"/>
      <c r="BD1051" s="3" cm="1">
        <f t="array" ref="BD1051">_xlfn.IFS(BA1040,3000000,AND(BA1041&gt;=25%,BA1042&gt;=15),2800000,TRUE,2500000)</f>
        <v>3000000</v>
      </c>
    </row>
    <row r="1052" spans="1:56" ht="12.95" customHeight="1">
      <c r="A1052" s="14"/>
      <c r="B1052" s="77"/>
      <c r="C1052" s="78"/>
      <c r="D1052" s="132" t="s">
        <v>971</v>
      </c>
      <c r="E1052" s="133"/>
      <c r="F1052" s="133"/>
      <c r="G1052" s="133"/>
      <c r="H1052" s="133"/>
      <c r="I1052" s="1776">
        <f>AY1003</f>
        <v>130</v>
      </c>
      <c r="J1052" s="1777"/>
      <c r="K1052" s="14"/>
      <c r="L1052" s="133"/>
      <c r="M1052" s="133"/>
      <c r="N1052" s="133"/>
      <c r="O1052" s="133"/>
      <c r="P1052" s="133"/>
      <c r="Q1052" s="133"/>
      <c r="R1052" s="133"/>
      <c r="S1052" s="133"/>
      <c r="T1052" s="133"/>
      <c r="U1052" s="133"/>
      <c r="V1052" s="134" t="s">
        <v>973</v>
      </c>
      <c r="X1052" s="1774">
        <f>CM753</f>
        <v>23</v>
      </c>
      <c r="Y1052" s="1775"/>
      <c r="AF1052" s="924"/>
      <c r="AG1052" s="925"/>
      <c r="AH1052" s="925"/>
      <c r="AI1052" s="926"/>
      <c r="AJ1052" s="1787"/>
      <c r="AK1052" s="1788"/>
      <c r="AL1052" s="1788"/>
      <c r="AM1052" s="1788"/>
      <c r="AN1052" s="1788"/>
      <c r="AO1052" s="1788"/>
      <c r="AP1052" s="1788"/>
      <c r="AQ1052" s="1789"/>
      <c r="AR1052" s="68"/>
      <c r="AS1052" s="68"/>
      <c r="AT1052" s="68"/>
      <c r="AU1052" s="68"/>
      <c r="AV1052" s="68"/>
      <c r="AW1052" s="68"/>
      <c r="AX1052" s="68"/>
      <c r="AY1052" s="68"/>
      <c r="AZ1052" s="962">
        <f>ROUNDDOWN(MAX(0,BA1052*(SUM(AG1093,AL1093,AZ1045)-BD1052))+BF1052,0)</f>
        <v>0</v>
      </c>
      <c r="BA1052" s="1182">
        <f>IF(L1042,7%,5%)</f>
        <v>0.05</v>
      </c>
      <c r="BB1052" s="3" t="s">
        <v>2484</v>
      </c>
      <c r="BC1052" s="3"/>
      <c r="BD1052" s="3">
        <v>6666667</v>
      </c>
    </row>
    <row r="1053" spans="1:56" ht="12.95" customHeight="1">
      <c r="A1053" s="14"/>
      <c r="B1053" s="102"/>
      <c r="C1053" s="103"/>
      <c r="D1053" s="1772" t="s">
        <v>512</v>
      </c>
      <c r="E1053" s="1772"/>
      <c r="F1053" s="1772"/>
      <c r="G1053" s="1772"/>
      <c r="H1053" s="1772"/>
      <c r="I1053" s="1772"/>
      <c r="J1053" s="1772"/>
      <c r="K1053" s="1772"/>
      <c r="L1053" s="1772"/>
      <c r="M1053" s="1772"/>
      <c r="N1053" s="1772"/>
      <c r="O1053" s="1772"/>
      <c r="P1053" s="1772"/>
      <c r="Q1053" s="1772"/>
      <c r="R1053" s="1772"/>
      <c r="S1053" s="1772"/>
      <c r="T1053" s="1772"/>
      <c r="U1053" s="1772"/>
      <c r="V1053" s="1772"/>
      <c r="W1053" s="1772"/>
      <c r="X1053" s="1772"/>
      <c r="Y1053" s="1772"/>
      <c r="Z1053" s="1772"/>
      <c r="AA1053" s="1772"/>
      <c r="AB1053" s="1772"/>
      <c r="AC1053" s="1772"/>
      <c r="AD1053" s="1772"/>
      <c r="AE1053" s="1772"/>
      <c r="AF1053" s="1772"/>
      <c r="AG1053" s="1772"/>
      <c r="AH1053" s="1772"/>
      <c r="AI1053" s="1773"/>
      <c r="AJ1053" s="1797">
        <f>SUM(AJ992:AQ1052)</f>
        <v>150330531.19999999</v>
      </c>
      <c r="AK1053" s="1798"/>
      <c r="AL1053" s="1798"/>
      <c r="AM1053" s="1798"/>
      <c r="AN1053" s="1798"/>
      <c r="AO1053" s="1798"/>
      <c r="AP1053" s="1798"/>
      <c r="AQ1053" s="1799"/>
      <c r="AR1053" s="68"/>
      <c r="AS1053" s="68"/>
      <c r="AT1053" s="68"/>
      <c r="AU1053" s="68"/>
      <c r="AV1053" s="68"/>
      <c r="AW1053" s="68"/>
      <c r="AX1053" s="68"/>
      <c r="AY1053" s="68"/>
      <c r="AZ1053" s="1181">
        <v>6000000</v>
      </c>
      <c r="BA1053" s="3" t="s">
        <v>2485</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2470</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3000000</v>
      </c>
      <c r="BB1055" s="3" t="s">
        <v>2486</v>
      </c>
      <c r="BC1055" s="3"/>
      <c r="BD1055" s="3"/>
    </row>
    <row r="1056" spans="1:56" ht="12.95" customHeight="1">
      <c r="A1056" s="14"/>
      <c r="B1056" s="68"/>
      <c r="C1056" s="68"/>
      <c r="D1056" s="68"/>
      <c r="E1056" s="68"/>
      <c r="F1056" s="68"/>
      <c r="G1056" s="1176" t="s">
        <v>2471</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70">
        <f>'Sources and Uses Budget'!S107+'Sources and Uses Budget'!T107</f>
        <v>59043194</v>
      </c>
      <c r="AB1056" s="1370"/>
      <c r="AC1056" s="1370"/>
      <c r="AD1056" s="1370"/>
      <c r="AE1056" s="1370"/>
      <c r="AF1056" s="137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9840532.4000000004</v>
      </c>
      <c r="BB1056" s="3" t="s">
        <v>2487</v>
      </c>
      <c r="BC1056" s="3"/>
      <c r="BD1056" s="3"/>
    </row>
    <row r="1057" spans="1:54" ht="12.95" customHeight="1">
      <c r="A1057" s="14"/>
      <c r="B1057" s="68"/>
      <c r="C1057" s="68"/>
      <c r="D1057" s="68"/>
      <c r="E1057" s="68"/>
      <c r="F1057" s="68"/>
      <c r="G1057" s="1176"/>
      <c r="H1057" s="1176" t="s">
        <v>2472</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71">
        <f>IFERROR((AA1056-BA1059)/(AJ1053-AJ1045-AJ1049),"")</f>
        <v>0.51043316180459553</v>
      </c>
      <c r="AB1057" s="1372"/>
      <c r="AC1057" s="1372"/>
      <c r="AD1057" s="1372"/>
      <c r="AE1057" s="1372"/>
      <c r="AF1057" s="137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7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74"/>
      <c r="I1058" s="1374"/>
      <c r="J1058" s="1374"/>
      <c r="K1058" s="1374"/>
      <c r="L1058" s="1374"/>
      <c r="M1058" s="1374"/>
      <c r="N1058" s="1374"/>
      <c r="O1058" s="1374"/>
      <c r="P1058" s="1374"/>
      <c r="Q1058" s="1374"/>
      <c r="R1058" s="1374"/>
      <c r="S1058" s="1374"/>
      <c r="T1058" s="1374"/>
      <c r="U1058" s="1374"/>
      <c r="V1058" s="1374"/>
      <c r="W1058" s="1374"/>
      <c r="X1058" s="1374"/>
      <c r="Y1058" s="1374"/>
      <c r="Z1058" s="1374"/>
      <c r="AA1058" s="1374"/>
      <c r="AB1058" s="1374"/>
      <c r="AC1058" s="1374"/>
      <c r="AD1058" s="1374"/>
      <c r="AE1058" s="1374"/>
      <c r="AF1058" s="1374"/>
      <c r="AG1058" s="1374"/>
      <c r="AH1058" s="1374"/>
      <c r="AI1058" s="1374"/>
      <c r="AJ1058" s="1374"/>
      <c r="AK1058" s="1374"/>
      <c r="AL1058" s="1374"/>
      <c r="AM1058" s="1374"/>
      <c r="AN1058" s="1374"/>
      <c r="AO1058" s="68"/>
      <c r="AP1058" s="68"/>
      <c r="AQ1058" s="68"/>
      <c r="AR1058" s="68"/>
      <c r="AS1058" s="68"/>
      <c r="AT1058" s="68"/>
      <c r="AU1058" s="68"/>
      <c r="AV1058" s="14"/>
      <c r="AW1058" s="14"/>
      <c r="AX1058" s="14"/>
      <c r="AY1058" s="14"/>
      <c r="BA1058" s="1185">
        <f>'Sources and Uses Budget'!$S$104+'Sources and Uses Budget'!$T$104</f>
        <v>9840532</v>
      </c>
      <c r="BB1058" s="3" t="s">
        <v>2493</v>
      </c>
    </row>
    <row r="1059" spans="1:54" ht="12.95" customHeight="1">
      <c r="A1059" s="14"/>
      <c r="B1059" s="14"/>
      <c r="C1059" s="208"/>
      <c r="D1059" s="858"/>
      <c r="E1059" s="858"/>
      <c r="F1059" s="858"/>
      <c r="G1059" s="1374"/>
      <c r="H1059" s="1374"/>
      <c r="I1059" s="1374"/>
      <c r="J1059" s="1374"/>
      <c r="K1059" s="1374"/>
      <c r="L1059" s="1374"/>
      <c r="M1059" s="1374"/>
      <c r="N1059" s="1374"/>
      <c r="O1059" s="1374"/>
      <c r="P1059" s="1374"/>
      <c r="Q1059" s="1374"/>
      <c r="R1059" s="1374"/>
      <c r="S1059" s="1374"/>
      <c r="T1059" s="1374"/>
      <c r="U1059" s="1374"/>
      <c r="V1059" s="1374"/>
      <c r="W1059" s="1374"/>
      <c r="X1059" s="1374"/>
      <c r="Y1059" s="1374"/>
      <c r="Z1059" s="1374"/>
      <c r="AA1059" s="1374"/>
      <c r="AB1059" s="1374"/>
      <c r="AC1059" s="1374"/>
      <c r="AD1059" s="1374"/>
      <c r="AE1059" s="1374"/>
      <c r="AF1059" s="1374"/>
      <c r="AG1059" s="1374"/>
      <c r="AH1059" s="1374"/>
      <c r="AI1059" s="1374"/>
      <c r="AJ1059" s="1374"/>
      <c r="AK1059" s="1374"/>
      <c r="AL1059" s="1374"/>
      <c r="AM1059" s="1374"/>
      <c r="AN1059" s="1374"/>
      <c r="AO1059" s="68"/>
      <c r="AP1059" s="68"/>
      <c r="AQ1059" s="68"/>
      <c r="AR1059" s="68"/>
      <c r="AS1059" s="68"/>
      <c r="AT1059" s="68"/>
      <c r="AU1059" s="68"/>
      <c r="AV1059" s="14"/>
      <c r="AW1059" s="14"/>
      <c r="AX1059" s="14"/>
      <c r="AY1059" s="14"/>
      <c r="BA1059" s="1186">
        <f>MAX($BA$1058-$BA$1055,0)</f>
        <v>6840532</v>
      </c>
      <c r="BB1059" s="3" t="s">
        <v>2494</v>
      </c>
    </row>
    <row r="1060" spans="1:54" ht="12.95" customHeight="1">
      <c r="A1060" s="88"/>
      <c r="B1060" s="1172"/>
      <c r="C1060" s="1172"/>
      <c r="D1060" s="1172"/>
      <c r="E1060" s="1172"/>
      <c r="F1060" s="1172"/>
      <c r="G1060" s="1374"/>
      <c r="H1060" s="1374"/>
      <c r="I1060" s="1374"/>
      <c r="J1060" s="1374"/>
      <c r="K1060" s="1374"/>
      <c r="L1060" s="1374"/>
      <c r="M1060" s="1374"/>
      <c r="N1060" s="1374"/>
      <c r="O1060" s="1374"/>
      <c r="P1060" s="1374"/>
      <c r="Q1060" s="1374"/>
      <c r="R1060" s="1374"/>
      <c r="S1060" s="1374"/>
      <c r="T1060" s="1374"/>
      <c r="U1060" s="1374"/>
      <c r="V1060" s="1374"/>
      <c r="W1060" s="1374"/>
      <c r="X1060" s="1374"/>
      <c r="Y1060" s="1374"/>
      <c r="Z1060" s="1374"/>
      <c r="AA1060" s="1374"/>
      <c r="AB1060" s="1374"/>
      <c r="AC1060" s="1374"/>
      <c r="AD1060" s="1374"/>
      <c r="AE1060" s="1374"/>
      <c r="AF1060" s="1374"/>
      <c r="AG1060" s="1374"/>
      <c r="AH1060" s="1374"/>
      <c r="AI1060" s="1374"/>
      <c r="AJ1060" s="1374"/>
      <c r="AK1060" s="1374"/>
      <c r="AL1060" s="1374"/>
      <c r="AM1060" s="1374"/>
      <c r="AN1060" s="1374"/>
      <c r="AO1060" s="1172"/>
      <c r="AP1060" s="1172"/>
      <c r="AQ1060" s="68"/>
      <c r="AR1060" s="68"/>
      <c r="AS1060" s="68"/>
      <c r="AT1060" s="68"/>
      <c r="AU1060" s="68"/>
      <c r="AV1060" s="68"/>
      <c r="AW1060" s="68"/>
      <c r="AX1060" s="68"/>
      <c r="AY1060" s="68"/>
    </row>
    <row r="1061" spans="1:54" ht="12.95" customHeight="1">
      <c r="A1061" s="1841" t="s">
        <v>793</v>
      </c>
      <c r="B1061" s="1841"/>
      <c r="C1061" s="1841"/>
      <c r="D1061" s="1841"/>
      <c r="E1061" s="1841"/>
      <c r="F1061" s="1841"/>
      <c r="G1061" s="1841"/>
      <c r="H1061" s="1841"/>
      <c r="I1061" s="1841"/>
      <c r="J1061" s="1841"/>
      <c r="K1061" s="1841"/>
      <c r="L1061" s="1841"/>
      <c r="M1061" s="1841"/>
      <c r="N1061" s="1841"/>
      <c r="O1061" s="1841"/>
      <c r="P1061" s="1841"/>
      <c r="Q1061" s="1841"/>
      <c r="R1061" s="1841"/>
      <c r="S1061" s="1841"/>
      <c r="T1061" s="1841"/>
      <c r="U1061" s="1841"/>
      <c r="V1061" s="1841"/>
      <c r="W1061" s="1841"/>
      <c r="X1061" s="1841"/>
      <c r="Y1061" s="1841"/>
      <c r="Z1061" s="1841"/>
      <c r="AA1061" s="1841"/>
      <c r="AB1061" s="1841"/>
      <c r="AC1061" s="1841"/>
      <c r="AD1061" s="1841"/>
      <c r="AE1061" s="1841"/>
      <c r="AF1061" s="1841"/>
      <c r="AG1061" s="1841"/>
      <c r="AH1061" s="1841"/>
      <c r="AI1061" s="1841"/>
      <c r="AJ1061" s="1841"/>
      <c r="AK1061" s="1841"/>
      <c r="AL1061" s="1841"/>
      <c r="AM1061" s="1841"/>
      <c r="AN1061" s="1841"/>
      <c r="AO1061" s="1841"/>
      <c r="AP1061" s="1841"/>
      <c r="AQ1061" s="1841"/>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794</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795</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52" t="s">
        <v>590</v>
      </c>
      <c r="B1065" s="1352"/>
      <c r="C1065" s="1860">
        <v>1</v>
      </c>
      <c r="D1065" s="1860"/>
      <c r="E1065" s="14" t="s">
        <v>2236</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60"/>
      <c r="D1066" s="1860"/>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52" t="s">
        <v>590</v>
      </c>
      <c r="B1067" s="1352"/>
      <c r="C1067" s="1860">
        <v>2</v>
      </c>
      <c r="D1067" s="1860"/>
      <c r="E1067" s="1862" t="s">
        <v>2237</v>
      </c>
      <c r="F1067" s="1862"/>
      <c r="G1067" s="1862"/>
      <c r="H1067" s="1862"/>
      <c r="I1067" s="1862"/>
      <c r="J1067" s="1862"/>
      <c r="K1067" s="1862"/>
      <c r="L1067" s="1862"/>
      <c r="M1067" s="1862"/>
      <c r="N1067" s="1862"/>
      <c r="O1067" s="1862"/>
      <c r="P1067" s="1862"/>
      <c r="Q1067" s="1862"/>
      <c r="R1067" s="1862"/>
      <c r="S1067" s="1862"/>
      <c r="T1067" s="1862"/>
      <c r="U1067" s="1862"/>
      <c r="V1067" s="1862"/>
      <c r="W1067" s="1862"/>
      <c r="X1067" s="1862"/>
      <c r="Y1067" s="1862"/>
      <c r="Z1067" s="1862"/>
      <c r="AA1067" s="1862"/>
      <c r="AB1067" s="1862"/>
      <c r="AC1067" s="1862"/>
      <c r="AD1067" s="1862"/>
      <c r="AE1067" s="1862"/>
      <c r="AF1067" s="1862"/>
      <c r="AG1067" s="1862"/>
      <c r="AH1067" s="1862"/>
      <c r="AI1067" s="1862"/>
      <c r="AJ1067" s="1862"/>
      <c r="AK1067" s="1862"/>
      <c r="AL1067" s="1862"/>
      <c r="AM1067" s="1862"/>
      <c r="AN1067" s="1862"/>
      <c r="AO1067" s="1862"/>
      <c r="AP1067" s="1862"/>
      <c r="AQ1067" s="1862"/>
      <c r="AR1067" s="1862"/>
      <c r="AS1067" s="14"/>
      <c r="AT1067" s="14"/>
      <c r="AV1067" s="68"/>
      <c r="AW1067" s="68"/>
      <c r="AX1067" s="68"/>
      <c r="AY1067" s="68"/>
    </row>
    <row r="1068" spans="1:54" ht="12.95" customHeight="1">
      <c r="A1068" s="198"/>
      <c r="B1068" s="67"/>
      <c r="C1068" s="1860"/>
      <c r="D1068" s="1860"/>
      <c r="E1068" s="1862"/>
      <c r="F1068" s="1862"/>
      <c r="G1068" s="1862"/>
      <c r="H1068" s="1862"/>
      <c r="I1068" s="1862"/>
      <c r="J1068" s="1862"/>
      <c r="K1068" s="1862"/>
      <c r="L1068" s="1862"/>
      <c r="M1068" s="1862"/>
      <c r="N1068" s="1862"/>
      <c r="O1068" s="1862"/>
      <c r="P1068" s="1862"/>
      <c r="Q1068" s="1862"/>
      <c r="R1068" s="1862"/>
      <c r="S1068" s="1862"/>
      <c r="T1068" s="1862"/>
      <c r="U1068" s="1862"/>
      <c r="V1068" s="1862"/>
      <c r="W1068" s="1862"/>
      <c r="X1068" s="1862"/>
      <c r="Y1068" s="1862"/>
      <c r="Z1068" s="1862"/>
      <c r="AA1068" s="1862"/>
      <c r="AB1068" s="1862"/>
      <c r="AC1068" s="1862"/>
      <c r="AD1068" s="1862"/>
      <c r="AE1068" s="1862"/>
      <c r="AF1068" s="1862"/>
      <c r="AG1068" s="1862"/>
      <c r="AH1068" s="1862"/>
      <c r="AI1068" s="1862"/>
      <c r="AJ1068" s="1862"/>
      <c r="AK1068" s="1862"/>
      <c r="AL1068" s="1862"/>
      <c r="AM1068" s="1862"/>
      <c r="AN1068" s="1862"/>
      <c r="AO1068" s="1862"/>
      <c r="AP1068" s="1862"/>
      <c r="AQ1068" s="1862"/>
      <c r="AR1068" s="1862"/>
      <c r="AS1068" s="14"/>
      <c r="AT1068" s="14"/>
      <c r="AV1068" s="68"/>
      <c r="AW1068" s="68"/>
      <c r="AX1068" s="68"/>
      <c r="AY1068" s="68"/>
    </row>
    <row r="1069" spans="1:54" ht="12.95" customHeight="1">
      <c r="A1069" s="198"/>
      <c r="B1069" s="67"/>
      <c r="C1069" s="1860"/>
      <c r="D1069" s="1860"/>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52" t="s">
        <v>590</v>
      </c>
      <c r="B1070" s="1352"/>
      <c r="C1070" s="1423">
        <v>3</v>
      </c>
      <c r="D1070" s="1423"/>
      <c r="E1070" s="1328" t="s">
        <v>1079</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2.95" customHeight="1">
      <c r="A1071" s="1"/>
      <c r="B1071" s="1"/>
      <c r="C1071" s="1423"/>
      <c r="D1071" s="1423"/>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2.95" customHeight="1">
      <c r="A1072" s="1"/>
      <c r="B1072" s="1"/>
      <c r="C1072" s="1423"/>
      <c r="D1072" s="1423"/>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2.95" customHeight="1">
      <c r="A1073" s="1"/>
      <c r="B1073" s="1"/>
      <c r="C1073" s="1423"/>
      <c r="D1073" s="1423"/>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2.95" customHeight="1">
      <c r="A1074" s="2"/>
      <c r="B1074" s="25"/>
      <c r="C1074" s="1423"/>
      <c r="D1074" s="1423"/>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52" t="s">
        <v>590</v>
      </c>
      <c r="B1075" s="1352"/>
      <c r="C1075" s="1423">
        <v>4</v>
      </c>
      <c r="D1075" s="1423"/>
      <c r="E1075" s="1328" t="s">
        <v>1078</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2.95" customHeight="1">
      <c r="A1076" s="1"/>
      <c r="B1076" s="1"/>
      <c r="C1076" s="1423"/>
      <c r="D1076" s="1423"/>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2.95" customHeight="1">
      <c r="A1077" s="1"/>
      <c r="B1077" s="1"/>
      <c r="C1077" s="1423"/>
      <c r="D1077" s="1423"/>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2.95" customHeight="1">
      <c r="A1078" s="1"/>
      <c r="B1078" s="1"/>
      <c r="C1078" s="1423"/>
      <c r="D1078" s="1423"/>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2.95" customHeight="1">
      <c r="A1079" s="1"/>
      <c r="B1079" s="1"/>
      <c r="C1079" s="1423"/>
      <c r="D1079" s="1423"/>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2.95" customHeight="1">
      <c r="A1080" s="1"/>
      <c r="B1080" s="1"/>
      <c r="C1080" s="1423"/>
      <c r="D1080" s="1423"/>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52" t="s">
        <v>590</v>
      </c>
      <c r="B1081" s="1352"/>
      <c r="C1081" s="1423">
        <v>5</v>
      </c>
      <c r="D1081" s="1423"/>
      <c r="E1081" s="1328" t="s">
        <v>2241</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2.95" customHeight="1">
      <c r="A1082" s="4"/>
      <c r="B1082" s="4"/>
      <c r="C1082" s="1423"/>
      <c r="D1082" s="1423"/>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2.95" customHeight="1">
      <c r="A1083" s="4"/>
      <c r="B1083" s="4"/>
      <c r="C1083" s="1423"/>
      <c r="D1083" s="1423"/>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2.95" customHeight="1">
      <c r="A1084" s="35"/>
      <c r="B1084" s="25"/>
      <c r="C1084" s="1423"/>
      <c r="D1084" s="1423"/>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52" t="s">
        <v>590</v>
      </c>
      <c r="B1085" s="1352"/>
      <c r="C1085" s="1423">
        <v>6</v>
      </c>
      <c r="D1085" s="1423"/>
      <c r="E1085" s="1328" t="s">
        <v>2242</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2.95"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2.95" customHeight="1">
      <c r="A1087" s="1"/>
      <c r="B1087" s="1"/>
      <c r="C1087" s="1423"/>
      <c r="D1087" s="1423"/>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2.95" customHeight="1">
      <c r="A1088" s="35"/>
      <c r="B1088" s="25"/>
      <c r="C1088" s="1423"/>
      <c r="D1088" s="1423"/>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52" t="s">
        <v>590</v>
      </c>
      <c r="B1089" s="1352"/>
      <c r="C1089" s="1423">
        <v>7</v>
      </c>
      <c r="D1089" s="1423"/>
      <c r="E1089" s="1328" t="s">
        <v>2138</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2.95" customHeight="1">
      <c r="A1090" s="1"/>
      <c r="B1090" s="1"/>
      <c r="C1090" s="1423"/>
      <c r="D1090" s="1423"/>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2.95" customHeight="1">
      <c r="A1091" s="1"/>
      <c r="B1091" s="1"/>
      <c r="C1091" s="1423"/>
      <c r="D1091" s="1423"/>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2.95" customHeight="1">
      <c r="A1092" s="1"/>
      <c r="B1092" s="1"/>
      <c r="C1092" s="1423"/>
      <c r="D1092" s="1423"/>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423"/>
      <c r="D1093" s="1423"/>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52" t="s">
        <v>590</v>
      </c>
      <c r="B1094" s="1352"/>
      <c r="C1094" s="1423">
        <v>8</v>
      </c>
      <c r="D1094" s="1423"/>
      <c r="E1094" s="1328" t="s">
        <v>1072</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2.95" customHeight="1">
      <c r="A1095" s="35"/>
      <c r="B1095" s="25"/>
      <c r="C1095" s="1423"/>
      <c r="D1095" s="1423"/>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2.95" customHeight="1">
      <c r="A1096" s="35"/>
      <c r="B1096" s="25"/>
      <c r="C1096" s="1423"/>
      <c r="D1096" s="1423"/>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52" t="s">
        <v>590</v>
      </c>
      <c r="B1097" s="1352"/>
      <c r="C1097" s="1860">
        <v>9</v>
      </c>
      <c r="D1097" s="1860"/>
      <c r="E1097" s="1328" t="s">
        <v>1074</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2.95" customHeight="1">
      <c r="A1098" s="1"/>
      <c r="B1098" s="1"/>
      <c r="C1098" s="1860"/>
      <c r="D1098" s="1860"/>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2.95" customHeight="1">
      <c r="A1099" s="35"/>
      <c r="B1099" s="25"/>
      <c r="C1099" s="1860"/>
      <c r="D1099" s="1860"/>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52" t="s">
        <v>590</v>
      </c>
      <c r="B1100" s="1352"/>
      <c r="C1100" s="1860">
        <v>10</v>
      </c>
      <c r="D1100" s="1860"/>
      <c r="E1100" s="1861" t="s">
        <v>2238</v>
      </c>
      <c r="F1100" s="1861"/>
      <c r="G1100" s="1861"/>
      <c r="H1100" s="1861"/>
      <c r="I1100" s="1861"/>
      <c r="J1100" s="1861"/>
      <c r="K1100" s="1861"/>
      <c r="L1100" s="1861"/>
      <c r="M1100" s="1861"/>
      <c r="N1100" s="1861"/>
      <c r="O1100" s="1861"/>
      <c r="P1100" s="1861"/>
      <c r="Q1100" s="1861"/>
      <c r="R1100" s="1861"/>
      <c r="S1100" s="1861"/>
      <c r="T1100" s="1861"/>
      <c r="U1100" s="1861"/>
      <c r="V1100" s="1861"/>
      <c r="W1100" s="1861"/>
      <c r="X1100" s="1861"/>
      <c r="Y1100" s="1861"/>
      <c r="Z1100" s="1861"/>
      <c r="AA1100" s="1861"/>
      <c r="AB1100" s="1861"/>
      <c r="AC1100" s="1861"/>
      <c r="AD1100" s="1861"/>
      <c r="AE1100" s="1861"/>
      <c r="AF1100" s="1861"/>
      <c r="AG1100" s="1861"/>
      <c r="AH1100" s="1861"/>
      <c r="AI1100" s="1861"/>
      <c r="AJ1100" s="1861"/>
      <c r="AK1100" s="1861"/>
      <c r="AL1100" s="1861"/>
      <c r="AM1100" s="1861"/>
      <c r="AN1100" s="1861"/>
      <c r="AO1100" s="1861"/>
      <c r="AP1100" s="1861"/>
      <c r="AQ1100" s="1861"/>
      <c r="AR1100" s="1861"/>
    </row>
    <row r="1101" spans="1:45" ht="12.95" customHeight="1">
      <c r="A1101" s="1"/>
      <c r="B1101" s="1"/>
      <c r="C1101" s="199"/>
      <c r="D1101" s="1161"/>
      <c r="E1101" s="1861"/>
      <c r="F1101" s="1861"/>
      <c r="G1101" s="1861"/>
      <c r="H1101" s="1861"/>
      <c r="I1101" s="1861"/>
      <c r="J1101" s="1861"/>
      <c r="K1101" s="1861"/>
      <c r="L1101" s="1861"/>
      <c r="M1101" s="1861"/>
      <c r="N1101" s="1861"/>
      <c r="O1101" s="1861"/>
      <c r="P1101" s="1861"/>
      <c r="Q1101" s="1861"/>
      <c r="R1101" s="1861"/>
      <c r="S1101" s="1861"/>
      <c r="T1101" s="1861"/>
      <c r="U1101" s="1861"/>
      <c r="V1101" s="1861"/>
      <c r="W1101" s="1861"/>
      <c r="X1101" s="1861"/>
      <c r="Y1101" s="1861"/>
      <c r="Z1101" s="1861"/>
      <c r="AA1101" s="1861"/>
      <c r="AB1101" s="1861"/>
      <c r="AC1101" s="1861"/>
      <c r="AD1101" s="1861"/>
      <c r="AE1101" s="1861"/>
      <c r="AF1101" s="1861"/>
      <c r="AG1101" s="1861"/>
      <c r="AH1101" s="1861"/>
      <c r="AI1101" s="1861"/>
      <c r="AJ1101" s="1861"/>
      <c r="AK1101" s="1861"/>
      <c r="AL1101" s="1861"/>
      <c r="AM1101" s="1861"/>
      <c r="AN1101" s="1861"/>
      <c r="AO1101" s="1861"/>
      <c r="AP1101" s="1861"/>
      <c r="AQ1101" s="1861"/>
      <c r="AR1101" s="1861"/>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52" t="s">
        <v>590</v>
      </c>
      <c r="B1103" s="1352"/>
      <c r="C1103" s="1860">
        <v>11</v>
      </c>
      <c r="D1103" s="1860"/>
      <c r="E1103" s="1861" t="s">
        <v>2240</v>
      </c>
      <c r="F1103" s="1861"/>
      <c r="G1103" s="1861"/>
      <c r="H1103" s="1861"/>
      <c r="I1103" s="1861"/>
      <c r="J1103" s="1861"/>
      <c r="K1103" s="1861"/>
      <c r="L1103" s="1861"/>
      <c r="M1103" s="1861"/>
      <c r="N1103" s="1861"/>
      <c r="O1103" s="1861"/>
      <c r="P1103" s="1861"/>
      <c r="Q1103" s="1861"/>
      <c r="R1103" s="1861"/>
      <c r="S1103" s="1861"/>
      <c r="T1103" s="1861"/>
      <c r="U1103" s="1861"/>
      <c r="V1103" s="1861"/>
      <c r="W1103" s="1861"/>
      <c r="X1103" s="1861"/>
      <c r="Y1103" s="1861"/>
      <c r="Z1103" s="1861"/>
      <c r="AA1103" s="1861"/>
      <c r="AB1103" s="1861"/>
      <c r="AC1103" s="1861"/>
      <c r="AD1103" s="1861"/>
      <c r="AE1103" s="1861"/>
      <c r="AF1103" s="1861"/>
      <c r="AG1103" s="1861"/>
      <c r="AH1103" s="1861"/>
      <c r="AI1103" s="1861"/>
      <c r="AJ1103" s="1861"/>
      <c r="AK1103" s="1861"/>
      <c r="AL1103" s="1861"/>
      <c r="AM1103" s="1861"/>
      <c r="AN1103" s="1861"/>
      <c r="AO1103" s="1861"/>
      <c r="AP1103" s="1861"/>
      <c r="AQ1103" s="1861"/>
      <c r="AR1103" s="1861"/>
    </row>
    <row r="1104" spans="1:45" ht="12.95" customHeight="1">
      <c r="A1104" s="1"/>
      <c r="B1104" s="1"/>
      <c r="C1104" s="199"/>
      <c r="D1104" s="1161"/>
      <c r="E1104" s="1861"/>
      <c r="F1104" s="1861"/>
      <c r="G1104" s="1861"/>
      <c r="H1104" s="1861"/>
      <c r="I1104" s="1861"/>
      <c r="J1104" s="1861"/>
      <c r="K1104" s="1861"/>
      <c r="L1104" s="1861"/>
      <c r="M1104" s="1861"/>
      <c r="N1104" s="1861"/>
      <c r="O1104" s="1861"/>
      <c r="P1104" s="1861"/>
      <c r="Q1104" s="1861"/>
      <c r="R1104" s="1861"/>
      <c r="S1104" s="1861"/>
      <c r="T1104" s="1861"/>
      <c r="U1104" s="1861"/>
      <c r="V1104" s="1861"/>
      <c r="W1104" s="1861"/>
      <c r="X1104" s="1861"/>
      <c r="Y1104" s="1861"/>
      <c r="Z1104" s="1861"/>
      <c r="AA1104" s="1861"/>
      <c r="AB1104" s="1861"/>
      <c r="AC1104" s="1861"/>
      <c r="AD1104" s="1861"/>
      <c r="AE1104" s="1861"/>
      <c r="AF1104" s="1861"/>
      <c r="AG1104" s="1861"/>
      <c r="AH1104" s="1861"/>
      <c r="AI1104" s="1861"/>
      <c r="AJ1104" s="1861"/>
      <c r="AK1104" s="1861"/>
      <c r="AL1104" s="1861"/>
      <c r="AM1104" s="1861"/>
      <c r="AN1104" s="1861"/>
      <c r="AO1104" s="1861"/>
      <c r="AP1104" s="1861"/>
      <c r="AQ1104" s="1861"/>
      <c r="AR1104" s="1861"/>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52" t="s">
        <v>590</v>
      </c>
      <c r="B1125" s="1352"/>
      <c r="C1125" s="199">
        <v>9</v>
      </c>
      <c r="D1125" s="1260" t="s">
        <v>1073</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K741:N741"/>
    <mergeCell ref="O736:S736"/>
    <mergeCell ref="K738:N738"/>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C1085:D1085"/>
    <mergeCell ref="C1087:D1087"/>
    <mergeCell ref="C1088:D1088"/>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AC733:AG733"/>
    <mergeCell ref="AH737:AJ737"/>
    <mergeCell ref="AH738:AJ738"/>
    <mergeCell ref="AH736:AJ736"/>
    <mergeCell ref="O732:S732"/>
    <mergeCell ref="G737:J737"/>
    <mergeCell ref="G735:J735"/>
    <mergeCell ref="B728:F728"/>
    <mergeCell ref="B725:F725"/>
    <mergeCell ref="H688:R688"/>
    <mergeCell ref="B740:F740"/>
    <mergeCell ref="O739:S739"/>
    <mergeCell ref="O740:S740"/>
    <mergeCell ref="X736:AB736"/>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AG615:AH615"/>
    <mergeCell ref="G612:R612"/>
    <mergeCell ref="G611:R61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K743:N743"/>
    <mergeCell ref="O743:S743"/>
    <mergeCell ref="T743:W743"/>
    <mergeCell ref="K744:N744"/>
    <mergeCell ref="O744:S744"/>
    <mergeCell ref="K728:N728"/>
    <mergeCell ref="G734:J734"/>
    <mergeCell ref="AH728:AJ728"/>
    <mergeCell ref="G738:J738"/>
    <mergeCell ref="O727:S727"/>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B737:F737"/>
    <mergeCell ref="B735:F735"/>
    <mergeCell ref="B738:F738"/>
    <mergeCell ref="W471:Y471"/>
    <mergeCell ref="AM559:AS559"/>
    <mergeCell ref="T628:V628"/>
    <mergeCell ref="T734:W734"/>
    <mergeCell ref="AC727:AG727"/>
    <mergeCell ref="AC728:AG728"/>
    <mergeCell ref="AC732:AG732"/>
    <mergeCell ref="X733:AB733"/>
    <mergeCell ref="EM636:EQ636"/>
    <mergeCell ref="DX637:EB637"/>
    <mergeCell ref="B639:AN639"/>
    <mergeCell ref="B640:AN640"/>
    <mergeCell ref="B719:F719"/>
    <mergeCell ref="Z646:AK646"/>
    <mergeCell ref="Q636:S636"/>
    <mergeCell ref="Q637:S637"/>
    <mergeCell ref="C636:L636"/>
    <mergeCell ref="N665:O665"/>
    <mergeCell ref="EM655:EQ655"/>
    <mergeCell ref="EM647:EQ647"/>
    <mergeCell ref="EM648:EQ648"/>
    <mergeCell ref="AH729:AJ729"/>
    <mergeCell ref="DU718:DY718"/>
    <mergeCell ref="DU721:DY721"/>
    <mergeCell ref="G732:J732"/>
    <mergeCell ref="G647:L647"/>
    <mergeCell ref="C638:L638"/>
    <mergeCell ref="AK731:AO731"/>
    <mergeCell ref="EC642:EG642"/>
    <mergeCell ref="EH642:EL642"/>
    <mergeCell ref="EM642:EQ642"/>
    <mergeCell ref="EM657:EQ657"/>
    <mergeCell ref="DZ734:ED734"/>
    <mergeCell ref="DU734:DY734"/>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H647:EL647"/>
    <mergeCell ref="DX648:EB648"/>
    <mergeCell ref="DX651:EB651"/>
    <mergeCell ref="EC651:EG651"/>
    <mergeCell ref="DE776:DI776"/>
    <mergeCell ref="DJ746:DN746"/>
    <mergeCell ref="DO746:DS746"/>
    <mergeCell ref="CZ746:DD746"/>
    <mergeCell ref="DE744:DI744"/>
    <mergeCell ref="DE750:DI750"/>
    <mergeCell ref="DJ750:DN750"/>
    <mergeCell ref="DO774:DS774"/>
    <mergeCell ref="DU753:DY753"/>
    <mergeCell ref="DZ753:ED753"/>
    <mergeCell ref="DE774:DI774"/>
    <mergeCell ref="DU717:DY717"/>
    <mergeCell ref="DU719:DY719"/>
    <mergeCell ref="EE717:EI717"/>
    <mergeCell ref="EW669:FA669"/>
    <mergeCell ref="EH653:EL653"/>
    <mergeCell ref="EM653:EQ653"/>
    <mergeCell ref="ER653:EV653"/>
    <mergeCell ref="EZ720:FD720"/>
    <mergeCell ref="DU720:DY720"/>
    <mergeCell ref="EM668:EQ668"/>
    <mergeCell ref="DX645:EB645"/>
    <mergeCell ref="ER664:EV664"/>
    <mergeCell ref="EC667:EG667"/>
    <mergeCell ref="EH667:EL667"/>
    <mergeCell ref="EM649:EQ649"/>
    <mergeCell ref="EM652:EQ652"/>
    <mergeCell ref="DX650:EB650"/>
    <mergeCell ref="EC650:EG650"/>
    <mergeCell ref="EC662:EG662"/>
    <mergeCell ref="EH662:EL662"/>
    <mergeCell ref="DX659:EB659"/>
    <mergeCell ref="ER660:EV660"/>
    <mergeCell ref="EH666:EL666"/>
    <mergeCell ref="EH668:EL668"/>
    <mergeCell ref="DX657:EB657"/>
    <mergeCell ref="EC657:EG657"/>
    <mergeCell ref="EH657:EL657"/>
    <mergeCell ref="ER651:EV6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AK749:AO749"/>
    <mergeCell ref="EJ739:EN739"/>
    <mergeCell ref="EJ720:EN720"/>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EO752:ES752"/>
    <mergeCell ref="EJ752:EN752"/>
    <mergeCell ref="ET738:EX738"/>
    <mergeCell ref="DU738:DY738"/>
    <mergeCell ref="CK745:CL745"/>
    <mergeCell ref="CI753:CJ753"/>
    <mergeCell ref="CM753:CN753"/>
    <mergeCell ref="CP753:CT753"/>
    <mergeCell ref="DO732:DS732"/>
    <mergeCell ref="CK751:CL751"/>
    <mergeCell ref="CP775:CT775"/>
    <mergeCell ref="CP776:CT776"/>
    <mergeCell ref="DJ734:DN734"/>
    <mergeCell ref="AO637:AS637"/>
    <mergeCell ref="ER642:EV642"/>
    <mergeCell ref="DX641:EB641"/>
    <mergeCell ref="DE753:DI753"/>
    <mergeCell ref="DO751:DS751"/>
    <mergeCell ref="DO752:DS752"/>
    <mergeCell ref="DE751:DI751"/>
    <mergeCell ref="CG745:CH745"/>
    <mergeCell ref="CI745:CJ745"/>
    <mergeCell ref="FO740:FS740"/>
    <mergeCell ref="EC637:EG637"/>
    <mergeCell ref="EH637:EL637"/>
    <mergeCell ref="T624:V626"/>
    <mergeCell ref="ET751:EX751"/>
    <mergeCell ref="EJ751:EN751"/>
    <mergeCell ref="EO739:ES739"/>
    <mergeCell ref="ET739:EX739"/>
    <mergeCell ref="T627:V62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CZ751:DD751"/>
    <mergeCell ref="CI751:CJ751"/>
    <mergeCell ref="CP735:CT735"/>
    <mergeCell ref="DJ736:DN736"/>
    <mergeCell ref="CM740:CN740"/>
    <mergeCell ref="DZ733:ED733"/>
    <mergeCell ref="DX662:EB662"/>
    <mergeCell ref="EW641:FA641"/>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M670:EQ670"/>
    <mergeCell ref="AK730:AO730"/>
    <mergeCell ref="AC724:AG724"/>
    <mergeCell ref="AC730:AG730"/>
    <mergeCell ref="EJ753:EN753"/>
    <mergeCell ref="DO740:DS740"/>
    <mergeCell ref="DJ740:DN740"/>
    <mergeCell ref="EW668:FA668"/>
    <mergeCell ref="DO754:DS754"/>
    <mergeCell ref="EW664:FA664"/>
    <mergeCell ref="EW666:FA666"/>
    <mergeCell ref="EW654:FA654"/>
    <mergeCell ref="ET737:EX737"/>
    <mergeCell ref="DE733:DI733"/>
    <mergeCell ref="CU735:CY735"/>
    <mergeCell ref="EJ717:EN717"/>
    <mergeCell ref="DJ720:DN720"/>
    <mergeCell ref="DJ717:DN717"/>
    <mergeCell ref="DJ722:DN722"/>
    <mergeCell ref="DE721:DI721"/>
    <mergeCell ref="DE723:DI723"/>
    <mergeCell ref="CU718:CY718"/>
    <mergeCell ref="EW660:FA660"/>
    <mergeCell ref="DX661:EB661"/>
    <mergeCell ref="EJ727:EN727"/>
    <mergeCell ref="EO729:ES729"/>
    <mergeCell ref="EO732:ES732"/>
    <mergeCell ref="ET729:EX729"/>
    <mergeCell ref="EM654:EQ654"/>
    <mergeCell ref="ER654:EV654"/>
    <mergeCell ref="EC655:EG655"/>
    <mergeCell ref="DX667:EB667"/>
    <mergeCell ref="DE736:DI736"/>
    <mergeCell ref="ET717:EX717"/>
    <mergeCell ref="EE729:EI729"/>
    <mergeCell ref="EO731:ES731"/>
    <mergeCell ref="DZ724:ED724"/>
    <mergeCell ref="ET723:EX723"/>
    <mergeCell ref="EE725:EI725"/>
    <mergeCell ref="DU729:DY729"/>
    <mergeCell ref="EW661:FA661"/>
    <mergeCell ref="EM662:EQ662"/>
    <mergeCell ref="ER662:EV662"/>
    <mergeCell ref="DU727:DY727"/>
    <mergeCell ref="EO718:ES718"/>
    <mergeCell ref="EZ717:FD717"/>
    <mergeCell ref="EO722:ES722"/>
    <mergeCell ref="EO717:ES717"/>
    <mergeCell ref="EJ729:EN729"/>
    <mergeCell ref="EZ728:FD728"/>
    <mergeCell ref="EJ724:EN724"/>
    <mergeCell ref="EO723:ES723"/>
    <mergeCell ref="EJ718:EN718"/>
    <mergeCell ref="EE726:EI726"/>
    <mergeCell ref="DU726:DY726"/>
    <mergeCell ref="EO721:ES721"/>
    <mergeCell ref="DZ731:ED731"/>
    <mergeCell ref="DZ721:ED721"/>
    <mergeCell ref="DZ722:ED722"/>
    <mergeCell ref="EJ726:EN726"/>
    <mergeCell ref="ET718:EX718"/>
    <mergeCell ref="DU723:DY723"/>
    <mergeCell ref="DZ723:ED723"/>
    <mergeCell ref="EE719:EI719"/>
    <mergeCell ref="DZ720:ED720"/>
    <mergeCell ref="EW670:FA670"/>
    <mergeCell ref="EJ719:EN719"/>
    <mergeCell ref="ET725:EX725"/>
    <mergeCell ref="DU724:DY724"/>
    <mergeCell ref="DZ719:ED719"/>
    <mergeCell ref="EO730:ES730"/>
    <mergeCell ref="ET730:EX730"/>
    <mergeCell ref="EO724:ES724"/>
    <mergeCell ref="DX643:EB643"/>
    <mergeCell ref="DX640:EB640"/>
    <mergeCell ref="EW647:FA647"/>
    <mergeCell ref="EW655:FA655"/>
    <mergeCell ref="EW650:FA650"/>
    <mergeCell ref="EW648:FA648"/>
    <mergeCell ref="EW651:FA651"/>
    <mergeCell ref="EW649:FA649"/>
    <mergeCell ref="EW652:FA652"/>
    <mergeCell ref="ER657:EV657"/>
    <mergeCell ref="EW657:FA657"/>
    <mergeCell ref="EC647:EG647"/>
    <mergeCell ref="ER641:EV641"/>
    <mergeCell ref="EH641:EL641"/>
    <mergeCell ref="EW644:FA644"/>
    <mergeCell ref="EC641:EG641"/>
    <mergeCell ref="EC643:EG643"/>
    <mergeCell ref="EH643:EL643"/>
    <mergeCell ref="EM643:EQ643"/>
    <mergeCell ref="EC648:EG648"/>
    <mergeCell ref="DX652:EB652"/>
    <mergeCell ref="EC652:EG652"/>
    <mergeCell ref="ER652:EV652"/>
    <mergeCell ref="EC644:EG644"/>
    <mergeCell ref="EH644:EL644"/>
    <mergeCell ref="DX656:EB656"/>
    <mergeCell ref="EC656:EG656"/>
    <mergeCell ref="EH656:EL656"/>
    <mergeCell ref="EM656:EQ656"/>
    <mergeCell ref="EM651:EQ651"/>
    <mergeCell ref="ER649:EV649"/>
    <mergeCell ref="DX647:EB647"/>
    <mergeCell ref="EM666:EQ666"/>
    <mergeCell ref="ER666:EV666"/>
    <mergeCell ref="DX649:EB649"/>
    <mergeCell ref="DX655:EB655"/>
    <mergeCell ref="ER643:EV643"/>
    <mergeCell ref="ER640:EV640"/>
    <mergeCell ref="ER669:EV669"/>
    <mergeCell ref="ER668:EV668"/>
    <mergeCell ref="DJ738:DN738"/>
    <mergeCell ref="EO737:ES737"/>
    <mergeCell ref="DU737:DY737"/>
    <mergeCell ref="DU735:DY735"/>
    <mergeCell ref="DO737:DS737"/>
    <mergeCell ref="DO738:DS738"/>
    <mergeCell ref="DJ730:DN730"/>
    <mergeCell ref="DO720:DS720"/>
    <mergeCell ref="ER661:EV661"/>
    <mergeCell ref="EE738:EI738"/>
    <mergeCell ref="EJ738:EN738"/>
    <mergeCell ref="EO719:ES719"/>
    <mergeCell ref="ET719:EX719"/>
    <mergeCell ref="EJ722:EN722"/>
    <mergeCell ref="ET736:EX736"/>
    <mergeCell ref="EE735:EI735"/>
    <mergeCell ref="EJ734:EN734"/>
    <mergeCell ref="EE733:EI733"/>
    <mergeCell ref="EW656:FA656"/>
    <mergeCell ref="ER650:EV650"/>
    <mergeCell ref="EM650:EQ650"/>
    <mergeCell ref="ET732:EX732"/>
    <mergeCell ref="ET721:EX721"/>
    <mergeCell ref="EE720:EI720"/>
    <mergeCell ref="EE721:EI721"/>
    <mergeCell ref="EJ721:EN721"/>
    <mergeCell ref="DU730:DY730"/>
    <mergeCell ref="EE728:EI728"/>
    <mergeCell ref="EJ728:EN728"/>
    <mergeCell ref="EO727:ES727"/>
    <mergeCell ref="EJ733:EN733"/>
    <mergeCell ref="DX670:EB670"/>
    <mergeCell ref="EM664:EQ664"/>
    <mergeCell ref="EJ723:EN723"/>
    <mergeCell ref="EO725:ES725"/>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W639:FA639"/>
    <mergeCell ref="EC640:EG640"/>
    <mergeCell ref="EW640:FA640"/>
    <mergeCell ref="EH652:EL652"/>
    <mergeCell ref="ER639:EV639"/>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FE717:FI717"/>
    <mergeCell ref="FJ717:FN717"/>
    <mergeCell ref="FO717:FS717"/>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EZ736:FD736"/>
    <mergeCell ref="FE736:FI736"/>
    <mergeCell ref="FJ736:FN736"/>
    <mergeCell ref="FJ721:FN721"/>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T738:FX738"/>
    <mergeCell ref="FT739:FX739"/>
    <mergeCell ref="FE751:FI751"/>
    <mergeCell ref="FJ751:FN751"/>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Y735:GC73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E729:FI729"/>
    <mergeCell ref="FE728:FI728"/>
    <mergeCell ref="FJ728:FN728"/>
    <mergeCell ref="FO728:FS728"/>
    <mergeCell ref="FT728:FX728"/>
    <mergeCell ref="FJ725:FN725"/>
    <mergeCell ref="FO725:FS725"/>
    <mergeCell ref="FT725:FX725"/>
    <mergeCell ref="EZ721:FD721"/>
    <mergeCell ref="FE721:FI721"/>
    <mergeCell ref="EZ725:FD725"/>
    <mergeCell ref="FE725:FI725"/>
    <mergeCell ref="D994:AE994"/>
    <mergeCell ref="AE958:AK958"/>
    <mergeCell ref="F916:T917"/>
    <mergeCell ref="F939:T939"/>
    <mergeCell ref="R986:AA986"/>
    <mergeCell ref="M959:S959"/>
    <mergeCell ref="EZ729:FD729"/>
    <mergeCell ref="AH733:AJ733"/>
    <mergeCell ref="AK737:AO737"/>
    <mergeCell ref="AH741:AJ741"/>
    <mergeCell ref="X735:AB735"/>
    <mergeCell ref="AK740:AO740"/>
    <mergeCell ref="AK741:AO741"/>
    <mergeCell ref="FT737:FX737"/>
    <mergeCell ref="FE730:FI730"/>
    <mergeCell ref="FJ730:FN730"/>
    <mergeCell ref="FO730:FS730"/>
    <mergeCell ref="FT730:FX730"/>
    <mergeCell ref="FO724:FS724"/>
    <mergeCell ref="FO738:FS738"/>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FY720:GC720"/>
    <mergeCell ref="FT724:FX724"/>
    <mergeCell ref="FY724:GC724"/>
    <mergeCell ref="FJ724:FN724"/>
    <mergeCell ref="FY723:GC723"/>
    <mergeCell ref="EZ724:FD724"/>
    <mergeCell ref="FE720:FI720"/>
    <mergeCell ref="FJ720:FN720"/>
    <mergeCell ref="FO720:FS720"/>
    <mergeCell ref="FT720:FX720"/>
    <mergeCell ref="FY728:GC728"/>
    <mergeCell ref="FO721:FS721"/>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O974:P974"/>
    <mergeCell ref="D999:AE999"/>
    <mergeCell ref="AJ1053:AQ1053"/>
    <mergeCell ref="D1037:AE1040"/>
    <mergeCell ref="AJ1036:AQ1040"/>
    <mergeCell ref="D1041:AE1041"/>
    <mergeCell ref="D1042:AE1044"/>
    <mergeCell ref="AB985:AI985"/>
    <mergeCell ref="AB986:AI986"/>
    <mergeCell ref="AB987:AI987"/>
    <mergeCell ref="D987:Q987"/>
    <mergeCell ref="R989:AA989"/>
    <mergeCell ref="AJ989:AQ989"/>
    <mergeCell ref="AF1023:AI1024"/>
    <mergeCell ref="J1024:AE1024"/>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AG1029:AH1029"/>
    <mergeCell ref="AJ1029:AQ1031"/>
    <mergeCell ref="D1029:AE1029"/>
    <mergeCell ref="B991:AA991"/>
    <mergeCell ref="AB988:AI988"/>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F975:L975"/>
    <mergeCell ref="M975:S975"/>
    <mergeCell ref="D985:Q985"/>
    <mergeCell ref="D986:Q986"/>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A947:AF947"/>
    <mergeCell ref="AA970:AG970"/>
    <mergeCell ref="D1000:AE1000"/>
    <mergeCell ref="M971:S971"/>
    <mergeCell ref="AK752:AO752"/>
    <mergeCell ref="O741:S741"/>
    <mergeCell ref="O731:S731"/>
    <mergeCell ref="W629:Y629"/>
    <mergeCell ref="M630:P630"/>
    <mergeCell ref="M631:P631"/>
    <mergeCell ref="M632:P632"/>
    <mergeCell ref="Q633:S633"/>
    <mergeCell ref="AC634:AE634"/>
    <mergeCell ref="Q631:S631"/>
    <mergeCell ref="T632:V632"/>
    <mergeCell ref="O746:S746"/>
    <mergeCell ref="H648:R648"/>
    <mergeCell ref="AO632:AS632"/>
    <mergeCell ref="M637:P637"/>
    <mergeCell ref="O738:S738"/>
    <mergeCell ref="T740:W740"/>
    <mergeCell ref="G741:J741"/>
    <mergeCell ref="T739:W739"/>
    <mergeCell ref="AK751:AO751"/>
    <mergeCell ref="X740:AB740"/>
    <mergeCell ref="AK636:AN636"/>
    <mergeCell ref="AK726:AO726"/>
    <mergeCell ref="AA656:AK656"/>
    <mergeCell ref="X724:AB724"/>
    <mergeCell ref="AC739:AG739"/>
    <mergeCell ref="X732:AB732"/>
    <mergeCell ref="K734:N734"/>
    <mergeCell ref="AK745:AO745"/>
    <mergeCell ref="AC729:AG729"/>
    <mergeCell ref="O728:S728"/>
    <mergeCell ref="W700:AK700"/>
    <mergeCell ref="T736:W736"/>
    <mergeCell ref="O733:S733"/>
    <mergeCell ref="K731:N731"/>
    <mergeCell ref="AC638:AE638"/>
    <mergeCell ref="O776:S776"/>
    <mergeCell ref="O769:S772"/>
    <mergeCell ref="B754:AH755"/>
    <mergeCell ref="W634:Y634"/>
    <mergeCell ref="X774:AB774"/>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X747:AB747"/>
    <mergeCell ref="AH752:AJ752"/>
    <mergeCell ref="AH751:AJ751"/>
    <mergeCell ref="G753:J753"/>
    <mergeCell ref="T746:W746"/>
    <mergeCell ref="K740:N740"/>
    <mergeCell ref="AC738:AG738"/>
    <mergeCell ref="AH753:AJ753"/>
    <mergeCell ref="AC776:AG776"/>
    <mergeCell ref="T735:W735"/>
    <mergeCell ref="O787:S787"/>
    <mergeCell ref="T776:W776"/>
    <mergeCell ref="T774:W774"/>
    <mergeCell ref="O774:S774"/>
    <mergeCell ref="C766:AR768"/>
    <mergeCell ref="AD759:AF759"/>
    <mergeCell ref="T750:W750"/>
    <mergeCell ref="AH749:AJ749"/>
    <mergeCell ref="AC777:AG777"/>
    <mergeCell ref="T792:W792"/>
    <mergeCell ref="O777:S777"/>
    <mergeCell ref="X788:AB788"/>
    <mergeCell ref="AK746:AO746"/>
    <mergeCell ref="K750:N750"/>
    <mergeCell ref="X748:AB748"/>
    <mergeCell ref="K749:N749"/>
    <mergeCell ref="O749:S749"/>
    <mergeCell ref="X751:AB751"/>
    <mergeCell ref="T791:W791"/>
    <mergeCell ref="T787:W787"/>
    <mergeCell ref="T788:W788"/>
    <mergeCell ref="T789:W789"/>
    <mergeCell ref="J788:N788"/>
    <mergeCell ref="O788:S788"/>
    <mergeCell ref="O775:S775"/>
    <mergeCell ref="T769:W772"/>
    <mergeCell ref="X775:AB775"/>
    <mergeCell ref="X776:AB776"/>
    <mergeCell ref="AC775:AG775"/>
    <mergeCell ref="AC783:AG786"/>
    <mergeCell ref="J779:K779"/>
    <mergeCell ref="J783:N786"/>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K733:N733"/>
    <mergeCell ref="O748:S748"/>
    <mergeCell ref="T775:W775"/>
    <mergeCell ref="C763:AR765"/>
    <mergeCell ref="C826:H826"/>
    <mergeCell ref="K752:N752"/>
    <mergeCell ref="AK750:AO750"/>
    <mergeCell ref="B752:F752"/>
    <mergeCell ref="O750:S750"/>
    <mergeCell ref="B753:F753"/>
    <mergeCell ref="O752:S752"/>
    <mergeCell ref="U823:X824"/>
    <mergeCell ref="G739:J739"/>
    <mergeCell ref="X741:AB741"/>
    <mergeCell ref="A1125:B11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U935:Z935"/>
    <mergeCell ref="AA923:AF923"/>
    <mergeCell ref="AB917:AE917"/>
    <mergeCell ref="AA922:AF922"/>
    <mergeCell ref="M958:S958"/>
    <mergeCell ref="AA972:AG972"/>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AB957:AK957"/>
    <mergeCell ref="U948:Z948"/>
    <mergeCell ref="AA944:AF944"/>
    <mergeCell ref="F946:H946"/>
    <mergeCell ref="AA967:AG967"/>
    <mergeCell ref="F929:T929"/>
    <mergeCell ref="AC887:AH887"/>
    <mergeCell ref="AE956:AK956"/>
    <mergeCell ref="M956:S956"/>
    <mergeCell ref="AE962:AK962"/>
    <mergeCell ref="M961:S961"/>
    <mergeCell ref="Y831:AB831"/>
    <mergeCell ref="W851:AC851"/>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I949:T949"/>
    <mergeCell ref="U938:Z938"/>
    <mergeCell ref="M955:S955"/>
    <mergeCell ref="U928:Z928"/>
    <mergeCell ref="U826:X826"/>
    <mergeCell ref="Y830:AB830"/>
    <mergeCell ref="U922:Z922"/>
    <mergeCell ref="AA924:AF924"/>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ET752:EX752"/>
    <mergeCell ref="EO751:ES751"/>
    <mergeCell ref="DU733:DY733"/>
    <mergeCell ref="DZ729:ED729"/>
    <mergeCell ref="ET727:EX727"/>
    <mergeCell ref="EO740:ES740"/>
    <mergeCell ref="DZ738:ED738"/>
    <mergeCell ref="EE752:EI752"/>
    <mergeCell ref="EO738:ES738"/>
    <mergeCell ref="EJ725:EN725"/>
    <mergeCell ref="DZ728:ED728"/>
    <mergeCell ref="EE724:EI724"/>
    <mergeCell ref="EE734:EI734"/>
    <mergeCell ref="DU731:DY731"/>
    <mergeCell ref="CZ752:DD752"/>
    <mergeCell ref="ET753:EX753"/>
    <mergeCell ref="K727:N727"/>
    <mergeCell ref="DU725:DY725"/>
    <mergeCell ref="DZ725:ED725"/>
    <mergeCell ref="ET731:EX731"/>
    <mergeCell ref="DO731:DS731"/>
    <mergeCell ref="DJ731:DN731"/>
    <mergeCell ref="DO727:DS727"/>
    <mergeCell ref="DO728:DS728"/>
    <mergeCell ref="DJ725:DN725"/>
    <mergeCell ref="DE725:DI725"/>
    <mergeCell ref="DE729:DI729"/>
    <mergeCell ref="CG735:CH735"/>
    <mergeCell ref="CI737:CJ737"/>
    <mergeCell ref="DE726:DI726"/>
    <mergeCell ref="CZ724:DD724"/>
    <mergeCell ref="CZ727:DD727"/>
    <mergeCell ref="ET724:EX724"/>
    <mergeCell ref="EO726:ES726"/>
    <mergeCell ref="ET726:EX726"/>
    <mergeCell ref="ET722:EX722"/>
    <mergeCell ref="ET720:EX720"/>
    <mergeCell ref="K730:N730"/>
    <mergeCell ref="EO728:ES728"/>
    <mergeCell ref="ET728:EX728"/>
    <mergeCell ref="T727:W727"/>
    <mergeCell ref="EO720:ES720"/>
    <mergeCell ref="DO730:DS730"/>
    <mergeCell ref="DJ729:DN729"/>
    <mergeCell ref="DE719:DI719"/>
    <mergeCell ref="CZ720:DD720"/>
    <mergeCell ref="CP721:CT721"/>
    <mergeCell ref="AK729:AO729"/>
    <mergeCell ref="DJ728:DN728"/>
    <mergeCell ref="DO729:DS729"/>
    <mergeCell ref="DZ726:ED726"/>
    <mergeCell ref="DU728:DY728"/>
    <mergeCell ref="DO725:DS725"/>
    <mergeCell ref="DJ723:DN723"/>
    <mergeCell ref="DJ724:DN724"/>
    <mergeCell ref="DO722:DS722"/>
    <mergeCell ref="AK722:AO722"/>
    <mergeCell ref="AH721:AJ721"/>
    <mergeCell ref="DO723:DS723"/>
    <mergeCell ref="DO724:DS724"/>
    <mergeCell ref="DJ721:DN721"/>
    <mergeCell ref="DO726:DS726"/>
    <mergeCell ref="DE724:DI724"/>
    <mergeCell ref="DJ719:DN719"/>
    <mergeCell ref="X725:AB725"/>
    <mergeCell ref="CP717:CT717"/>
    <mergeCell ref="AK720:AO720"/>
    <mergeCell ref="AE702:AF702"/>
    <mergeCell ref="AI663:AK663"/>
    <mergeCell ref="Z667:AK667"/>
    <mergeCell ref="DZ727:ED727"/>
    <mergeCell ref="EE727:EI727"/>
    <mergeCell ref="EE723:EI723"/>
    <mergeCell ref="DX644:EB644"/>
    <mergeCell ref="DX642:EB642"/>
    <mergeCell ref="CU721:CY721"/>
    <mergeCell ref="X721:AB721"/>
    <mergeCell ref="AG649:AH649"/>
    <mergeCell ref="DJ718:DN718"/>
    <mergeCell ref="CZ719:DD719"/>
    <mergeCell ref="Z631:AB631"/>
    <mergeCell ref="CZ718:DD718"/>
    <mergeCell ref="AC721:AG721"/>
    <mergeCell ref="AC722:AG722"/>
    <mergeCell ref="DO719:DS719"/>
    <mergeCell ref="CU719:CY719"/>
    <mergeCell ref="EE722:EI722"/>
    <mergeCell ref="AC719:AG719"/>
    <mergeCell ref="DU722:DY722"/>
    <mergeCell ref="DO721:DS721"/>
    <mergeCell ref="DE720:DI720"/>
    <mergeCell ref="EH659:EL659"/>
    <mergeCell ref="EC661:EG661"/>
    <mergeCell ref="EH661:EL661"/>
    <mergeCell ref="DX653:EB653"/>
    <mergeCell ref="EC653:EG653"/>
    <mergeCell ref="EH654:EL654"/>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Z629:AB629"/>
    <mergeCell ref="CU717:CY717"/>
    <mergeCell ref="AC635:AE635"/>
    <mergeCell ref="AO636:AS636"/>
    <mergeCell ref="DO717:DS717"/>
    <mergeCell ref="AG607:AH607"/>
    <mergeCell ref="AO624:AS626"/>
    <mergeCell ref="AG591:AH591"/>
    <mergeCell ref="Z632:AB632"/>
    <mergeCell ref="AO628:AS628"/>
    <mergeCell ref="AO641:AS641"/>
    <mergeCell ref="AI563:AL563"/>
    <mergeCell ref="Z563:AD563"/>
    <mergeCell ref="Z683:AK683"/>
    <mergeCell ref="AA688:AK688"/>
    <mergeCell ref="AO630:AS630"/>
    <mergeCell ref="AE693:AF693"/>
    <mergeCell ref="DX654:EB654"/>
    <mergeCell ref="AM561:AS561"/>
    <mergeCell ref="AC630:AE630"/>
    <mergeCell ref="Z671:AE671"/>
    <mergeCell ref="AF631:AJ631"/>
    <mergeCell ref="AK633:AN633"/>
    <mergeCell ref="AM556:AS556"/>
    <mergeCell ref="AH513:AK513"/>
    <mergeCell ref="AC531:AF531"/>
    <mergeCell ref="AC539:AF539"/>
    <mergeCell ref="Z636:AB636"/>
    <mergeCell ref="Z637:AB637"/>
    <mergeCell ref="Z638:AB638"/>
    <mergeCell ref="AO627:AS627"/>
    <mergeCell ref="DX668:EB668"/>
    <mergeCell ref="EC668:EG668"/>
    <mergeCell ref="DO718:DS718"/>
    <mergeCell ref="AK628:AN628"/>
    <mergeCell ref="AM564:AS564"/>
    <mergeCell ref="AI581:AK581"/>
    <mergeCell ref="Z601:AK601"/>
    <mergeCell ref="DE717:DI717"/>
    <mergeCell ref="CG718:CH718"/>
    <mergeCell ref="DZ718:ED718"/>
    <mergeCell ref="EE718:EI718"/>
    <mergeCell ref="AI589:AK589"/>
    <mergeCell ref="Z596:AK596"/>
    <mergeCell ref="AO633:AS633"/>
    <mergeCell ref="Z653:AK653"/>
    <mergeCell ref="AF633:AJ633"/>
    <mergeCell ref="DZ717:ED717"/>
    <mergeCell ref="Z645:AK645"/>
    <mergeCell ref="EC654:EG654"/>
    <mergeCell ref="AM558:AS558"/>
    <mergeCell ref="AM562:AS562"/>
    <mergeCell ref="Z572:AE572"/>
    <mergeCell ref="AI562:AL562"/>
    <mergeCell ref="Z589:AE589"/>
    <mergeCell ref="AO631:AS631"/>
    <mergeCell ref="CZ723:DD723"/>
    <mergeCell ref="CI723:CJ723"/>
    <mergeCell ref="AI687:AK687"/>
    <mergeCell ref="X728:AB728"/>
    <mergeCell ref="AO640:AS640"/>
    <mergeCell ref="W636:Y636"/>
    <mergeCell ref="CI717:CJ717"/>
    <mergeCell ref="AA680:AK680"/>
    <mergeCell ref="AG665:AH665"/>
    <mergeCell ref="Z654:AK654"/>
    <mergeCell ref="B641:AN641"/>
    <mergeCell ref="G643:R643"/>
    <mergeCell ref="T723:W723"/>
    <mergeCell ref="G667:R667"/>
    <mergeCell ref="AA598:AK598"/>
    <mergeCell ref="AK728:AO728"/>
    <mergeCell ref="CZ721:DD721"/>
    <mergeCell ref="AE564:AH564"/>
    <mergeCell ref="T638:V638"/>
    <mergeCell ref="AM566:AS566"/>
    <mergeCell ref="Q632:S632"/>
    <mergeCell ref="Q624:S626"/>
    <mergeCell ref="Z581:AE581"/>
    <mergeCell ref="Z586:AK586"/>
    <mergeCell ref="Z564:AD564"/>
    <mergeCell ref="Z565:AD565"/>
    <mergeCell ref="W469:Y469"/>
    <mergeCell ref="AH515:AK515"/>
    <mergeCell ref="AC516:AF516"/>
    <mergeCell ref="P589:R589"/>
    <mergeCell ref="Z588:AK588"/>
    <mergeCell ref="AC503:AF503"/>
    <mergeCell ref="AC513:AF513"/>
    <mergeCell ref="AC518:AF518"/>
    <mergeCell ref="AH504:AK504"/>
    <mergeCell ref="AH517:AK517"/>
    <mergeCell ref="L508:AB508"/>
    <mergeCell ref="Z558:AD558"/>
    <mergeCell ref="C563:L563"/>
    <mergeCell ref="AE565:AH565"/>
    <mergeCell ref="G587:R587"/>
    <mergeCell ref="G578:R578"/>
    <mergeCell ref="G572:L572"/>
    <mergeCell ref="M565:P565"/>
    <mergeCell ref="AH509:AK509"/>
    <mergeCell ref="T563:V563"/>
    <mergeCell ref="T555:V555"/>
    <mergeCell ref="W559:Y559"/>
    <mergeCell ref="G580:R580"/>
    <mergeCell ref="M559:P559"/>
    <mergeCell ref="H614:R614"/>
    <mergeCell ref="G613:L613"/>
    <mergeCell ref="Z577:AK577"/>
    <mergeCell ref="AF574:AK574"/>
    <mergeCell ref="Z585:AK585"/>
    <mergeCell ref="Z597:AE597"/>
    <mergeCell ref="AI613:AK613"/>
    <mergeCell ref="AA614:AK614"/>
    <mergeCell ref="AC624:AE626"/>
    <mergeCell ref="AA573:AK573"/>
    <mergeCell ref="G593:R593"/>
    <mergeCell ref="H582:R582"/>
    <mergeCell ref="Z579:AK579"/>
    <mergeCell ref="C564:L564"/>
    <mergeCell ref="M564:P564"/>
    <mergeCell ref="M562:P562"/>
    <mergeCell ref="M563:P563"/>
    <mergeCell ref="AI561:AL561"/>
    <mergeCell ref="Q564:S564"/>
    <mergeCell ref="C565:L565"/>
    <mergeCell ref="G601:R601"/>
    <mergeCell ref="Z604:AK604"/>
    <mergeCell ref="G579:R579"/>
    <mergeCell ref="G594:R594"/>
    <mergeCell ref="Z602:AK602"/>
    <mergeCell ref="Z610:AK610"/>
    <mergeCell ref="G605:L605"/>
    <mergeCell ref="H606:R606"/>
    <mergeCell ref="AI597:AK597"/>
    <mergeCell ref="AI605:AK605"/>
    <mergeCell ref="G604:R604"/>
    <mergeCell ref="AI647:AK647"/>
    <mergeCell ref="Z661:AK661"/>
    <mergeCell ref="W635:Y635"/>
    <mergeCell ref="AF629:AJ629"/>
    <mergeCell ref="Q634:S634"/>
    <mergeCell ref="H598:R598"/>
    <mergeCell ref="AG583:AH583"/>
    <mergeCell ref="G588:R588"/>
    <mergeCell ref="Z580:AK580"/>
    <mergeCell ref="Z578:AK578"/>
    <mergeCell ref="N615:O615"/>
    <mergeCell ref="M628:P628"/>
    <mergeCell ref="N607:O607"/>
    <mergeCell ref="C628:L628"/>
    <mergeCell ref="C560:L560"/>
    <mergeCell ref="Z560:AD560"/>
    <mergeCell ref="M560:P560"/>
    <mergeCell ref="Q563:S563"/>
    <mergeCell ref="AI565:AL565"/>
    <mergeCell ref="AE562:AH562"/>
    <mergeCell ref="Q562:S562"/>
    <mergeCell ref="G568:R568"/>
    <mergeCell ref="Q627:S627"/>
    <mergeCell ref="G577:R577"/>
    <mergeCell ref="M574:R574"/>
    <mergeCell ref="Z611:AK611"/>
    <mergeCell ref="W627:Y627"/>
    <mergeCell ref="T633:V633"/>
    <mergeCell ref="C634:L634"/>
    <mergeCell ref="M624:P626"/>
    <mergeCell ref="AC633:AE633"/>
    <mergeCell ref="W631:Y631"/>
    <mergeCell ref="H590:R590"/>
    <mergeCell ref="AH501:AK501"/>
    <mergeCell ref="G474:V474"/>
    <mergeCell ref="AH526:AK526"/>
    <mergeCell ref="M561:P561"/>
    <mergeCell ref="M633:P633"/>
    <mergeCell ref="Z605:AE605"/>
    <mergeCell ref="Z609:AK609"/>
    <mergeCell ref="AC632:AE632"/>
    <mergeCell ref="C629:L629"/>
    <mergeCell ref="T629:V629"/>
    <mergeCell ref="C632:L632"/>
    <mergeCell ref="AF628:AJ628"/>
    <mergeCell ref="N599:O599"/>
    <mergeCell ref="AA590:AK590"/>
    <mergeCell ref="Z644:AK644"/>
    <mergeCell ref="G589:L589"/>
    <mergeCell ref="G569:R569"/>
    <mergeCell ref="AE556:AH556"/>
    <mergeCell ref="AE559:AH559"/>
    <mergeCell ref="Q629:S629"/>
    <mergeCell ref="W558:Y558"/>
    <mergeCell ref="AE558:AH558"/>
    <mergeCell ref="C557:L557"/>
    <mergeCell ref="Z570:AK570"/>
    <mergeCell ref="T565:V565"/>
    <mergeCell ref="G581:L581"/>
    <mergeCell ref="AA606:AK606"/>
    <mergeCell ref="P605:R605"/>
    <mergeCell ref="Z612:AK612"/>
    <mergeCell ref="AC627:AE627"/>
    <mergeCell ref="AF624:AJ626"/>
    <mergeCell ref="C561:L561"/>
    <mergeCell ref="Q556:S556"/>
    <mergeCell ref="M636:P636"/>
    <mergeCell ref="AA664:AK664"/>
    <mergeCell ref="T635:V635"/>
    <mergeCell ref="T636:V636"/>
    <mergeCell ref="T637:V637"/>
    <mergeCell ref="W563:Y563"/>
    <mergeCell ref="Z595:AK595"/>
    <mergeCell ref="G603:R603"/>
    <mergeCell ref="P597:R597"/>
    <mergeCell ref="G597:L597"/>
    <mergeCell ref="G602:R602"/>
    <mergeCell ref="W564:Y564"/>
    <mergeCell ref="W565:Y565"/>
    <mergeCell ref="M554:P554"/>
    <mergeCell ref="W465:Y465"/>
    <mergeCell ref="Z635:AB635"/>
    <mergeCell ref="G609:R609"/>
    <mergeCell ref="G585:R585"/>
    <mergeCell ref="AG575:AH575"/>
    <mergeCell ref="Z568:AK568"/>
    <mergeCell ref="Z571:AK571"/>
    <mergeCell ref="AI564:AL564"/>
    <mergeCell ref="T561:V561"/>
    <mergeCell ref="Q630:S630"/>
    <mergeCell ref="Z651:AK651"/>
    <mergeCell ref="AK638:AN638"/>
    <mergeCell ref="AI559:AL559"/>
    <mergeCell ref="Q628:S628"/>
    <mergeCell ref="AF636:AJ636"/>
    <mergeCell ref="AF637:AJ637"/>
    <mergeCell ref="M627:P627"/>
    <mergeCell ref="M629:P629"/>
    <mergeCell ref="W624:Y626"/>
    <mergeCell ref="W628:Y628"/>
    <mergeCell ref="P663:R663"/>
    <mergeCell ref="AC628:AE628"/>
    <mergeCell ref="Q638:S638"/>
    <mergeCell ref="AG673:AH673"/>
    <mergeCell ref="G653:R653"/>
    <mergeCell ref="G670:R670"/>
    <mergeCell ref="Z669:AK669"/>
    <mergeCell ref="AI655:AK655"/>
    <mergeCell ref="G662:R662"/>
    <mergeCell ref="G654:R654"/>
    <mergeCell ref="Z655:AE655"/>
    <mergeCell ref="N673:O673"/>
    <mergeCell ref="C631:L631"/>
    <mergeCell ref="G655:L655"/>
    <mergeCell ref="H656:R656"/>
    <mergeCell ref="W633:Y633"/>
    <mergeCell ref="Z630:AB630"/>
    <mergeCell ref="T630:V630"/>
    <mergeCell ref="T631:V631"/>
    <mergeCell ref="M634:P634"/>
    <mergeCell ref="AK624:AN626"/>
    <mergeCell ref="AC636:AE636"/>
    <mergeCell ref="Z647:AE647"/>
    <mergeCell ref="AA672:AK672"/>
    <mergeCell ref="G645:R645"/>
    <mergeCell ref="G659:R659"/>
    <mergeCell ref="M638:P638"/>
    <mergeCell ref="W638:Y638"/>
    <mergeCell ref="CP731:CT731"/>
    <mergeCell ref="CI729:CJ729"/>
    <mergeCell ref="CP729:CT729"/>
    <mergeCell ref="CP726:CT726"/>
    <mergeCell ref="B718:F718"/>
    <mergeCell ref="B721:F721"/>
    <mergeCell ref="AH726:AJ726"/>
    <mergeCell ref="AG681:AH681"/>
    <mergeCell ref="CP719:CT719"/>
    <mergeCell ref="Z679:AE679"/>
    <mergeCell ref="Z670:AK670"/>
    <mergeCell ref="AE699:AI699"/>
    <mergeCell ref="AK719:AO719"/>
    <mergeCell ref="CM717:CN717"/>
    <mergeCell ref="CM719:CN719"/>
    <mergeCell ref="O714:S717"/>
    <mergeCell ref="DE730:DI730"/>
    <mergeCell ref="CM730:CN730"/>
    <mergeCell ref="CK727:CL727"/>
    <mergeCell ref="G677:R677"/>
    <mergeCell ref="Z678:AK678"/>
    <mergeCell ref="T721:W721"/>
    <mergeCell ref="AE695:AI695"/>
    <mergeCell ref="CM721:CN721"/>
    <mergeCell ref="W703:AK703"/>
    <mergeCell ref="AC720:AG720"/>
    <mergeCell ref="AK721:AO721"/>
    <mergeCell ref="Z677:AK677"/>
    <mergeCell ref="Z684:AK684"/>
    <mergeCell ref="G675:R675"/>
    <mergeCell ref="Z687:AE687"/>
    <mergeCell ref="T718:W718"/>
    <mergeCell ref="CU722:CY722"/>
    <mergeCell ref="CZ722:DD722"/>
    <mergeCell ref="CG725:CH725"/>
    <mergeCell ref="CK725:CL725"/>
    <mergeCell ref="CP723:CT723"/>
    <mergeCell ref="CU727:CY727"/>
    <mergeCell ref="CK724:CL724"/>
    <mergeCell ref="CK736:CL736"/>
    <mergeCell ref="CU736:CY736"/>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DE731:DI731"/>
    <mergeCell ref="DE739:DI739"/>
    <mergeCell ref="CP728:CT728"/>
    <mergeCell ref="CU728:CY728"/>
    <mergeCell ref="CK732:CL732"/>
    <mergeCell ref="DE734:DI734"/>
    <mergeCell ref="CZ729:DD729"/>
    <mergeCell ref="CI734:CJ734"/>
    <mergeCell ref="CM739:CN739"/>
    <mergeCell ref="DE735:DI735"/>
    <mergeCell ref="DE738:DI738"/>
    <mergeCell ref="CM733:CN733"/>
    <mergeCell ref="CI733:CJ733"/>
    <mergeCell ref="CP737:CT737"/>
    <mergeCell ref="CZ734:DD734"/>
    <mergeCell ref="CI735:CJ735"/>
    <mergeCell ref="DE728:DI728"/>
    <mergeCell ref="CU729:CY729"/>
    <mergeCell ref="CP733:CT733"/>
    <mergeCell ref="CP732:CT732"/>
    <mergeCell ref="CP751:CT751"/>
    <mergeCell ref="CM751:CN751"/>
    <mergeCell ref="CZ725:DD725"/>
    <mergeCell ref="DE722:DI722"/>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G644:R644"/>
    <mergeCell ref="P655:R655"/>
    <mergeCell ref="K737:N737"/>
    <mergeCell ref="J704:X704"/>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I739:CJ739"/>
    <mergeCell ref="G669:R669"/>
    <mergeCell ref="CM741:CN741"/>
    <mergeCell ref="CM729:CN729"/>
    <mergeCell ref="CM723:CN723"/>
    <mergeCell ref="CM725:CN725"/>
    <mergeCell ref="CK730:CL730"/>
    <mergeCell ref="P647:R647"/>
    <mergeCell ref="O729:S729"/>
    <mergeCell ref="AC731:AG731"/>
    <mergeCell ref="AH735:AJ735"/>
    <mergeCell ref="X734:AB734"/>
    <mergeCell ref="K726:N726"/>
    <mergeCell ref="G726:J726"/>
    <mergeCell ref="O726:S726"/>
    <mergeCell ref="G727:J727"/>
    <mergeCell ref="X727:AB727"/>
    <mergeCell ref="G728:J728"/>
    <mergeCell ref="O737:S737"/>
    <mergeCell ref="AE696:AI696"/>
    <mergeCell ref="E707:AK707"/>
    <mergeCell ref="W706:AK706"/>
    <mergeCell ref="CG742:CH742"/>
    <mergeCell ref="CG743:CH743"/>
    <mergeCell ref="CK741:CL741"/>
    <mergeCell ref="CG737:CH737"/>
    <mergeCell ref="CG733:CH733"/>
    <mergeCell ref="CG719:CH719"/>
    <mergeCell ref="CI721:CJ721"/>
    <mergeCell ref="CK735:CL735"/>
    <mergeCell ref="AH720:AJ720"/>
    <mergeCell ref="B741:F741"/>
    <mergeCell ref="B729:F729"/>
    <mergeCell ref="AH718:AJ718"/>
    <mergeCell ref="AC718:AG718"/>
    <mergeCell ref="CG739:CH739"/>
    <mergeCell ref="CG740:CH740"/>
    <mergeCell ref="CK737:CL737"/>
    <mergeCell ref="CG732:CH732"/>
    <mergeCell ref="AH727:AJ727"/>
    <mergeCell ref="AA928:AF928"/>
    <mergeCell ref="O730:S730"/>
    <mergeCell ref="AA936:AF936"/>
    <mergeCell ref="AC885:AH885"/>
    <mergeCell ref="W861:AC861"/>
    <mergeCell ref="C895:AB895"/>
    <mergeCell ref="T742:W742"/>
    <mergeCell ref="X745:AB745"/>
    <mergeCell ref="X746:AB746"/>
    <mergeCell ref="F926:T926"/>
    <mergeCell ref="F927:T927"/>
    <mergeCell ref="F928:T928"/>
    <mergeCell ref="U926:Z926"/>
    <mergeCell ref="AA926:AF926"/>
    <mergeCell ref="U927:Z927"/>
    <mergeCell ref="J774:N774"/>
    <mergeCell ref="O756:R756"/>
    <mergeCell ref="AG756:AJ756"/>
    <mergeCell ref="O783:S786"/>
    <mergeCell ref="M825:P825"/>
    <mergeCell ref="K747:N747"/>
    <mergeCell ref="AH750:AJ750"/>
    <mergeCell ref="K746:N746"/>
    <mergeCell ref="T751:W751"/>
    <mergeCell ref="K748:N748"/>
    <mergeCell ref="T744:W744"/>
    <mergeCell ref="K745:N745"/>
    <mergeCell ref="J775:N775"/>
    <mergeCell ref="Y827:AB827"/>
    <mergeCell ref="AG827:AJ827"/>
    <mergeCell ref="U920:Z920"/>
    <mergeCell ref="AC792:AG792"/>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B736:F736"/>
    <mergeCell ref="U941:Z941"/>
    <mergeCell ref="AA927:AF927"/>
    <mergeCell ref="AC890:AH890"/>
    <mergeCell ref="Q830:T830"/>
    <mergeCell ref="AG831:AJ831"/>
    <mergeCell ref="X793:AB793"/>
    <mergeCell ref="T783:W786"/>
    <mergeCell ref="X773:AB773"/>
    <mergeCell ref="O789:S789"/>
    <mergeCell ref="M829:P829"/>
    <mergeCell ref="Z815:AE815"/>
    <mergeCell ref="Z808:AE808"/>
    <mergeCell ref="AA920:AF920"/>
    <mergeCell ref="AA919:AF919"/>
    <mergeCell ref="U925:Z925"/>
    <mergeCell ref="BD904:BE904"/>
    <mergeCell ref="BD906:BF906"/>
    <mergeCell ref="BD905:BF905"/>
    <mergeCell ref="G683:R683"/>
    <mergeCell ref="N681:O681"/>
    <mergeCell ref="X719:AB719"/>
    <mergeCell ref="G686:R686"/>
    <mergeCell ref="N689:O689"/>
    <mergeCell ref="G678:R678"/>
    <mergeCell ref="P679:R679"/>
    <mergeCell ref="G661:R661"/>
    <mergeCell ref="B720:F720"/>
    <mergeCell ref="B722:F722"/>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Q827:T827"/>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M874:V874"/>
    <mergeCell ref="W874:AC874"/>
    <mergeCell ref="AZ851:BA851"/>
    <mergeCell ref="W843:AC843"/>
    <mergeCell ref="M828:P828"/>
    <mergeCell ref="X794:AB794"/>
    <mergeCell ref="J791:N791"/>
    <mergeCell ref="F944:T944"/>
    <mergeCell ref="U944:Z944"/>
    <mergeCell ref="F940:T940"/>
    <mergeCell ref="U939:Z939"/>
    <mergeCell ref="U940:Z940"/>
    <mergeCell ref="AA938:AF938"/>
    <mergeCell ref="U923:Z923"/>
    <mergeCell ref="AA931:AF931"/>
    <mergeCell ref="U932:Z932"/>
    <mergeCell ref="AA932:AF932"/>
    <mergeCell ref="F938:T938"/>
    <mergeCell ref="C832:L832"/>
    <mergeCell ref="W857:AC857"/>
    <mergeCell ref="U943:Z943"/>
    <mergeCell ref="AA943:AF943"/>
    <mergeCell ref="A910:AT911"/>
    <mergeCell ref="F936:T936"/>
    <mergeCell ref="C828:H828"/>
    <mergeCell ref="Q829:T829"/>
    <mergeCell ref="W855:AC855"/>
    <mergeCell ref="W852:AC852"/>
    <mergeCell ref="O795:S795"/>
    <mergeCell ref="W854:AC854"/>
    <mergeCell ref="C837:AJ837"/>
    <mergeCell ref="F930:T930"/>
    <mergeCell ref="F931:T931"/>
    <mergeCell ref="U936:Z936"/>
    <mergeCell ref="AC791:AG791"/>
    <mergeCell ref="O797:S797"/>
    <mergeCell ref="Z807:AE807"/>
    <mergeCell ref="O794:S794"/>
    <mergeCell ref="Q823:T824"/>
    <mergeCell ref="J789:N789"/>
    <mergeCell ref="X795:AB795"/>
    <mergeCell ref="T794:W794"/>
    <mergeCell ref="Z809:AE809"/>
    <mergeCell ref="O791:S791"/>
    <mergeCell ref="Z813:AE813"/>
    <mergeCell ref="C798:AN799"/>
    <mergeCell ref="J793:N793"/>
    <mergeCell ref="T790:W790"/>
    <mergeCell ref="T793:W793"/>
    <mergeCell ref="J792:N792"/>
    <mergeCell ref="Z806:AE806"/>
    <mergeCell ref="X791:AB791"/>
    <mergeCell ref="AC793:AG793"/>
    <mergeCell ref="X792:AB792"/>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X769:AB772"/>
    <mergeCell ref="O793:S793"/>
    <mergeCell ref="J790:N790"/>
    <mergeCell ref="AC789:AG789"/>
    <mergeCell ref="AC790:AG790"/>
    <mergeCell ref="Z818:AE818"/>
    <mergeCell ref="T795:W795"/>
    <mergeCell ref="U828:X828"/>
    <mergeCell ref="AG828:AJ828"/>
    <mergeCell ref="J787:N787"/>
    <mergeCell ref="T796:W796"/>
    <mergeCell ref="M827:P827"/>
    <mergeCell ref="J797:N797"/>
    <mergeCell ref="J795:N795"/>
    <mergeCell ref="AC774:AG774"/>
    <mergeCell ref="X777:AB777"/>
    <mergeCell ref="X723:AB723"/>
    <mergeCell ref="T719:W719"/>
    <mergeCell ref="T725:W725"/>
    <mergeCell ref="T729:W729"/>
    <mergeCell ref="J794:N794"/>
    <mergeCell ref="G752:J752"/>
    <mergeCell ref="Y801:AC801"/>
    <mergeCell ref="Y800:AC800"/>
    <mergeCell ref="T741:W741"/>
    <mergeCell ref="AC796:AG796"/>
    <mergeCell ref="AC788:AG788"/>
    <mergeCell ref="Q826:T826"/>
    <mergeCell ref="Y823:AB824"/>
    <mergeCell ref="X749:AB749"/>
    <mergeCell ref="AC750:AG750"/>
    <mergeCell ref="AC751:AG751"/>
    <mergeCell ref="O745:S745"/>
    <mergeCell ref="T748:W748"/>
    <mergeCell ref="O735:S735"/>
    <mergeCell ref="T738:W738"/>
    <mergeCell ref="C825:H825"/>
    <mergeCell ref="M823:P824"/>
    <mergeCell ref="Z817:AE817"/>
    <mergeCell ref="B743:F743"/>
    <mergeCell ref="AC752:AG752"/>
    <mergeCell ref="O747:S747"/>
    <mergeCell ref="T747:W747"/>
    <mergeCell ref="AC748:AG748"/>
    <mergeCell ref="J705:O705"/>
    <mergeCell ref="C637:L637"/>
    <mergeCell ref="G679:L679"/>
    <mergeCell ref="Z662:AK662"/>
    <mergeCell ref="G651:R651"/>
    <mergeCell ref="G652:R652"/>
    <mergeCell ref="G610:R610"/>
    <mergeCell ref="A617:AT618"/>
    <mergeCell ref="B624:L626"/>
    <mergeCell ref="Z613:AE613"/>
    <mergeCell ref="AC629:AE629"/>
    <mergeCell ref="P687:R687"/>
    <mergeCell ref="R705:T705"/>
    <mergeCell ref="B733:F733"/>
    <mergeCell ref="B731:F731"/>
    <mergeCell ref="B730:F730"/>
    <mergeCell ref="B724:F724"/>
    <mergeCell ref="B727:F727"/>
    <mergeCell ref="H680:R680"/>
    <mergeCell ref="Z668:AK668"/>
    <mergeCell ref="G676:R676"/>
    <mergeCell ref="G687:L687"/>
    <mergeCell ref="T722:W722"/>
    <mergeCell ref="K729:N729"/>
    <mergeCell ref="AH739:AJ739"/>
    <mergeCell ref="AH740:AJ740"/>
    <mergeCell ref="G671:L671"/>
    <mergeCell ref="H672:R672"/>
    <mergeCell ref="G684:R684"/>
    <mergeCell ref="Q492:AK492"/>
    <mergeCell ref="T560:V560"/>
    <mergeCell ref="G570:R570"/>
    <mergeCell ref="Z561:AD561"/>
    <mergeCell ref="G586:R586"/>
    <mergeCell ref="W560:Y560"/>
    <mergeCell ref="P572:R572"/>
    <mergeCell ref="Z603:AK603"/>
    <mergeCell ref="AG599:AH599"/>
    <mergeCell ref="G595:R595"/>
    <mergeCell ref="G596:R596"/>
    <mergeCell ref="Z594:AK594"/>
    <mergeCell ref="N583:O583"/>
    <mergeCell ref="AI560:AL560"/>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Q489:R490"/>
    <mergeCell ref="T558:V558"/>
    <mergeCell ref="AI556:AL556"/>
    <mergeCell ref="T557:V557"/>
    <mergeCell ref="Q389:U389"/>
    <mergeCell ref="AJ357:AK357"/>
    <mergeCell ref="D444:AF444"/>
    <mergeCell ref="M358:N358"/>
    <mergeCell ref="AH519:AK519"/>
    <mergeCell ref="AH536:AK536"/>
    <mergeCell ref="AG448:AJ448"/>
    <mergeCell ref="AH528:AK528"/>
    <mergeCell ref="W554:Y554"/>
    <mergeCell ref="W555:Y555"/>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S489:AK490"/>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AH505:AK505"/>
    <mergeCell ref="P424:Q424"/>
    <mergeCell ref="AC521:AF521"/>
    <mergeCell ref="AH527:AK527"/>
    <mergeCell ref="AC517:AF517"/>
    <mergeCell ref="D473:V473"/>
    <mergeCell ref="AC504:AF504"/>
    <mergeCell ref="D470:V470"/>
    <mergeCell ref="D438:AF438"/>
    <mergeCell ref="AC456:AF456"/>
    <mergeCell ref="D448:AF448"/>
    <mergeCell ref="AG445:AJ445"/>
    <mergeCell ref="B501:H502"/>
    <mergeCell ref="O523:AA523"/>
    <mergeCell ref="M551:P553"/>
    <mergeCell ref="D468:V468"/>
    <mergeCell ref="AC512:AF512"/>
    <mergeCell ref="B489:P490"/>
    <mergeCell ref="AC506:AF506"/>
    <mergeCell ref="AA319:AK319"/>
    <mergeCell ref="AA291:AF291"/>
    <mergeCell ref="AI291:AK291"/>
    <mergeCell ref="H314:R314"/>
    <mergeCell ref="H316:M316"/>
    <mergeCell ref="AA322:AK322"/>
    <mergeCell ref="H292:M292"/>
    <mergeCell ref="H309:R309"/>
    <mergeCell ref="O529:AA529"/>
    <mergeCell ref="AH533:AK533"/>
    <mergeCell ref="M356:N356"/>
    <mergeCell ref="B520:H542"/>
    <mergeCell ref="Z432:AA432"/>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P339:R339"/>
    <mergeCell ref="AA341:AK341"/>
    <mergeCell ref="E368:AH369"/>
    <mergeCell ref="Q365:AG365"/>
    <mergeCell ref="H340:M340"/>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298:AK298"/>
    <mergeCell ref="AA292:AF292"/>
    <mergeCell ref="H313:R313"/>
    <mergeCell ref="M263:R263"/>
    <mergeCell ref="M265:T265"/>
    <mergeCell ref="AA314:AK314"/>
    <mergeCell ref="AA313:AK313"/>
    <mergeCell ref="H319:R319"/>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AC370:AF370"/>
    <mergeCell ref="AG438:AJ438"/>
    <mergeCell ref="AG441:AJ441"/>
    <mergeCell ref="S402:U402"/>
    <mergeCell ref="AA339:AF339"/>
    <mergeCell ref="R411:S411"/>
    <mergeCell ref="Z434:AA434"/>
    <mergeCell ref="P421:R421"/>
    <mergeCell ref="V381:W381"/>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C501:AF501"/>
    <mergeCell ref="Q393:U393"/>
    <mergeCell ref="AG380:AH380"/>
    <mergeCell ref="M355:N355"/>
    <mergeCell ref="D439:AF439"/>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558:L558"/>
    <mergeCell ref="AC507:AF507"/>
    <mergeCell ref="AE402:AJ402"/>
    <mergeCell ref="AC385:AJ38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T720:W720"/>
    <mergeCell ref="K714:N717"/>
    <mergeCell ref="C635:L635"/>
    <mergeCell ref="X750:AB750"/>
    <mergeCell ref="AC749:AG749"/>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AC536:AF536"/>
    <mergeCell ref="AC542:AF542"/>
    <mergeCell ref="AH535:AK535"/>
    <mergeCell ref="AC532:AF532"/>
    <mergeCell ref="AK747:AO747"/>
    <mergeCell ref="CK752:CL752"/>
    <mergeCell ref="CP747:CT747"/>
    <mergeCell ref="CG748:CH748"/>
    <mergeCell ref="AI555:AL555"/>
    <mergeCell ref="AK748:AO748"/>
    <mergeCell ref="T749:W749"/>
    <mergeCell ref="CK746:CL746"/>
    <mergeCell ref="CI719:CJ719"/>
    <mergeCell ref="CM746:CN746"/>
    <mergeCell ref="CP734:CT734"/>
    <mergeCell ref="G571:R571"/>
    <mergeCell ref="Q559:S559"/>
    <mergeCell ref="C627:L627"/>
    <mergeCell ref="P581:R581"/>
    <mergeCell ref="N591:O591"/>
    <mergeCell ref="Q560:S560"/>
    <mergeCell ref="Q565:S565"/>
    <mergeCell ref="Q561:S561"/>
    <mergeCell ref="C562:L562"/>
    <mergeCell ref="C630:L630"/>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AG395:AJ39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AC538:AF538"/>
    <mergeCell ref="Z554:AD554"/>
    <mergeCell ref="AH531:AK531"/>
    <mergeCell ref="AH540:AK540"/>
    <mergeCell ref="AC515:AF515"/>
    <mergeCell ref="AC514:AF514"/>
    <mergeCell ref="AH538:AK538"/>
    <mergeCell ref="M558:P558"/>
    <mergeCell ref="W556:Y556"/>
    <mergeCell ref="W561:Y561"/>
    <mergeCell ref="W562:Y562"/>
    <mergeCell ref="T559:V559"/>
    <mergeCell ref="Z569:AK569"/>
    <mergeCell ref="AE561:AH561"/>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M495:P495"/>
    <mergeCell ref="O520:AA520"/>
    <mergeCell ref="AE555:AH555"/>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DJ733:DN733"/>
    <mergeCell ref="D472:V472"/>
    <mergeCell ref="W472:Y472"/>
    <mergeCell ref="AE551:AH553"/>
    <mergeCell ref="AI551:AL553"/>
    <mergeCell ref="AH510:AK510"/>
    <mergeCell ref="AA582:AK582"/>
    <mergeCell ref="DE746:DI746"/>
    <mergeCell ref="C559:L559"/>
    <mergeCell ref="Z559:AD559"/>
    <mergeCell ref="Z562:AD562"/>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CZ732:DD73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U741:DY741"/>
    <mergeCell ref="DZ741:ED741"/>
    <mergeCell ref="DJ747:DN747"/>
    <mergeCell ref="DO747:DS747"/>
    <mergeCell ref="CP748:CT748"/>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CU751:CY75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Q488:AK488"/>
    <mergeCell ref="Q487:AK487"/>
    <mergeCell ref="Q486:AK486"/>
    <mergeCell ref="G721:J721"/>
    <mergeCell ref="G722:J722"/>
    <mergeCell ref="O719:S719"/>
    <mergeCell ref="O723:S723"/>
    <mergeCell ref="O724:S724"/>
    <mergeCell ref="G724:J724"/>
    <mergeCell ref="G720:J720"/>
    <mergeCell ref="O718:S718"/>
    <mergeCell ref="K718:N718"/>
    <mergeCell ref="G718:J718"/>
    <mergeCell ref="K724:N724"/>
    <mergeCell ref="K720:N720"/>
    <mergeCell ref="K725:N725"/>
    <mergeCell ref="O722:S722"/>
    <mergeCell ref="G719:J719"/>
    <mergeCell ref="G725:J725"/>
    <mergeCell ref="O720:S720"/>
    <mergeCell ref="K719:N719"/>
    <mergeCell ref="O721:S721"/>
    <mergeCell ref="K722:N722"/>
    <mergeCell ref="K723:N723"/>
    <mergeCell ref="K721:N721"/>
    <mergeCell ref="G723:J723"/>
    <mergeCell ref="O725:S725"/>
    <mergeCell ref="H573:R573"/>
    <mergeCell ref="B566:AL566"/>
    <mergeCell ref="AE560:AH560"/>
    <mergeCell ref="N575:O575"/>
    <mergeCell ref="Z551:AD553"/>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selection activeCell="E6" sqref="E6"/>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548</v>
      </c>
      <c r="B1" s="125"/>
      <c r="C1" s="125"/>
      <c r="D1" s="125"/>
      <c r="E1" s="126"/>
      <c r="F1" s="1869" t="s">
        <v>620</v>
      </c>
      <c r="G1" s="1870"/>
      <c r="H1" s="1870"/>
      <c r="I1" s="1870"/>
      <c r="J1" s="1870"/>
      <c r="K1" s="1870"/>
      <c r="L1" s="1870"/>
      <c r="M1" s="1870"/>
      <c r="N1" s="1870"/>
      <c r="O1" s="1870"/>
      <c r="P1" s="1870"/>
      <c r="Q1" s="1870"/>
      <c r="R1" s="1871"/>
      <c r="S1" s="112"/>
      <c r="T1" s="111"/>
      <c r="U1" s="113"/>
    </row>
    <row r="2" spans="1:21" s="138" customFormat="1" ht="71.25" customHeight="1">
      <c r="A2" s="137"/>
      <c r="B2" s="138" t="s">
        <v>23</v>
      </c>
      <c r="C2" s="138" t="s">
        <v>373</v>
      </c>
      <c r="D2" s="138" t="s">
        <v>372</v>
      </c>
      <c r="E2" s="138" t="s">
        <v>24</v>
      </c>
      <c r="F2" s="139" t="str">
        <f>Application!B627&amp;Application!C627</f>
        <v>1)Citibank, N.A.</v>
      </c>
      <c r="G2" s="139" t="str">
        <f>Application!B628&amp;Application!C628</f>
        <v>2)LIHTC Advisors, LLC</v>
      </c>
      <c r="H2" s="139" t="str">
        <f>Application!B629&amp;Application!C629</f>
        <v>3)</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8500000</v>
      </c>
      <c r="C4" s="147">
        <v>8500000</v>
      </c>
      <c r="D4" s="147"/>
      <c r="E4" s="147">
        <v>8500000</v>
      </c>
      <c r="F4" s="147"/>
      <c r="G4" s="147"/>
      <c r="H4" s="147"/>
      <c r="I4" s="147"/>
      <c r="J4" s="147"/>
      <c r="K4" s="147"/>
      <c r="L4" s="147"/>
      <c r="M4" s="147"/>
      <c r="N4" s="147"/>
      <c r="O4" s="147"/>
      <c r="P4" s="147"/>
      <c r="Q4" s="147"/>
      <c r="R4" s="516">
        <f>SUM(E4:Q4)</f>
        <v>8500000</v>
      </c>
      <c r="S4" s="148"/>
      <c r="T4" s="148"/>
      <c r="U4" s="143"/>
    </row>
    <row r="5" spans="1:21" s="144" customFormat="1">
      <c r="A5" s="145" t="s">
        <v>28</v>
      </c>
      <c r="B5" s="146">
        <f>SUM(C5+D5)</f>
        <v>150000</v>
      </c>
      <c r="C5" s="147">
        <v>150000</v>
      </c>
      <c r="D5" s="147"/>
      <c r="E5" s="147">
        <v>150000</v>
      </c>
      <c r="F5" s="147"/>
      <c r="G5" s="147"/>
      <c r="H5" s="147"/>
      <c r="I5" s="147"/>
      <c r="J5" s="147"/>
      <c r="K5" s="147"/>
      <c r="L5" s="147"/>
      <c r="M5" s="147"/>
      <c r="N5" s="147"/>
      <c r="O5" s="147"/>
      <c r="P5" s="147"/>
      <c r="Q5" s="147"/>
      <c r="R5" s="516">
        <f>SUM(E5:Q5)</f>
        <v>150000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592</v>
      </c>
      <c r="B8" s="146">
        <f>SUM(C8:D8)</f>
        <v>8650000</v>
      </c>
      <c r="C8" s="146">
        <f t="shared" ref="C8:Q8" si="0">SUM(C4:C7)</f>
        <v>8650000</v>
      </c>
      <c r="D8" s="146">
        <f t="shared" si="0"/>
        <v>0</v>
      </c>
      <c r="E8" s="146">
        <f t="shared" si="0"/>
        <v>8650000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8650000</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8650000</v>
      </c>
      <c r="C12" s="146">
        <f t="shared" si="2"/>
        <v>8650000</v>
      </c>
      <c r="D12" s="146">
        <f t="shared" si="2"/>
        <v>0</v>
      </c>
      <c r="E12" s="146">
        <f t="shared" si="2"/>
        <v>8650000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8650000</v>
      </c>
      <c r="S12" s="148"/>
      <c r="T12" s="148"/>
      <c r="U12" s="143"/>
    </row>
    <row r="13" spans="1:21" s="144" customFormat="1">
      <c r="A13" s="287" t="s">
        <v>901</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1640</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4117000</v>
      </c>
      <c r="C29" s="147">
        <v>4117000</v>
      </c>
      <c r="D29" s="147"/>
      <c r="E29" s="147">
        <v>4117000</v>
      </c>
      <c r="F29" s="147"/>
      <c r="G29" s="147"/>
      <c r="H29" s="147"/>
      <c r="I29" s="147"/>
      <c r="J29" s="147"/>
      <c r="K29" s="147"/>
      <c r="L29" s="147"/>
      <c r="M29" s="147"/>
      <c r="N29" s="147"/>
      <c r="O29" s="147"/>
      <c r="P29" s="147"/>
      <c r="Q29" s="147"/>
      <c r="R29" s="516">
        <f t="shared" ref="R29:R37" si="7">SUM(E29:Q29)</f>
        <v>4117000</v>
      </c>
      <c r="S29" s="147">
        <v>4117000</v>
      </c>
      <c r="T29" s="147"/>
      <c r="U29" s="143"/>
    </row>
    <row r="30" spans="1:21" s="144" customFormat="1">
      <c r="A30" s="145" t="s">
        <v>598</v>
      </c>
      <c r="B30" s="146">
        <f t="shared" si="6"/>
        <v>27971374</v>
      </c>
      <c r="C30" s="147">
        <v>27971374</v>
      </c>
      <c r="D30" s="147"/>
      <c r="E30" s="147">
        <v>2956530</v>
      </c>
      <c r="F30" s="147">
        <v>25014844</v>
      </c>
      <c r="G30" s="147"/>
      <c r="H30" s="147"/>
      <c r="I30" s="147"/>
      <c r="J30" s="147"/>
      <c r="K30" s="147"/>
      <c r="L30" s="147"/>
      <c r="M30" s="147"/>
      <c r="N30" s="147"/>
      <c r="O30" s="147"/>
      <c r="P30" s="147"/>
      <c r="Q30" s="147"/>
      <c r="R30" s="516">
        <f t="shared" si="7"/>
        <v>27971374</v>
      </c>
      <c r="S30" s="147">
        <v>27971374</v>
      </c>
      <c r="T30" s="147"/>
      <c r="U30" s="143"/>
    </row>
    <row r="31" spans="1:21" s="144" customFormat="1">
      <c r="A31" s="145" t="s">
        <v>599</v>
      </c>
      <c r="B31" s="146">
        <f t="shared" si="6"/>
        <v>1604419</v>
      </c>
      <c r="C31" s="147">
        <v>1604419</v>
      </c>
      <c r="D31" s="147"/>
      <c r="E31" s="147">
        <v>1604419</v>
      </c>
      <c r="F31" s="147"/>
      <c r="G31" s="147"/>
      <c r="H31" s="147"/>
      <c r="I31" s="147"/>
      <c r="J31" s="147"/>
      <c r="K31" s="147"/>
      <c r="L31" s="147"/>
      <c r="M31" s="147"/>
      <c r="N31" s="147"/>
      <c r="O31" s="147"/>
      <c r="P31" s="147"/>
      <c r="Q31" s="147"/>
      <c r="R31" s="516">
        <f t="shared" si="7"/>
        <v>1604419</v>
      </c>
      <c r="S31" s="147">
        <v>1604419</v>
      </c>
      <c r="T31" s="147"/>
      <c r="U31" s="143"/>
    </row>
    <row r="32" spans="1:21" s="144" customFormat="1">
      <c r="A32" s="145" t="s">
        <v>137</v>
      </c>
      <c r="B32" s="146">
        <f t="shared" si="6"/>
        <v>641767</v>
      </c>
      <c r="C32" s="147">
        <v>641767</v>
      </c>
      <c r="D32" s="147"/>
      <c r="E32" s="147">
        <v>641767</v>
      </c>
      <c r="F32" s="147"/>
      <c r="G32" s="147"/>
      <c r="H32" s="147"/>
      <c r="I32" s="147"/>
      <c r="J32" s="147"/>
      <c r="K32" s="147"/>
      <c r="L32" s="147"/>
      <c r="M32" s="147"/>
      <c r="N32" s="147"/>
      <c r="O32" s="147"/>
      <c r="P32" s="147"/>
      <c r="Q32" s="147"/>
      <c r="R32" s="516">
        <f t="shared" si="7"/>
        <v>641767</v>
      </c>
      <c r="S32" s="147">
        <v>641767</v>
      </c>
      <c r="T32" s="147"/>
      <c r="U32" s="143"/>
    </row>
    <row r="33" spans="1:21" s="144" customFormat="1">
      <c r="A33" s="145" t="s">
        <v>138</v>
      </c>
      <c r="B33" s="146">
        <f t="shared" si="6"/>
        <v>1925302</v>
      </c>
      <c r="C33" s="147">
        <v>1925302</v>
      </c>
      <c r="D33" s="147"/>
      <c r="E33" s="147">
        <v>1925302</v>
      </c>
      <c r="F33" s="147"/>
      <c r="G33" s="147"/>
      <c r="H33" s="147"/>
      <c r="I33" s="147"/>
      <c r="J33" s="147"/>
      <c r="K33" s="147"/>
      <c r="L33" s="147"/>
      <c r="M33" s="147"/>
      <c r="N33" s="147"/>
      <c r="O33" s="147"/>
      <c r="P33" s="147"/>
      <c r="Q33" s="147"/>
      <c r="R33" s="516">
        <f t="shared" si="7"/>
        <v>1925302</v>
      </c>
      <c r="S33" s="147">
        <v>1925302</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300000</v>
      </c>
      <c r="C35" s="147">
        <v>300000</v>
      </c>
      <c r="D35" s="147"/>
      <c r="E35" s="147">
        <v>300000</v>
      </c>
      <c r="F35" s="147"/>
      <c r="G35" s="147"/>
      <c r="H35" s="147"/>
      <c r="I35" s="147"/>
      <c r="J35" s="147"/>
      <c r="K35" s="147"/>
      <c r="L35" s="147"/>
      <c r="M35" s="147"/>
      <c r="N35" s="147"/>
      <c r="O35" s="147"/>
      <c r="P35" s="147"/>
      <c r="Q35" s="147"/>
      <c r="R35" s="516">
        <f t="shared" si="7"/>
        <v>300000</v>
      </c>
      <c r="S35" s="147">
        <v>300000</v>
      </c>
      <c r="T35" s="147"/>
      <c r="U35" s="143"/>
    </row>
    <row r="36" spans="1:21" s="144" customFormat="1">
      <c r="A36" s="283" t="s">
        <v>1640</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2720</v>
      </c>
      <c r="B37" s="146">
        <f t="shared" si="6"/>
        <v>250000</v>
      </c>
      <c r="C37" s="147">
        <v>250000</v>
      </c>
      <c r="D37" s="147"/>
      <c r="E37" s="147">
        <v>250000</v>
      </c>
      <c r="F37" s="147"/>
      <c r="G37" s="147"/>
      <c r="H37" s="147"/>
      <c r="I37" s="147"/>
      <c r="J37" s="147"/>
      <c r="K37" s="147"/>
      <c r="L37" s="147"/>
      <c r="M37" s="147"/>
      <c r="N37" s="147"/>
      <c r="O37" s="147"/>
      <c r="P37" s="147"/>
      <c r="Q37" s="147"/>
      <c r="R37" s="516">
        <f t="shared" si="7"/>
        <v>250000</v>
      </c>
      <c r="S37" s="147">
        <v>250000</v>
      </c>
      <c r="T37" s="147"/>
      <c r="U37" s="143"/>
    </row>
    <row r="38" spans="1:21" s="144" customFormat="1">
      <c r="A38" s="149" t="s">
        <v>143</v>
      </c>
      <c r="B38" s="146">
        <f t="shared" si="6"/>
        <v>36809862</v>
      </c>
      <c r="C38" s="146">
        <f>SUM(C29:C37)</f>
        <v>36809862</v>
      </c>
      <c r="D38" s="146">
        <f t="shared" ref="D38:Q38" si="8">SUM(D29:D37)</f>
        <v>0</v>
      </c>
      <c r="E38" s="146">
        <f t="shared" si="8"/>
        <v>11795018</v>
      </c>
      <c r="F38" s="146">
        <f t="shared" si="8"/>
        <v>25014844</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36809862</v>
      </c>
      <c r="S38" s="150">
        <f>SUM(S29:S37)</f>
        <v>36809862</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750000</v>
      </c>
      <c r="C40" s="147">
        <v>750000</v>
      </c>
      <c r="D40" s="147"/>
      <c r="E40" s="147">
        <v>750000</v>
      </c>
      <c r="F40" s="147"/>
      <c r="G40" s="147"/>
      <c r="H40" s="147"/>
      <c r="I40" s="147"/>
      <c r="J40" s="147"/>
      <c r="K40" s="147"/>
      <c r="L40" s="147"/>
      <c r="M40" s="147"/>
      <c r="N40" s="147"/>
      <c r="O40" s="147"/>
      <c r="P40" s="147"/>
      <c r="Q40" s="147"/>
      <c r="R40" s="516">
        <f>SUM(E40:Q40)</f>
        <v>750000</v>
      </c>
      <c r="S40" s="147">
        <v>750000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750000</v>
      </c>
      <c r="C42" s="146">
        <f>SUM(C39:C41)</f>
        <v>750000</v>
      </c>
      <c r="D42" s="146">
        <f>SUM(D39:D41)</f>
        <v>0</v>
      </c>
      <c r="E42" s="146">
        <f t="shared" ref="E42:T42" si="9">SUM(E40:E41)</f>
        <v>750000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750000</v>
      </c>
      <c r="S42" s="150">
        <f t="shared" si="9"/>
        <v>750000</v>
      </c>
      <c r="T42" s="150">
        <f t="shared" si="9"/>
        <v>0</v>
      </c>
      <c r="U42" s="143"/>
    </row>
    <row r="43" spans="1:21" s="144" customFormat="1">
      <c r="A43" s="149" t="s">
        <v>148</v>
      </c>
      <c r="B43" s="146">
        <f>SUM(C43:D43)</f>
        <v>400000</v>
      </c>
      <c r="C43" s="147">
        <v>400000</v>
      </c>
      <c r="D43" s="147"/>
      <c r="E43" s="147">
        <v>400000</v>
      </c>
      <c r="F43" s="147"/>
      <c r="G43" s="147"/>
      <c r="H43" s="147"/>
      <c r="I43" s="147"/>
      <c r="J43" s="147"/>
      <c r="K43" s="147"/>
      <c r="L43" s="147"/>
      <c r="M43" s="147"/>
      <c r="N43" s="147"/>
      <c r="O43" s="147"/>
      <c r="P43" s="147"/>
      <c r="Q43" s="147"/>
      <c r="R43" s="516">
        <f>SUM(E43:Q43)</f>
        <v>400000</v>
      </c>
      <c r="S43" s="147">
        <v>400000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3132000</v>
      </c>
      <c r="C45" s="147">
        <v>3132000</v>
      </c>
      <c r="D45" s="147"/>
      <c r="E45" s="147">
        <v>3132000</v>
      </c>
      <c r="F45" s="147"/>
      <c r="G45" s="147"/>
      <c r="H45" s="147"/>
      <c r="I45" s="147"/>
      <c r="J45" s="147"/>
      <c r="K45" s="147"/>
      <c r="L45" s="147"/>
      <c r="M45" s="147"/>
      <c r="N45" s="147"/>
      <c r="O45" s="147"/>
      <c r="P45" s="147"/>
      <c r="Q45" s="147"/>
      <c r="R45" s="516">
        <f t="shared" ref="R45:R53" si="11">SUM(E45:Q45)</f>
        <v>3132000</v>
      </c>
      <c r="S45" s="147">
        <v>3132000</v>
      </c>
      <c r="T45" s="147"/>
      <c r="U45" s="143"/>
    </row>
    <row r="46" spans="1:21" s="144" customFormat="1">
      <c r="A46" s="145" t="s">
        <v>151</v>
      </c>
      <c r="B46" s="146">
        <f t="shared" si="10"/>
        <v>383000</v>
      </c>
      <c r="C46" s="147">
        <v>383000</v>
      </c>
      <c r="D46" s="147"/>
      <c r="E46" s="147">
        <v>383000</v>
      </c>
      <c r="F46" s="147"/>
      <c r="G46" s="147"/>
      <c r="H46" s="147"/>
      <c r="I46" s="147"/>
      <c r="J46" s="147"/>
      <c r="K46" s="147"/>
      <c r="L46" s="147"/>
      <c r="M46" s="147"/>
      <c r="N46" s="147"/>
      <c r="O46" s="147"/>
      <c r="P46" s="147"/>
      <c r="Q46" s="147"/>
      <c r="R46" s="516">
        <f t="shared" si="11"/>
        <v>383000</v>
      </c>
      <c r="S46" s="147">
        <v>383000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80000</v>
      </c>
      <c r="C49" s="147">
        <v>80000</v>
      </c>
      <c r="D49" s="147"/>
      <c r="E49" s="147">
        <v>80000</v>
      </c>
      <c r="F49" s="147"/>
      <c r="G49" s="147"/>
      <c r="H49" s="147"/>
      <c r="I49" s="147"/>
      <c r="J49" s="147"/>
      <c r="K49" s="147"/>
      <c r="L49" s="147"/>
      <c r="M49" s="147"/>
      <c r="N49" s="147"/>
      <c r="O49" s="147"/>
      <c r="P49" s="147"/>
      <c r="Q49" s="147"/>
      <c r="R49" s="516">
        <f t="shared" si="11"/>
        <v>80000</v>
      </c>
      <c r="S49" s="147">
        <v>80000</v>
      </c>
      <c r="T49" s="147"/>
      <c r="U49" s="143"/>
    </row>
    <row r="50" spans="1:21" s="144" customFormat="1">
      <c r="A50" s="145" t="s">
        <v>156</v>
      </c>
      <c r="B50" s="146">
        <f t="shared" si="10"/>
        <v>60000</v>
      </c>
      <c r="C50" s="147">
        <v>60000</v>
      </c>
      <c r="D50" s="147"/>
      <c r="E50" s="147">
        <v>60000</v>
      </c>
      <c r="F50" s="147"/>
      <c r="G50" s="147"/>
      <c r="H50" s="147"/>
      <c r="I50" s="147"/>
      <c r="J50" s="147"/>
      <c r="K50" s="147"/>
      <c r="L50" s="147"/>
      <c r="M50" s="147"/>
      <c r="N50" s="147"/>
      <c r="O50" s="147"/>
      <c r="P50" s="147"/>
      <c r="Q50" s="147"/>
      <c r="R50" s="516">
        <f t="shared" si="11"/>
        <v>60000</v>
      </c>
      <c r="S50" s="147">
        <v>60000</v>
      </c>
      <c r="T50" s="147"/>
      <c r="U50" s="143"/>
    </row>
    <row r="51" spans="1:21" s="144" customFormat="1">
      <c r="A51" s="283" t="s">
        <v>154</v>
      </c>
      <c r="B51" s="146">
        <f t="shared" si="10"/>
        <v>15000</v>
      </c>
      <c r="C51" s="147">
        <v>15000</v>
      </c>
      <c r="D51" s="147"/>
      <c r="E51" s="147">
        <v>15000</v>
      </c>
      <c r="F51" s="147"/>
      <c r="G51" s="147"/>
      <c r="H51" s="147"/>
      <c r="I51" s="147"/>
      <c r="J51" s="147"/>
      <c r="K51" s="147"/>
      <c r="L51" s="147"/>
      <c r="M51" s="147"/>
      <c r="N51" s="147"/>
      <c r="O51" s="147"/>
      <c r="P51" s="147"/>
      <c r="Q51" s="147"/>
      <c r="R51" s="516">
        <f t="shared" si="11"/>
        <v>15000</v>
      </c>
      <c r="S51" s="147">
        <v>15000</v>
      </c>
      <c r="T51" s="147"/>
      <c r="U51" s="143"/>
    </row>
    <row r="52" spans="1:21" s="144" customFormat="1">
      <c r="A52" s="145" t="s">
        <v>155</v>
      </c>
      <c r="B52" s="146">
        <f t="shared" si="10"/>
        <v>116300</v>
      </c>
      <c r="C52" s="147">
        <v>116300</v>
      </c>
      <c r="D52" s="147"/>
      <c r="E52" s="147">
        <v>116300</v>
      </c>
      <c r="F52" s="147"/>
      <c r="G52" s="147"/>
      <c r="H52" s="147"/>
      <c r="I52" s="147"/>
      <c r="J52" s="147"/>
      <c r="K52" s="147"/>
      <c r="L52" s="147"/>
      <c r="M52" s="147"/>
      <c r="N52" s="147"/>
      <c r="O52" s="147"/>
      <c r="P52" s="147"/>
      <c r="Q52" s="147"/>
      <c r="R52" s="516">
        <f t="shared" si="11"/>
        <v>116300</v>
      </c>
      <c r="S52" s="147">
        <v>116300</v>
      </c>
      <c r="T52" s="147"/>
      <c r="U52" s="143"/>
    </row>
    <row r="53" spans="1:21" s="144" customFormat="1">
      <c r="A53" s="1149" t="s">
        <v>34</v>
      </c>
      <c r="B53" s="146">
        <f t="shared" si="10"/>
        <v>0</v>
      </c>
      <c r="C53" s="147"/>
      <c r="D53" s="147"/>
      <c r="E53" s="147"/>
      <c r="F53" s="147"/>
      <c r="G53" s="147"/>
      <c r="H53" s="147"/>
      <c r="I53" s="147"/>
      <c r="J53" s="147"/>
      <c r="K53" s="147"/>
      <c r="L53" s="147"/>
      <c r="M53" s="147"/>
      <c r="N53" s="147"/>
      <c r="O53" s="147"/>
      <c r="P53" s="147"/>
      <c r="Q53" s="147"/>
      <c r="R53" s="516">
        <f t="shared" si="11"/>
        <v>0</v>
      </c>
      <c r="S53" s="147"/>
      <c r="T53" s="147"/>
      <c r="U53" s="143"/>
    </row>
    <row r="54" spans="1:21" s="153" customFormat="1">
      <c r="A54" s="149" t="s">
        <v>157</v>
      </c>
      <c r="B54" s="150">
        <f>SUM(C54:D54)</f>
        <v>3786300</v>
      </c>
      <c r="C54" s="150">
        <f t="shared" ref="C54:T54" si="12">SUM(C45:C53)</f>
        <v>3786300</v>
      </c>
      <c r="D54" s="150">
        <f t="shared" si="12"/>
        <v>0</v>
      </c>
      <c r="E54" s="150">
        <f t="shared" si="12"/>
        <v>3786300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3786300</v>
      </c>
      <c r="S54" s="150">
        <f t="shared" si="12"/>
        <v>3786300</v>
      </c>
      <c r="T54" s="150">
        <f t="shared" si="12"/>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25000</v>
      </c>
      <c r="C56" s="147">
        <v>25000</v>
      </c>
      <c r="D56" s="147"/>
      <c r="E56" s="147">
        <v>25000</v>
      </c>
      <c r="F56" s="147"/>
      <c r="G56" s="147"/>
      <c r="H56" s="147"/>
      <c r="I56" s="147"/>
      <c r="J56" s="147"/>
      <c r="K56" s="147"/>
      <c r="L56" s="147"/>
      <c r="M56" s="147"/>
      <c r="N56" s="147"/>
      <c r="O56" s="147"/>
      <c r="P56" s="147"/>
      <c r="Q56" s="147"/>
      <c r="R56" s="516">
        <f t="shared" ref="R56:R61" si="14">SUM(E56:Q56)</f>
        <v>25000</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16">
        <f t="shared" si="14"/>
        <v>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9" t="s">
        <v>2721</v>
      </c>
      <c r="B61" s="146">
        <f t="shared" si="13"/>
        <v>100000</v>
      </c>
      <c r="C61" s="147">
        <v>100000</v>
      </c>
      <c r="D61" s="147"/>
      <c r="E61" s="147">
        <v>100000</v>
      </c>
      <c r="F61" s="147"/>
      <c r="G61" s="147"/>
      <c r="H61" s="147"/>
      <c r="I61" s="147"/>
      <c r="J61" s="147"/>
      <c r="K61" s="147"/>
      <c r="L61" s="147"/>
      <c r="M61" s="147"/>
      <c r="N61" s="147"/>
      <c r="O61" s="147"/>
      <c r="P61" s="147"/>
      <c r="Q61" s="147"/>
      <c r="R61" s="516">
        <f t="shared" si="14"/>
        <v>100000</v>
      </c>
      <c r="S61" s="148"/>
      <c r="T61" s="148"/>
      <c r="U61" s="143"/>
    </row>
    <row r="62" spans="1:21" s="144" customFormat="1" ht="13.7" customHeight="1">
      <c r="A62" s="149" t="s">
        <v>300</v>
      </c>
      <c r="B62" s="146">
        <f>SUM(C62:D62)</f>
        <v>125000</v>
      </c>
      <c r="C62" s="146">
        <f t="shared" ref="C62:R62" si="15">SUM(C56:C61)</f>
        <v>125000</v>
      </c>
      <c r="D62" s="146">
        <f t="shared" si="15"/>
        <v>0</v>
      </c>
      <c r="E62" s="146">
        <f t="shared" si="15"/>
        <v>125000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125000</v>
      </c>
      <c r="S62" s="148"/>
      <c r="T62" s="148"/>
      <c r="U62" s="143"/>
    </row>
    <row r="63" spans="1:21" s="144" customFormat="1">
      <c r="A63" s="154" t="s">
        <v>301</v>
      </c>
      <c r="B63" s="146">
        <f t="shared" ref="B63:R63" si="16">SUM(B8+B11+B13+B14+B15+B26+B27+B38+B42+B43+B54+B62)</f>
        <v>50521162</v>
      </c>
      <c r="C63" s="146">
        <f t="shared" si="16"/>
        <v>50521162</v>
      </c>
      <c r="D63" s="146">
        <f t="shared" si="16"/>
        <v>0</v>
      </c>
      <c r="E63" s="146">
        <f t="shared" si="16"/>
        <v>25506318</v>
      </c>
      <c r="F63" s="146">
        <f t="shared" si="16"/>
        <v>25014844</v>
      </c>
      <c r="G63" s="146">
        <f t="shared" si="16"/>
        <v>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50521162</v>
      </c>
      <c r="S63" s="146">
        <f>SUM(S10+S13+S14+S15+S26+S27+S38+S42+S43+S54)</f>
        <v>41746162</v>
      </c>
      <c r="T63" s="146">
        <f>SUM(T11+T13+T14+T15+T26+T27+T38+T42+T43+T54)</f>
        <v>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60000</v>
      </c>
      <c r="C65" s="147">
        <v>60000</v>
      </c>
      <c r="D65" s="147"/>
      <c r="E65" s="147">
        <v>60000</v>
      </c>
      <c r="F65" s="147"/>
      <c r="G65" s="147"/>
      <c r="H65" s="147"/>
      <c r="I65" s="147"/>
      <c r="J65" s="147"/>
      <c r="K65" s="147"/>
      <c r="L65" s="147"/>
      <c r="M65" s="147"/>
      <c r="N65" s="147"/>
      <c r="O65" s="147"/>
      <c r="P65" s="147"/>
      <c r="Q65" s="147"/>
      <c r="R65" s="516">
        <f>SUM(E65:Q65)</f>
        <v>60000</v>
      </c>
      <c r="S65" s="147">
        <v>60000</v>
      </c>
      <c r="T65" s="147"/>
      <c r="U65" s="143"/>
    </row>
    <row r="66" spans="1:21" s="144" customFormat="1" ht="24" customHeight="1">
      <c r="A66" s="283" t="s">
        <v>1641</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1642</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1648</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2722</v>
      </c>
      <c r="B69" s="146">
        <f>SUM(C69+D69)</f>
        <v>60000</v>
      </c>
      <c r="C69" s="147">
        <v>60000</v>
      </c>
      <c r="D69" s="147"/>
      <c r="E69" s="147">
        <v>60000</v>
      </c>
      <c r="F69" s="147"/>
      <c r="G69" s="147"/>
      <c r="H69" s="147"/>
      <c r="I69" s="147"/>
      <c r="J69" s="147"/>
      <c r="K69" s="147"/>
      <c r="L69" s="147"/>
      <c r="M69" s="147"/>
      <c r="N69" s="147"/>
      <c r="O69" s="147"/>
      <c r="P69" s="147"/>
      <c r="Q69" s="147"/>
      <c r="R69" s="516">
        <f>SUM(E69:Q69)</f>
        <v>60000</v>
      </c>
      <c r="S69" s="147">
        <v>60000</v>
      </c>
      <c r="T69" s="147"/>
      <c r="U69" s="143"/>
    </row>
    <row r="70" spans="1:21" s="144" customFormat="1">
      <c r="A70" s="149" t="s">
        <v>1645</v>
      </c>
      <c r="B70" s="146">
        <f>SUM(C70:D70)</f>
        <v>120000</v>
      </c>
      <c r="C70" s="146">
        <f>SUM(C65:C69)</f>
        <v>120000</v>
      </c>
      <c r="D70" s="146">
        <f>SUM(D65:D69)</f>
        <v>0</v>
      </c>
      <c r="E70" s="146">
        <f t="shared" ref="E70:T70" si="17">SUM(E65:E69)</f>
        <v>120000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120000</v>
      </c>
      <c r="S70" s="150">
        <f t="shared" si="17"/>
        <v>120000</v>
      </c>
      <c r="T70" s="150">
        <f t="shared" si="17"/>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671694</v>
      </c>
      <c r="C75" s="147">
        <v>671694</v>
      </c>
      <c r="D75" s="147"/>
      <c r="E75" s="147">
        <v>671694</v>
      </c>
      <c r="F75" s="147"/>
      <c r="G75" s="147"/>
      <c r="H75" s="147"/>
      <c r="I75" s="147"/>
      <c r="J75" s="147"/>
      <c r="K75" s="147"/>
      <c r="L75" s="147"/>
      <c r="M75" s="147"/>
      <c r="N75" s="147"/>
      <c r="O75" s="147"/>
      <c r="P75" s="147"/>
      <c r="Q75" s="147"/>
      <c r="R75" s="516">
        <f>SUM(E75:Q75)</f>
        <v>671694</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605</v>
      </c>
      <c r="B77" s="146">
        <f>SUM(C77:D77)</f>
        <v>671694</v>
      </c>
      <c r="C77" s="146">
        <f>SUM(C72:C76)</f>
        <v>671694</v>
      </c>
      <c r="D77" s="146">
        <f>SUM(D72:D76)</f>
        <v>0</v>
      </c>
      <c r="E77" s="146">
        <f t="shared" ref="E77:Q77" si="18">SUM(E72:E76)</f>
        <v>671694</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671694</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1813000</v>
      </c>
      <c r="C79" s="147">
        <v>1813000</v>
      </c>
      <c r="D79" s="147"/>
      <c r="E79" s="147">
        <v>1813000</v>
      </c>
      <c r="F79" s="147"/>
      <c r="G79" s="147"/>
      <c r="H79" s="147"/>
      <c r="I79" s="147"/>
      <c r="J79" s="147"/>
      <c r="K79" s="147"/>
      <c r="L79" s="147"/>
      <c r="M79" s="147"/>
      <c r="N79" s="147"/>
      <c r="O79" s="147"/>
      <c r="P79" s="147"/>
      <c r="Q79" s="147"/>
      <c r="R79" s="516">
        <f>SUM(E79:Q79)</f>
        <v>1813000</v>
      </c>
      <c r="S79" s="147">
        <v>1813000</v>
      </c>
      <c r="T79" s="147"/>
      <c r="U79" s="143"/>
    </row>
    <row r="80" spans="1:21" s="144" customFormat="1">
      <c r="A80" s="283" t="s">
        <v>58</v>
      </c>
      <c r="B80" s="146">
        <f>SUM(C80:D80)</f>
        <v>300000</v>
      </c>
      <c r="C80" s="147">
        <v>300000</v>
      </c>
      <c r="D80" s="147"/>
      <c r="E80" s="147">
        <v>300000</v>
      </c>
      <c r="F80" s="147"/>
      <c r="G80" s="147"/>
      <c r="H80" s="147"/>
      <c r="I80" s="147"/>
      <c r="J80" s="147"/>
      <c r="K80" s="147"/>
      <c r="L80" s="147"/>
      <c r="M80" s="147"/>
      <c r="N80" s="147"/>
      <c r="O80" s="147"/>
      <c r="P80" s="147"/>
      <c r="Q80" s="147"/>
      <c r="R80" s="516">
        <f>SUM(E80:Q80)</f>
        <v>300000</v>
      </c>
      <c r="S80" s="147">
        <v>300000</v>
      </c>
      <c r="T80" s="147"/>
      <c r="U80" s="143"/>
    </row>
    <row r="81" spans="1:21" s="144" customFormat="1">
      <c r="A81" s="149" t="s">
        <v>1208</v>
      </c>
      <c r="B81" s="146">
        <f>SUM(C81:D81)</f>
        <v>2113000</v>
      </c>
      <c r="C81" s="509">
        <f>SUM(C79:C80)</f>
        <v>2113000</v>
      </c>
      <c r="D81" s="509">
        <f t="shared" ref="D81:T81" si="19">SUM(D79:D80)</f>
        <v>0</v>
      </c>
      <c r="E81" s="509">
        <f t="shared" si="19"/>
        <v>2113000</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2113000</v>
      </c>
      <c r="S81" s="509">
        <f t="shared" si="19"/>
        <v>2113000</v>
      </c>
      <c r="T81" s="509">
        <f t="shared" si="19"/>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2094</v>
      </c>
      <c r="B83" s="146">
        <f t="shared" ref="B83:B95" si="20">SUM(C83+D83)</f>
        <v>85300</v>
      </c>
      <c r="C83" s="147">
        <v>85300</v>
      </c>
      <c r="D83" s="147"/>
      <c r="E83" s="147">
        <v>85300</v>
      </c>
      <c r="F83" s="147"/>
      <c r="G83" s="147"/>
      <c r="H83" s="147"/>
      <c r="I83" s="147"/>
      <c r="J83" s="147"/>
      <c r="K83" s="147"/>
      <c r="L83" s="147"/>
      <c r="M83" s="147"/>
      <c r="N83" s="147"/>
      <c r="O83" s="147"/>
      <c r="P83" s="147"/>
      <c r="Q83" s="147"/>
      <c r="R83" s="516">
        <f t="shared" ref="R83:R95" si="21">SUM(E83:Q83)</f>
        <v>85300</v>
      </c>
      <c r="S83" s="148"/>
      <c r="T83" s="148"/>
      <c r="U83" s="143"/>
    </row>
    <row r="84" spans="1:21" s="144" customFormat="1">
      <c r="A84" s="145" t="s">
        <v>766</v>
      </c>
      <c r="B84" s="146">
        <f t="shared" si="20"/>
        <v>0</v>
      </c>
      <c r="C84" s="147"/>
      <c r="D84" s="147"/>
      <c r="E84" s="147"/>
      <c r="F84" s="147"/>
      <c r="G84" s="147"/>
      <c r="H84" s="147"/>
      <c r="I84" s="147"/>
      <c r="J84" s="147"/>
      <c r="K84" s="147"/>
      <c r="L84" s="147"/>
      <c r="M84" s="147"/>
      <c r="N84" s="147"/>
      <c r="O84" s="147"/>
      <c r="P84" s="147"/>
      <c r="Q84" s="147"/>
      <c r="R84" s="516">
        <f t="shared" si="21"/>
        <v>0</v>
      </c>
      <c r="S84" s="147"/>
      <c r="T84" s="147"/>
      <c r="U84" s="143"/>
    </row>
    <row r="85" spans="1:21" s="144" customFormat="1">
      <c r="A85" s="145" t="s">
        <v>767</v>
      </c>
      <c r="B85" s="146">
        <f t="shared" si="20"/>
        <v>4372860</v>
      </c>
      <c r="C85" s="147">
        <v>4372860</v>
      </c>
      <c r="D85" s="147"/>
      <c r="E85" s="147">
        <v>4372860</v>
      </c>
      <c r="F85" s="147"/>
      <c r="G85" s="147"/>
      <c r="H85" s="147"/>
      <c r="I85" s="147"/>
      <c r="J85" s="147"/>
      <c r="K85" s="147"/>
      <c r="L85" s="147"/>
      <c r="M85" s="147"/>
      <c r="N85" s="147"/>
      <c r="O85" s="147"/>
      <c r="P85" s="147"/>
      <c r="Q85" s="147"/>
      <c r="R85" s="516">
        <f t="shared" si="21"/>
        <v>4372860</v>
      </c>
      <c r="S85" s="147">
        <v>4372860</v>
      </c>
      <c r="T85" s="147"/>
      <c r="U85" s="143"/>
    </row>
    <row r="86" spans="1:21" s="144" customFormat="1">
      <c r="A86" s="145" t="s">
        <v>768</v>
      </c>
      <c r="B86" s="146">
        <f t="shared" si="20"/>
        <v>770640</v>
      </c>
      <c r="C86" s="147">
        <v>770640</v>
      </c>
      <c r="D86" s="147"/>
      <c r="E86" s="147">
        <v>770640</v>
      </c>
      <c r="F86" s="147"/>
      <c r="G86" s="147"/>
      <c r="H86" s="147"/>
      <c r="I86" s="147"/>
      <c r="J86" s="147"/>
      <c r="K86" s="147"/>
      <c r="L86" s="147"/>
      <c r="M86" s="147"/>
      <c r="N86" s="147"/>
      <c r="O86" s="147"/>
      <c r="P86" s="147"/>
      <c r="Q86" s="147"/>
      <c r="R86" s="516">
        <f t="shared" si="21"/>
        <v>770640</v>
      </c>
      <c r="S86" s="147">
        <v>770640</v>
      </c>
      <c r="T86" s="147"/>
      <c r="U86" s="143"/>
    </row>
    <row r="87" spans="1:21" s="144" customFormat="1">
      <c r="A87" s="145" t="s">
        <v>769</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770</v>
      </c>
      <c r="B88" s="146">
        <f t="shared" si="20"/>
        <v>36151</v>
      </c>
      <c r="C88" s="147">
        <v>36151</v>
      </c>
      <c r="D88" s="147"/>
      <c r="E88" s="147">
        <v>36151</v>
      </c>
      <c r="F88" s="147"/>
      <c r="G88" s="147"/>
      <c r="H88" s="147"/>
      <c r="I88" s="147"/>
      <c r="J88" s="147"/>
      <c r="K88" s="147"/>
      <c r="L88" s="147"/>
      <c r="M88" s="147"/>
      <c r="N88" s="147"/>
      <c r="O88" s="147"/>
      <c r="P88" s="147"/>
      <c r="Q88" s="147"/>
      <c r="R88" s="516">
        <f t="shared" si="21"/>
        <v>36151</v>
      </c>
      <c r="S88" s="148"/>
      <c r="T88" s="148"/>
      <c r="U88" s="143"/>
    </row>
    <row r="89" spans="1:21" s="144" customFormat="1">
      <c r="A89" s="145" t="s">
        <v>771</v>
      </c>
      <c r="B89" s="146">
        <f t="shared" si="20"/>
        <v>50000</v>
      </c>
      <c r="C89" s="147">
        <v>50000</v>
      </c>
      <c r="D89" s="147"/>
      <c r="E89" s="147">
        <v>50000</v>
      </c>
      <c r="F89" s="147"/>
      <c r="G89" s="147"/>
      <c r="H89" s="147"/>
      <c r="I89" s="147"/>
      <c r="J89" s="147"/>
      <c r="K89" s="147"/>
      <c r="L89" s="147"/>
      <c r="M89" s="147"/>
      <c r="N89" s="147"/>
      <c r="O89" s="147"/>
      <c r="P89" s="147"/>
      <c r="Q89" s="147"/>
      <c r="R89" s="516">
        <f t="shared" si="21"/>
        <v>50000</v>
      </c>
      <c r="S89" s="147">
        <v>50000</v>
      </c>
      <c r="T89" s="147"/>
      <c r="U89" s="143"/>
    </row>
    <row r="90" spans="1:21" s="144" customFormat="1">
      <c r="A90" s="145" t="s">
        <v>772</v>
      </c>
      <c r="B90" s="146">
        <f t="shared" si="20"/>
        <v>10000</v>
      </c>
      <c r="C90" s="147">
        <v>10000</v>
      </c>
      <c r="D90" s="147"/>
      <c r="E90" s="147">
        <v>10000</v>
      </c>
      <c r="F90" s="147"/>
      <c r="G90" s="147"/>
      <c r="H90" s="147"/>
      <c r="I90" s="147"/>
      <c r="J90" s="147"/>
      <c r="K90" s="147"/>
      <c r="L90" s="147"/>
      <c r="M90" s="147"/>
      <c r="N90" s="147"/>
      <c r="O90" s="147"/>
      <c r="P90" s="147"/>
      <c r="Q90" s="147"/>
      <c r="R90" s="516">
        <f t="shared" si="21"/>
        <v>10000</v>
      </c>
      <c r="S90" s="147">
        <v>10000</v>
      </c>
      <c r="T90" s="147"/>
      <c r="U90" s="143"/>
    </row>
    <row r="91" spans="1:21" s="144" customFormat="1">
      <c r="A91" s="145" t="s">
        <v>371</v>
      </c>
      <c r="B91" s="146">
        <f t="shared" si="20"/>
        <v>10000</v>
      </c>
      <c r="C91" s="147">
        <v>10000</v>
      </c>
      <c r="D91" s="147"/>
      <c r="E91" s="147">
        <v>10000</v>
      </c>
      <c r="F91" s="147"/>
      <c r="G91" s="147"/>
      <c r="H91" s="147"/>
      <c r="I91" s="147"/>
      <c r="J91" s="147"/>
      <c r="K91" s="147"/>
      <c r="L91" s="147"/>
      <c r="M91" s="147"/>
      <c r="N91" s="147"/>
      <c r="O91" s="147"/>
      <c r="P91" s="147"/>
      <c r="Q91" s="147"/>
      <c r="R91" s="516">
        <f t="shared" si="21"/>
        <v>10000</v>
      </c>
      <c r="S91" s="147">
        <v>10000</v>
      </c>
      <c r="T91" s="147"/>
      <c r="U91" s="143"/>
    </row>
    <row r="92" spans="1:21" s="144" customFormat="1">
      <c r="A92" s="283" t="s">
        <v>1210</v>
      </c>
      <c r="B92" s="146">
        <f t="shared" si="20"/>
        <v>10000</v>
      </c>
      <c r="C92" s="147">
        <v>10000</v>
      </c>
      <c r="D92" s="147"/>
      <c r="E92" s="147">
        <v>10000</v>
      </c>
      <c r="F92" s="147"/>
      <c r="G92" s="147"/>
      <c r="H92" s="147"/>
      <c r="I92" s="147"/>
      <c r="J92" s="147"/>
      <c r="K92" s="147"/>
      <c r="L92" s="147"/>
      <c r="M92" s="147"/>
      <c r="N92" s="147"/>
      <c r="O92" s="147"/>
      <c r="P92" s="147"/>
      <c r="Q92" s="147"/>
      <c r="R92" s="516">
        <f t="shared" si="21"/>
        <v>10000</v>
      </c>
      <c r="S92" s="147">
        <v>10000</v>
      </c>
      <c r="T92" s="147"/>
      <c r="U92" s="143"/>
    </row>
    <row r="93" spans="1:21" s="144" customFormat="1">
      <c r="A93" s="1149" t="s">
        <v>34</v>
      </c>
      <c r="B93" s="146">
        <f t="shared" si="20"/>
        <v>0</v>
      </c>
      <c r="C93" s="147"/>
      <c r="D93" s="147"/>
      <c r="E93" s="147"/>
      <c r="F93" s="147"/>
      <c r="G93" s="147"/>
      <c r="H93" s="147"/>
      <c r="I93" s="147"/>
      <c r="J93" s="147"/>
      <c r="K93" s="147"/>
      <c r="L93" s="147"/>
      <c r="M93" s="147"/>
      <c r="N93" s="147"/>
      <c r="O93" s="147"/>
      <c r="P93" s="147"/>
      <c r="Q93" s="147"/>
      <c r="R93" s="516">
        <f t="shared" si="21"/>
        <v>0</v>
      </c>
      <c r="S93" s="147"/>
      <c r="T93" s="147"/>
      <c r="U93" s="143"/>
    </row>
    <row r="94" spans="1:21" s="144" customFormat="1">
      <c r="A94" s="1149"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9"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773</v>
      </c>
      <c r="B96" s="146">
        <f>SUM(C96:D96)</f>
        <v>5344951</v>
      </c>
      <c r="C96" s="146">
        <f t="shared" ref="C96:R96" si="22">SUM(C83:C95)</f>
        <v>5344951</v>
      </c>
      <c r="D96" s="146">
        <f t="shared" si="22"/>
        <v>0</v>
      </c>
      <c r="E96" s="146">
        <f t="shared" si="22"/>
        <v>5344951</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5344951</v>
      </c>
      <c r="S96" s="150">
        <f>SUM(S84:S87,S89:S95)</f>
        <v>5223500</v>
      </c>
      <c r="T96" s="146">
        <f>SUM(T84:T87,T89:T95)</f>
        <v>0</v>
      </c>
      <c r="U96" s="143"/>
    </row>
    <row r="97" spans="1:21" s="144" customFormat="1">
      <c r="A97" s="149" t="s">
        <v>774</v>
      </c>
      <c r="B97" s="146">
        <f>SUM(C97:D97)</f>
        <v>58770807</v>
      </c>
      <c r="C97" s="146">
        <f t="shared" ref="C97:R97" si="23">SUM(C63+C70+C77+C81+C96)</f>
        <v>58770807</v>
      </c>
      <c r="D97" s="146">
        <f t="shared" si="23"/>
        <v>0</v>
      </c>
      <c r="E97" s="146">
        <f t="shared" si="23"/>
        <v>33755963</v>
      </c>
      <c r="F97" s="146">
        <f t="shared" si="23"/>
        <v>25014844</v>
      </c>
      <c r="G97" s="146">
        <f t="shared" si="23"/>
        <v>0</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58770807</v>
      </c>
      <c r="S97" s="146">
        <f>SUM(S63+S70+S81+S96)</f>
        <v>49202662</v>
      </c>
      <c r="T97" s="146">
        <f>SUM(T63+T70+T81+T96)</f>
        <v>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9840532</v>
      </c>
      <c r="C99" s="979">
        <v>9840532</v>
      </c>
      <c r="D99" s="979"/>
      <c r="E99" s="979">
        <v>3435055</v>
      </c>
      <c r="F99" s="147"/>
      <c r="G99" s="147">
        <v>6405477</v>
      </c>
      <c r="H99" s="147"/>
      <c r="I99" s="147"/>
      <c r="J99" s="147"/>
      <c r="K99" s="147"/>
      <c r="L99" s="147"/>
      <c r="M99" s="147"/>
      <c r="N99" s="147"/>
      <c r="O99" s="147"/>
      <c r="P99" s="147"/>
      <c r="Q99" s="147"/>
      <c r="R99" s="516">
        <f>SUM(E99:Q99)</f>
        <v>9840532</v>
      </c>
      <c r="S99" s="147">
        <v>9840532</v>
      </c>
      <c r="T99" s="147"/>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9840532</v>
      </c>
      <c r="C104" s="146">
        <f>SUM(C99:C103)</f>
        <v>9840532</v>
      </c>
      <c r="D104" s="146">
        <f t="shared" ref="D104:T104" si="24">SUM(D99:D103)</f>
        <v>0</v>
      </c>
      <c r="E104" s="146">
        <f t="shared" si="24"/>
        <v>3435055</v>
      </c>
      <c r="F104" s="146">
        <f t="shared" si="24"/>
        <v>0</v>
      </c>
      <c r="G104" s="146">
        <f t="shared" si="24"/>
        <v>6405477</v>
      </c>
      <c r="H104" s="146">
        <f t="shared" si="24"/>
        <v>0</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9840532</v>
      </c>
      <c r="S104" s="150">
        <f t="shared" si="24"/>
        <v>9840532</v>
      </c>
      <c r="T104" s="150">
        <f t="shared" si="24"/>
        <v>0</v>
      </c>
      <c r="U104" s="143"/>
    </row>
    <row r="105" spans="1:21" s="144" customFormat="1">
      <c r="A105" s="149" t="s">
        <v>779</v>
      </c>
      <c r="B105" s="150">
        <f>SUM(C105:D105)</f>
        <v>68611339</v>
      </c>
      <c r="C105" s="150">
        <f t="shared" ref="C105:R105" si="25">SUM(C97+C104)</f>
        <v>68611339</v>
      </c>
      <c r="D105" s="150">
        <f t="shared" si="25"/>
        <v>0</v>
      </c>
      <c r="E105" s="150">
        <f t="shared" si="25"/>
        <v>37191018</v>
      </c>
      <c r="F105" s="150">
        <f t="shared" si="25"/>
        <v>25014844</v>
      </c>
      <c r="G105" s="150">
        <f t="shared" si="25"/>
        <v>6405477</v>
      </c>
      <c r="H105" s="150">
        <f t="shared" si="25"/>
        <v>0</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2">
        <f t="shared" si="25"/>
        <v>68611339</v>
      </c>
      <c r="S105" s="150">
        <f>S97+S104</f>
        <v>59043194</v>
      </c>
      <c r="T105" s="150">
        <f>T97+T104</f>
        <v>0</v>
      </c>
      <c r="U105" s="143"/>
    </row>
    <row r="106" spans="1:21">
      <c r="A106" s="514" t="s">
        <v>1019</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59043194</v>
      </c>
      <c r="T107" s="150">
        <f>T105+T106</f>
        <v>0</v>
      </c>
    </row>
    <row r="108" spans="1:21" s="189" customFormat="1">
      <c r="A108" s="162" t="s">
        <v>878</v>
      </c>
      <c r="B108" s="157"/>
      <c r="C108" s="157"/>
      <c r="D108" s="157"/>
      <c r="E108" s="301">
        <f>Application!AO640</f>
        <v>37191018</v>
      </c>
      <c r="F108" s="301">
        <f>Application!AO627</f>
        <v>25014844</v>
      </c>
      <c r="G108" s="301">
        <f>Application!AO628</f>
        <v>6405477</v>
      </c>
      <c r="H108" s="301">
        <f>Application!AO629</f>
        <v>0</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2095</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75">
      <c r="A121" s="338" t="s">
        <v>1004</v>
      </c>
      <c r="B121" s="157"/>
      <c r="C121" s="157"/>
      <c r="D121" s="157"/>
    </row>
    <row r="122" spans="1:21">
      <c r="A122" s="325" t="s">
        <v>988</v>
      </c>
      <c r="B122" s="324"/>
      <c r="C122" s="324"/>
      <c r="D122" s="1873" t="s">
        <v>989</v>
      </c>
      <c r="E122" s="1873"/>
      <c r="F122" s="1873"/>
      <c r="G122" s="324"/>
      <c r="H122" s="324"/>
      <c r="I122" s="324"/>
      <c r="J122" s="324"/>
      <c r="K122" s="324"/>
      <c r="L122" s="324"/>
      <c r="M122" s="324"/>
      <c r="N122" s="324"/>
      <c r="O122" s="324"/>
      <c r="P122" s="324"/>
      <c r="Q122" s="324"/>
      <c r="R122" s="324"/>
      <c r="S122" s="324"/>
      <c r="T122" s="324"/>
      <c r="U122" s="326"/>
    </row>
    <row r="123" spans="1:21">
      <c r="A123" s="324" t="s">
        <v>990</v>
      </c>
      <c r="B123" s="333"/>
      <c r="C123" s="324"/>
      <c r="D123" s="1865" t="s">
        <v>1224</v>
      </c>
      <c r="E123" s="1551"/>
      <c r="F123" s="1551"/>
      <c r="G123" s="1551"/>
      <c r="H123" s="1551"/>
      <c r="I123" s="1551"/>
      <c r="J123" s="1551"/>
      <c r="K123" s="1551"/>
      <c r="L123" s="1551"/>
      <c r="M123" s="1551"/>
      <c r="N123" s="1551"/>
      <c r="O123" s="1551"/>
      <c r="P123" s="1551"/>
      <c r="Q123" s="1551"/>
      <c r="R123" s="1551"/>
      <c r="S123" s="1551"/>
      <c r="T123" s="324"/>
      <c r="U123" s="326"/>
    </row>
    <row r="124" spans="1:21" ht="12.75">
      <c r="A124" s="117" t="s">
        <v>991</v>
      </c>
      <c r="B124" s="333"/>
      <c r="C124" s="117"/>
      <c r="D124" s="1551"/>
      <c r="E124" s="1551"/>
      <c r="F124" s="1551"/>
      <c r="G124" s="1551"/>
      <c r="H124" s="1551"/>
      <c r="I124" s="1551"/>
      <c r="J124" s="1551"/>
      <c r="K124" s="1551"/>
      <c r="L124" s="1551"/>
      <c r="M124" s="1551"/>
      <c r="N124" s="1551"/>
      <c r="O124" s="1551"/>
      <c r="P124" s="1551"/>
      <c r="Q124" s="1551"/>
      <c r="R124" s="1551"/>
      <c r="S124" s="1551"/>
      <c r="T124" s="324"/>
      <c r="U124" s="326"/>
    </row>
    <row r="125" spans="1:21" ht="12.75">
      <c r="A125" s="117" t="s">
        <v>992</v>
      </c>
      <c r="B125" s="333"/>
      <c r="C125" s="117"/>
      <c r="D125" s="1551"/>
      <c r="E125" s="1551"/>
      <c r="F125" s="1551"/>
      <c r="G125" s="1551"/>
      <c r="H125" s="1551"/>
      <c r="I125" s="1551"/>
      <c r="J125" s="1551"/>
      <c r="K125" s="1551"/>
      <c r="L125" s="1551"/>
      <c r="M125" s="1551"/>
      <c r="N125" s="1551"/>
      <c r="O125" s="1551"/>
      <c r="P125" s="1551"/>
      <c r="Q125" s="1551"/>
      <c r="R125" s="1551"/>
      <c r="S125" s="1551"/>
      <c r="T125" s="324"/>
      <c r="U125" s="326"/>
    </row>
    <row r="126" spans="1:21" ht="12.7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995</v>
      </c>
      <c r="B128" s="333"/>
      <c r="C128" s="117"/>
      <c r="D128" s="1868"/>
      <c r="E128" s="1868"/>
      <c r="F128" s="1868"/>
      <c r="G128" s="1868"/>
      <c r="H128" s="1868"/>
      <c r="I128" s="117"/>
      <c r="J128" s="1864"/>
      <c r="K128" s="1864"/>
      <c r="L128" s="117"/>
      <c r="M128" s="117"/>
      <c r="N128" s="117"/>
      <c r="O128" s="117"/>
      <c r="P128" s="117"/>
      <c r="Q128" s="117"/>
      <c r="R128" s="117"/>
      <c r="S128" s="117"/>
      <c r="T128" s="324"/>
      <c r="U128" s="326"/>
    </row>
    <row r="129" spans="1:21" ht="12.75">
      <c r="A129" s="117" t="s">
        <v>299</v>
      </c>
      <c r="B129" s="333"/>
      <c r="C129" s="117"/>
      <c r="D129" s="1872" t="s">
        <v>996</v>
      </c>
      <c r="E129" s="1872"/>
      <c r="F129" s="1872"/>
      <c r="G129" s="1872"/>
      <c r="H129" s="1872"/>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998</v>
      </c>
      <c r="B131" s="334">
        <f>SUM(B123:B129)</f>
        <v>0</v>
      </c>
      <c r="C131" s="117"/>
      <c r="D131" s="1521"/>
      <c r="E131" s="1521"/>
      <c r="F131" s="1521"/>
      <c r="G131" s="1521"/>
      <c r="H131" s="1521"/>
      <c r="I131" s="117"/>
      <c r="J131" s="1521"/>
      <c r="K131" s="1521"/>
      <c r="L131" s="1521"/>
      <c r="M131" s="1521"/>
      <c r="N131" s="117"/>
      <c r="O131" s="117"/>
      <c r="P131" s="117"/>
      <c r="Q131" s="117"/>
      <c r="R131" s="117"/>
      <c r="S131" s="117"/>
      <c r="T131" s="324"/>
      <c r="U131" s="326"/>
    </row>
    <row r="132" spans="1:21" ht="12" customHeight="1">
      <c r="A132" s="336"/>
      <c r="B132" s="117"/>
      <c r="C132" s="117"/>
      <c r="D132" s="1866" t="s">
        <v>999</v>
      </c>
      <c r="E132" s="1866"/>
      <c r="F132" s="1866"/>
      <c r="G132" s="1866"/>
      <c r="H132" s="1866"/>
      <c r="I132" s="117"/>
      <c r="J132" s="1866" t="s">
        <v>1000</v>
      </c>
      <c r="K132" s="1866"/>
      <c r="L132" s="1866"/>
      <c r="M132" s="1866"/>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7"/>
      <c r="B138" s="1868"/>
      <c r="C138" s="1868"/>
      <c r="D138" s="328"/>
      <c r="E138" s="1864"/>
      <c r="F138" s="1864"/>
      <c r="G138" s="117"/>
      <c r="H138" s="117"/>
      <c r="I138" s="117"/>
      <c r="J138" s="117"/>
      <c r="K138" s="117"/>
      <c r="L138" s="117"/>
      <c r="M138" s="117"/>
      <c r="N138" s="117"/>
      <c r="O138" s="117"/>
      <c r="P138" s="117"/>
      <c r="Q138" s="117"/>
      <c r="R138" s="117"/>
      <c r="S138" s="117"/>
      <c r="T138" s="330"/>
      <c r="U138" s="331"/>
    </row>
    <row r="139" spans="1:21" ht="12.75">
      <c r="A139" s="1863" t="s">
        <v>1003</v>
      </c>
      <c r="B139" s="1863"/>
      <c r="C139" s="1863"/>
      <c r="D139" s="328"/>
      <c r="E139" s="117" t="s">
        <v>997</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6" t="s">
        <v>1227</v>
      </c>
      <c r="B1" s="1877"/>
      <c r="C1" s="1877"/>
      <c r="D1" s="1877"/>
      <c r="E1" s="1877"/>
      <c r="F1" s="1877"/>
      <c r="G1" s="1877"/>
      <c r="H1" s="1877"/>
      <c r="I1" s="1877"/>
      <c r="J1" s="1878"/>
      <c r="K1" s="355"/>
    </row>
    <row r="2" spans="1:11" s="401" customFormat="1" ht="72">
      <c r="A2" s="398"/>
      <c r="B2" s="399" t="s">
        <v>1026</v>
      </c>
      <c r="C2" s="399" t="s">
        <v>1229</v>
      </c>
      <c r="D2" s="399" t="s">
        <v>1230</v>
      </c>
      <c r="E2" s="399" t="s">
        <v>1157</v>
      </c>
      <c r="F2" s="399" t="s">
        <v>1231</v>
      </c>
      <c r="G2" s="399" t="s">
        <v>1232</v>
      </c>
      <c r="H2" s="399" t="s">
        <v>1027</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8500000</v>
      </c>
      <c r="C4" s="362"/>
      <c r="D4" s="362"/>
      <c r="E4" s="363"/>
      <c r="F4" s="363"/>
      <c r="G4" s="363"/>
      <c r="H4" s="363"/>
      <c r="I4" s="363"/>
      <c r="J4" s="363"/>
      <c r="K4" s="359"/>
    </row>
    <row r="5" spans="1:11" s="360" customFormat="1">
      <c r="A5" s="364" t="s">
        <v>28</v>
      </c>
      <c r="B5" s="361">
        <f>'Sources and Uses Budget'!C5</f>
        <v>150000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592</v>
      </c>
      <c r="B8" s="361">
        <f>'Sources and Uses Budget'!C8</f>
        <v>8650000</v>
      </c>
      <c r="C8" s="361">
        <f>SUM(C4:C7)</f>
        <v>0</v>
      </c>
      <c r="D8" s="361">
        <f>SUM(D4:D7)</f>
        <v>0</v>
      </c>
      <c r="E8" s="363"/>
      <c r="F8" s="363"/>
      <c r="G8" s="363"/>
      <c r="H8" s="363"/>
      <c r="I8" s="363"/>
      <c r="J8" s="363"/>
      <c r="K8" s="359"/>
    </row>
    <row r="9" spans="1:11" s="360" customFormat="1">
      <c r="A9" s="364" t="s">
        <v>593</v>
      </c>
      <c r="B9" s="361">
        <f>'Sources and Uses Budget'!C9</f>
        <v>0</v>
      </c>
      <c r="C9" s="362"/>
      <c r="D9" s="362"/>
      <c r="E9" s="363"/>
      <c r="F9" s="363"/>
      <c r="G9" s="363"/>
      <c r="H9" s="361">
        <f>'Sources and Uses Budget'!T9</f>
        <v>0</v>
      </c>
      <c r="I9" s="362"/>
      <c r="J9" s="362"/>
      <c r="K9" s="359"/>
    </row>
    <row r="10" spans="1:11" s="360" customFormat="1">
      <c r="A10" s="364" t="s">
        <v>594</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595</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8650000</v>
      </c>
      <c r="C12" s="361">
        <f>SUM(C8+C11)</f>
        <v>0</v>
      </c>
      <c r="D12" s="361">
        <f>SUM(D8+D11)</f>
        <v>0</v>
      </c>
      <c r="E12" s="363"/>
      <c r="F12" s="363"/>
      <c r="G12" s="363"/>
      <c r="H12" s="363"/>
      <c r="I12" s="363"/>
      <c r="J12" s="363"/>
      <c r="K12" s="359"/>
    </row>
    <row r="13" spans="1:11" s="360" customFormat="1">
      <c r="A13" s="366" t="s">
        <v>901</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596</v>
      </c>
      <c r="B16" s="358"/>
      <c r="C16" s="358"/>
      <c r="D16" s="358"/>
      <c r="E16" s="358"/>
      <c r="F16" s="358"/>
      <c r="G16" s="358"/>
      <c r="H16" s="358"/>
      <c r="I16" s="358"/>
      <c r="J16" s="358"/>
      <c r="K16" s="359"/>
    </row>
    <row r="17" spans="1:11" s="360" customFormat="1">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597</v>
      </c>
      <c r="B29" s="361">
        <f>'Sources and Uses Budget'!C29</f>
        <v>4117000</v>
      </c>
      <c r="C29" s="362"/>
      <c r="D29" s="362"/>
      <c r="E29" s="361">
        <f>'Sources and Uses Budget'!S29</f>
        <v>4117000</v>
      </c>
      <c r="F29" s="362"/>
      <c r="G29" s="362"/>
      <c r="H29" s="361">
        <f>'Sources and Uses Budget'!T29</f>
        <v>0</v>
      </c>
      <c r="I29" s="362"/>
      <c r="J29" s="362"/>
      <c r="K29" s="359"/>
    </row>
    <row r="30" spans="1:11" s="360" customFormat="1">
      <c r="A30" s="145" t="s">
        <v>598</v>
      </c>
      <c r="B30" s="361">
        <f>'Sources and Uses Budget'!C30</f>
        <v>27971374</v>
      </c>
      <c r="C30" s="362"/>
      <c r="D30" s="362"/>
      <c r="E30" s="361">
        <f>'Sources and Uses Budget'!S30</f>
        <v>27971374</v>
      </c>
      <c r="F30" s="362"/>
      <c r="G30" s="362"/>
      <c r="H30" s="361">
        <f>'Sources and Uses Budget'!T30</f>
        <v>0</v>
      </c>
      <c r="I30" s="362"/>
      <c r="J30" s="362"/>
      <c r="K30" s="359"/>
    </row>
    <row r="31" spans="1:11" s="360" customFormat="1">
      <c r="A31" s="145" t="s">
        <v>599</v>
      </c>
      <c r="B31" s="361">
        <f>'Sources and Uses Budget'!C31</f>
        <v>1604419</v>
      </c>
      <c r="C31" s="362"/>
      <c r="D31" s="362"/>
      <c r="E31" s="361">
        <f>'Sources and Uses Budget'!S31</f>
        <v>1604419</v>
      </c>
      <c r="F31" s="362"/>
      <c r="G31" s="362"/>
      <c r="H31" s="361">
        <f>'Sources and Uses Budget'!T31</f>
        <v>0</v>
      </c>
      <c r="I31" s="362"/>
      <c r="J31" s="362"/>
      <c r="K31" s="359"/>
    </row>
    <row r="32" spans="1:11" s="360" customFormat="1">
      <c r="A32" s="145" t="s">
        <v>137</v>
      </c>
      <c r="B32" s="361">
        <f>'Sources and Uses Budget'!C32</f>
        <v>641767</v>
      </c>
      <c r="C32" s="362"/>
      <c r="D32" s="362"/>
      <c r="E32" s="361">
        <f>'Sources and Uses Budget'!S32</f>
        <v>641767</v>
      </c>
      <c r="F32" s="362"/>
      <c r="G32" s="362"/>
      <c r="H32" s="361">
        <f>'Sources and Uses Budget'!T32</f>
        <v>0</v>
      </c>
      <c r="I32" s="362"/>
      <c r="J32" s="362"/>
      <c r="K32" s="359"/>
    </row>
    <row r="33" spans="1:11" s="360" customFormat="1">
      <c r="A33" s="145" t="s">
        <v>138</v>
      </c>
      <c r="B33" s="361">
        <f>'Sources and Uses Budget'!C33</f>
        <v>1925302</v>
      </c>
      <c r="C33" s="362"/>
      <c r="D33" s="362"/>
      <c r="E33" s="361">
        <f>'Sources and Uses Budget'!S33</f>
        <v>1925302</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300000</v>
      </c>
      <c r="C35" s="362"/>
      <c r="D35" s="362"/>
      <c r="E35" s="361">
        <f>'Sources and Uses Budget'!S35</f>
        <v>300000</v>
      </c>
      <c r="F35" s="362"/>
      <c r="G35" s="362"/>
      <c r="H35" s="361">
        <f>'Sources and Uses Budget'!T35</f>
        <v>0</v>
      </c>
      <c r="I35" s="362"/>
      <c r="J35" s="362"/>
      <c r="K35" s="359"/>
    </row>
    <row r="36" spans="1:11" s="360" customFormat="1">
      <c r="A36" s="508" t="s">
        <v>1640</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P&amp;P Bonds</v>
      </c>
      <c r="B37" s="361">
        <f>'Sources and Uses Budget'!C37</f>
        <v>250000</v>
      </c>
      <c r="C37" s="362"/>
      <c r="D37" s="362"/>
      <c r="E37" s="361">
        <f>'Sources and Uses Budget'!S37</f>
        <v>250000</v>
      </c>
      <c r="F37" s="362"/>
      <c r="G37" s="362"/>
      <c r="H37" s="361">
        <f>'Sources and Uses Budget'!T37</f>
        <v>0</v>
      </c>
      <c r="I37" s="362"/>
      <c r="J37" s="362"/>
      <c r="K37" s="359"/>
    </row>
    <row r="38" spans="1:11" s="360" customFormat="1">
      <c r="A38" s="365" t="s">
        <v>143</v>
      </c>
      <c r="B38" s="361">
        <f>'Sources and Uses Budget'!C38</f>
        <v>36809862</v>
      </c>
      <c r="C38" s="361">
        <f>SUM(C29:C37)</f>
        <v>0</v>
      </c>
      <c r="D38" s="361">
        <f>SUM(D29:D37)</f>
        <v>0</v>
      </c>
      <c r="E38" s="361">
        <f>'Sources and Uses Budget'!S38</f>
        <v>36809862</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750000</v>
      </c>
      <c r="C40" s="362"/>
      <c r="D40" s="362"/>
      <c r="E40" s="361">
        <f>'Sources and Uses Budget'!S40</f>
        <v>750000</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750000</v>
      </c>
      <c r="C42" s="361">
        <f>SUM(C39:C41)</f>
        <v>0</v>
      </c>
      <c r="D42" s="361">
        <f>SUM(D39:D41)</f>
        <v>0</v>
      </c>
      <c r="E42" s="361">
        <f>'Sources and Uses Budget'!S42</f>
        <v>750000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400000</v>
      </c>
      <c r="C43" s="362"/>
      <c r="D43" s="362"/>
      <c r="E43" s="361">
        <f>'Sources and Uses Budget'!S43</f>
        <v>400000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3132000</v>
      </c>
      <c r="C45" s="362"/>
      <c r="D45" s="362"/>
      <c r="E45" s="361">
        <f>'Sources and Uses Budget'!S45</f>
        <v>3132000</v>
      </c>
      <c r="F45" s="362"/>
      <c r="G45" s="362"/>
      <c r="H45" s="361">
        <f>'Sources and Uses Budget'!T45</f>
        <v>0</v>
      </c>
      <c r="I45" s="362"/>
      <c r="J45" s="362"/>
      <c r="K45" s="359"/>
    </row>
    <row r="46" spans="1:11" s="360" customFormat="1">
      <c r="A46" s="364" t="s">
        <v>151</v>
      </c>
      <c r="B46" s="361">
        <f>'Sources and Uses Budget'!C46</f>
        <v>383000</v>
      </c>
      <c r="C46" s="362"/>
      <c r="D46" s="362"/>
      <c r="E46" s="361">
        <f>'Sources and Uses Budget'!S46</f>
        <v>383000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80000</v>
      </c>
      <c r="C49" s="362"/>
      <c r="D49" s="362"/>
      <c r="E49" s="361">
        <f>'Sources and Uses Budget'!S49</f>
        <v>80000</v>
      </c>
      <c r="F49" s="362"/>
      <c r="G49" s="362"/>
      <c r="H49" s="361">
        <f>'Sources and Uses Budget'!T49</f>
        <v>0</v>
      </c>
      <c r="I49" s="362"/>
      <c r="J49" s="362"/>
      <c r="K49" s="359"/>
    </row>
    <row r="50" spans="1:11" s="360" customFormat="1">
      <c r="A50" s="364" t="s">
        <v>156</v>
      </c>
      <c r="B50" s="361">
        <f>'Sources and Uses Budget'!C50</f>
        <v>60000</v>
      </c>
      <c r="C50" s="362"/>
      <c r="D50" s="362"/>
      <c r="E50" s="361">
        <f>'Sources and Uses Budget'!S50</f>
        <v>60000</v>
      </c>
      <c r="F50" s="362"/>
      <c r="G50" s="362"/>
      <c r="H50" s="361">
        <f>'Sources and Uses Budget'!T50</f>
        <v>0</v>
      </c>
      <c r="I50" s="362"/>
      <c r="J50" s="362"/>
      <c r="K50" s="359"/>
    </row>
    <row r="51" spans="1:11" s="360" customFormat="1">
      <c r="A51" s="364" t="s">
        <v>154</v>
      </c>
      <c r="B51" s="361">
        <f>'Sources and Uses Budget'!C51</f>
        <v>15000</v>
      </c>
      <c r="C51" s="362"/>
      <c r="D51" s="362"/>
      <c r="E51" s="361">
        <f>'Sources and Uses Budget'!S51</f>
        <v>15000</v>
      </c>
      <c r="F51" s="362"/>
      <c r="G51" s="362"/>
      <c r="H51" s="361">
        <f>'Sources and Uses Budget'!T51</f>
        <v>0</v>
      </c>
      <c r="I51" s="362"/>
      <c r="J51" s="362"/>
      <c r="K51" s="359"/>
    </row>
    <row r="52" spans="1:11" s="360" customFormat="1">
      <c r="A52" s="364" t="s">
        <v>155</v>
      </c>
      <c r="B52" s="361">
        <f>'Sources and Uses Budget'!C52</f>
        <v>116300</v>
      </c>
      <c r="C52" s="362"/>
      <c r="D52" s="362"/>
      <c r="E52" s="361">
        <f>'Sources and Uses Budget'!S52</f>
        <v>116300</v>
      </c>
      <c r="F52" s="362"/>
      <c r="G52" s="362"/>
      <c r="H52" s="361">
        <f>'Sources and Uses Budget'!T52</f>
        <v>0</v>
      </c>
      <c r="I52" s="362"/>
      <c r="J52" s="362"/>
      <c r="K52" s="359"/>
    </row>
    <row r="53" spans="1:11" s="360" customFormat="1">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3786300</v>
      </c>
      <c r="C54" s="367">
        <f>SUM(C45:C53)</f>
        <v>0</v>
      </c>
      <c r="D54" s="367">
        <f>SUM(D45:D53)</f>
        <v>0</v>
      </c>
      <c r="E54" s="361">
        <f>'Sources and Uses Budget'!S54</f>
        <v>3786300</v>
      </c>
      <c r="F54" s="367">
        <f>SUM(F45:F53)</f>
        <v>0</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25000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Costs of Issuance</v>
      </c>
      <c r="B61" s="361">
        <f>'Sources and Uses Budget'!C61</f>
        <v>100000</v>
      </c>
      <c r="C61" s="362"/>
      <c r="D61" s="362"/>
      <c r="E61" s="363"/>
      <c r="F61" s="363"/>
      <c r="G61" s="363"/>
      <c r="H61" s="363"/>
      <c r="I61" s="363"/>
      <c r="J61" s="363"/>
      <c r="K61" s="359"/>
    </row>
    <row r="62" spans="1:11" s="360" customFormat="1" ht="13.7" customHeight="1">
      <c r="A62" s="365" t="s">
        <v>300</v>
      </c>
      <c r="B62" s="361">
        <f>'Sources and Uses Budget'!C62</f>
        <v>125000</v>
      </c>
      <c r="C62" s="361">
        <f>SUM(C56:C61)</f>
        <v>0</v>
      </c>
      <c r="D62" s="361">
        <f>SUM(D56:D61)</f>
        <v>0</v>
      </c>
      <c r="E62" s="363"/>
      <c r="F62" s="363"/>
      <c r="G62" s="363"/>
      <c r="H62" s="363"/>
      <c r="I62" s="363"/>
      <c r="J62" s="363"/>
      <c r="K62" s="359"/>
    </row>
    <row r="63" spans="1:11" s="360" customFormat="1">
      <c r="A63" s="370" t="s">
        <v>301</v>
      </c>
      <c r="B63" s="361">
        <f>'Sources and Uses Budget'!C63</f>
        <v>50521162</v>
      </c>
      <c r="C63" s="361">
        <f>SUM(C8+C11+C13+C14+C15+C26+C27+C38+C42+C43+C54+C62)</f>
        <v>0</v>
      </c>
      <c r="D63" s="361">
        <f>SUM(D8+D11+D13+D14+D15+D26+D27+D38+D42+D43+D54+D62)</f>
        <v>0</v>
      </c>
      <c r="E63" s="361">
        <f>'Sources and Uses Budget'!S63</f>
        <v>41746162</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1644</v>
      </c>
      <c r="B64" s="358"/>
      <c r="C64" s="358"/>
      <c r="D64" s="358"/>
      <c r="E64" s="358"/>
      <c r="F64" s="358"/>
      <c r="G64" s="358"/>
      <c r="H64" s="358"/>
      <c r="I64" s="358"/>
      <c r="J64" s="358"/>
      <c r="K64" s="359"/>
    </row>
    <row r="65" spans="1:11" s="360" customFormat="1">
      <c r="A65" s="145" t="s">
        <v>170</v>
      </c>
      <c r="B65" s="361">
        <f>'Sources and Uses Budget'!C65</f>
        <v>60000</v>
      </c>
      <c r="C65" s="362"/>
      <c r="D65" s="362"/>
      <c r="E65" s="361">
        <f>'Sources and Uses Budget'!S65</f>
        <v>60000</v>
      </c>
      <c r="F65" s="362"/>
      <c r="G65" s="362"/>
      <c r="H65" s="361">
        <f>'Sources and Uses Budget'!T65</f>
        <v>0</v>
      </c>
      <c r="I65" s="362"/>
      <c r="J65" s="362"/>
      <c r="K65" s="359"/>
    </row>
    <row r="66" spans="1:11" s="360" customFormat="1" ht="24">
      <c r="A66" s="283" t="s">
        <v>1641</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Borrower Attorney</v>
      </c>
      <c r="B69" s="361">
        <f>'Sources and Uses Budget'!C69</f>
        <v>60000</v>
      </c>
      <c r="C69" s="362"/>
      <c r="D69" s="362"/>
      <c r="E69" s="361">
        <f>'Sources and Uses Budget'!S69</f>
        <v>60000</v>
      </c>
      <c r="F69" s="362"/>
      <c r="G69" s="362"/>
      <c r="H69" s="361">
        <f>'Sources and Uses Budget'!T69</f>
        <v>0</v>
      </c>
      <c r="I69" s="362"/>
      <c r="J69" s="362"/>
      <c r="K69" s="359"/>
    </row>
    <row r="70" spans="1:11" s="360" customFormat="1">
      <c r="A70" s="365" t="s">
        <v>600</v>
      </c>
      <c r="B70" s="361">
        <f>'Sources and Uses Budget'!C70</f>
        <v>120000</v>
      </c>
      <c r="C70" s="361">
        <f>SUM(C64:C69)</f>
        <v>0</v>
      </c>
      <c r="D70" s="361">
        <f>SUM(D64:D69)</f>
        <v>0</v>
      </c>
      <c r="E70" s="361">
        <f>'Sources and Uses Budget'!S70</f>
        <v>120000</v>
      </c>
      <c r="F70" s="367">
        <f>SUM(F65:F69)</f>
        <v>0</v>
      </c>
      <c r="G70" s="367">
        <f>SUM(G65:G69)</f>
        <v>0</v>
      </c>
      <c r="H70" s="361">
        <f>'Sources and Uses Budget'!T70</f>
        <v>0</v>
      </c>
      <c r="I70" s="367">
        <f>SUM(I65:I69)</f>
        <v>0</v>
      </c>
      <c r="J70" s="367">
        <f>SUM(J65:J69)</f>
        <v>0</v>
      </c>
      <c r="K70" s="359"/>
    </row>
    <row r="71" spans="1:11" s="360" customFormat="1">
      <c r="A71" s="357" t="s">
        <v>601</v>
      </c>
      <c r="B71" s="358"/>
      <c r="C71" s="358"/>
      <c r="D71" s="358"/>
      <c r="E71" s="358"/>
      <c r="F71" s="358"/>
      <c r="G71" s="358"/>
      <c r="H71" s="358"/>
      <c r="I71" s="358"/>
      <c r="J71" s="358"/>
      <c r="K71" s="359"/>
    </row>
    <row r="72" spans="1:11" s="360" customFormat="1">
      <c r="A72" s="364" t="s">
        <v>602</v>
      </c>
      <c r="B72" s="361">
        <f>'Sources and Uses Budget'!C72</f>
        <v>0</v>
      </c>
      <c r="C72" s="362"/>
      <c r="D72" s="362"/>
      <c r="E72" s="363"/>
      <c r="F72" s="363"/>
      <c r="G72" s="363"/>
      <c r="H72" s="363"/>
      <c r="I72" s="363"/>
      <c r="J72" s="363"/>
      <c r="K72" s="359"/>
    </row>
    <row r="73" spans="1:11" s="360" customFormat="1">
      <c r="A73" s="364" t="s">
        <v>603</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c r="A75" s="364" t="s">
        <v>604</v>
      </c>
      <c r="B75" s="361">
        <f>'Sources and Uses Budget'!C75</f>
        <v>671694</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605</v>
      </c>
      <c r="B77" s="361">
        <f>'Sources and Uses Budget'!C77</f>
        <v>671694</v>
      </c>
      <c r="C77" s="361">
        <f>SUM(C72:C76)</f>
        <v>0</v>
      </c>
      <c r="D77" s="361">
        <f>SUM(D72:D76)</f>
        <v>0</v>
      </c>
      <c r="E77" s="363"/>
      <c r="F77" s="363"/>
      <c r="G77" s="363"/>
      <c r="H77" s="363"/>
      <c r="I77" s="363"/>
      <c r="J77" s="363"/>
      <c r="K77" s="359"/>
    </row>
    <row r="78" spans="1:11" s="360" customFormat="1">
      <c r="A78" s="357" t="s">
        <v>1209</v>
      </c>
      <c r="B78" s="358"/>
      <c r="C78" s="358"/>
      <c r="D78" s="358"/>
      <c r="E78" s="358"/>
      <c r="F78" s="358"/>
      <c r="G78" s="358"/>
      <c r="H78" s="358"/>
      <c r="I78" s="358"/>
      <c r="J78" s="358"/>
      <c r="K78" s="359"/>
    </row>
    <row r="79" spans="1:11" s="360" customFormat="1">
      <c r="A79" s="364" t="s">
        <v>1211</v>
      </c>
      <c r="B79" s="361">
        <f>'Sources and Uses Budget'!C79</f>
        <v>1813000</v>
      </c>
      <c r="C79" s="362"/>
      <c r="D79" s="362"/>
      <c r="E79" s="361">
        <f>'Sources and Uses Budget'!S79</f>
        <v>1813000</v>
      </c>
      <c r="F79" s="362"/>
      <c r="G79" s="362"/>
      <c r="H79" s="361">
        <f>'Sources and Uses Budget'!T79</f>
        <v>0</v>
      </c>
      <c r="I79" s="362"/>
      <c r="J79" s="362"/>
      <c r="K79" s="359"/>
    </row>
    <row r="80" spans="1:11" s="360" customFormat="1">
      <c r="A80" s="364" t="s">
        <v>58</v>
      </c>
      <c r="B80" s="361">
        <f>'Sources and Uses Budget'!C80</f>
        <v>300000</v>
      </c>
      <c r="C80" s="362"/>
      <c r="D80" s="362"/>
      <c r="E80" s="361">
        <f>'Sources and Uses Budget'!S80</f>
        <v>300000</v>
      </c>
      <c r="F80" s="362"/>
      <c r="G80" s="362"/>
      <c r="H80" s="361">
        <f>'Sources and Uses Budget'!T80</f>
        <v>0</v>
      </c>
      <c r="I80" s="362"/>
      <c r="J80" s="362"/>
      <c r="K80" s="359"/>
    </row>
    <row r="81" spans="1:11" s="360" customFormat="1">
      <c r="A81" s="365" t="s">
        <v>1208</v>
      </c>
      <c r="B81" s="361">
        <f>'Sources and Uses Budget'!C81</f>
        <v>2113000</v>
      </c>
      <c r="C81" s="361">
        <f>SUM(C79:C80)</f>
        <v>0</v>
      </c>
      <c r="D81" s="361">
        <f>SUM(D79:D80)</f>
        <v>0</v>
      </c>
      <c r="E81" s="361">
        <f>'Sources and Uses Budget'!S81</f>
        <v>2113000</v>
      </c>
      <c r="F81" s="361">
        <f>SUM(F79:F80)</f>
        <v>0</v>
      </c>
      <c r="G81" s="361">
        <f>SUM(G79:G80)</f>
        <v>0</v>
      </c>
      <c r="H81" s="361">
        <f>'Sources and Uses Budget'!T81</f>
        <v>0</v>
      </c>
      <c r="I81" s="361">
        <f>SUM(I79:I80)</f>
        <v>0</v>
      </c>
      <c r="J81" s="361">
        <f>SUM(J79:J80)</f>
        <v>0</v>
      </c>
      <c r="K81" s="359"/>
    </row>
    <row r="82" spans="1:11" s="360" customFormat="1">
      <c r="A82" s="357" t="s">
        <v>764</v>
      </c>
      <c r="B82" s="358"/>
      <c r="C82" s="358"/>
      <c r="D82" s="358"/>
      <c r="E82" s="358"/>
      <c r="F82" s="358"/>
      <c r="G82" s="358"/>
      <c r="H82" s="358"/>
      <c r="I82" s="358"/>
      <c r="J82" s="358"/>
      <c r="K82" s="359"/>
    </row>
    <row r="83" spans="1:11" s="360" customFormat="1" ht="13.7" customHeight="1">
      <c r="A83" s="145" t="s">
        <v>2094</v>
      </c>
      <c r="B83" s="361">
        <f>'Sources and Uses Budget'!C83</f>
        <v>85300</v>
      </c>
      <c r="C83" s="362"/>
      <c r="D83" s="362"/>
      <c r="E83" s="363"/>
      <c r="F83" s="363"/>
      <c r="G83" s="363"/>
      <c r="H83" s="363"/>
      <c r="I83" s="363"/>
      <c r="J83" s="363"/>
      <c r="K83" s="359"/>
    </row>
    <row r="84" spans="1:11" s="360" customFormat="1">
      <c r="A84" s="145" t="s">
        <v>766</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767</v>
      </c>
      <c r="B85" s="361">
        <f>'Sources and Uses Budget'!C85</f>
        <v>4372860</v>
      </c>
      <c r="C85" s="362"/>
      <c r="D85" s="362"/>
      <c r="E85" s="361">
        <f>'Sources and Uses Budget'!S85</f>
        <v>4372860</v>
      </c>
      <c r="F85" s="362"/>
      <c r="G85" s="362"/>
      <c r="H85" s="361">
        <f>'Sources and Uses Budget'!T85</f>
        <v>0</v>
      </c>
      <c r="I85" s="362"/>
      <c r="J85" s="362"/>
      <c r="K85" s="359"/>
    </row>
    <row r="86" spans="1:11" s="360" customFormat="1">
      <c r="A86" s="145" t="s">
        <v>768</v>
      </c>
      <c r="B86" s="361">
        <f>'Sources and Uses Budget'!C86</f>
        <v>770640</v>
      </c>
      <c r="C86" s="362"/>
      <c r="D86" s="362"/>
      <c r="E86" s="361">
        <f>'Sources and Uses Budget'!S86</f>
        <v>770640</v>
      </c>
      <c r="F86" s="362"/>
      <c r="G86" s="362"/>
      <c r="H86" s="361">
        <f>'Sources and Uses Budget'!T86</f>
        <v>0</v>
      </c>
      <c r="I86" s="362"/>
      <c r="J86" s="362"/>
      <c r="K86" s="359"/>
    </row>
    <row r="87" spans="1:11" s="360" customFormat="1">
      <c r="A87" s="145" t="s">
        <v>769</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770</v>
      </c>
      <c r="B88" s="361">
        <f>'Sources and Uses Budget'!C88</f>
        <v>36151</v>
      </c>
      <c r="C88" s="362"/>
      <c r="D88" s="362"/>
      <c r="E88" s="363"/>
      <c r="F88" s="363"/>
      <c r="G88" s="363"/>
      <c r="H88" s="363"/>
      <c r="I88" s="363"/>
      <c r="J88" s="363"/>
      <c r="K88" s="359"/>
    </row>
    <row r="89" spans="1:11" s="360" customFormat="1">
      <c r="A89" s="145" t="s">
        <v>771</v>
      </c>
      <c r="B89" s="361">
        <f>'Sources and Uses Budget'!C89</f>
        <v>50000</v>
      </c>
      <c r="C89" s="362"/>
      <c r="D89" s="362"/>
      <c r="E89" s="361">
        <f>'Sources and Uses Budget'!S89</f>
        <v>50000</v>
      </c>
      <c r="F89" s="362"/>
      <c r="G89" s="362"/>
      <c r="H89" s="361">
        <f>'Sources and Uses Budget'!T89</f>
        <v>0</v>
      </c>
      <c r="I89" s="362"/>
      <c r="J89" s="362"/>
      <c r="K89" s="359"/>
    </row>
    <row r="90" spans="1:11" s="360" customFormat="1">
      <c r="A90" s="145" t="s">
        <v>772</v>
      </c>
      <c r="B90" s="361">
        <f>'Sources and Uses Budget'!C90</f>
        <v>10000</v>
      </c>
      <c r="C90" s="362"/>
      <c r="D90" s="362"/>
      <c r="E90" s="361">
        <f>'Sources and Uses Budget'!S90</f>
        <v>10000</v>
      </c>
      <c r="F90" s="362"/>
      <c r="G90" s="362"/>
      <c r="H90" s="361">
        <f>'Sources and Uses Budget'!T90</f>
        <v>0</v>
      </c>
      <c r="I90" s="362"/>
      <c r="J90" s="362"/>
      <c r="K90" s="359"/>
    </row>
    <row r="91" spans="1:11" s="360" customFormat="1">
      <c r="A91" s="155" t="s">
        <v>371</v>
      </c>
      <c r="B91" s="361">
        <f>'Sources and Uses Budget'!C91</f>
        <v>10000</v>
      </c>
      <c r="C91" s="362"/>
      <c r="D91" s="362"/>
      <c r="E91" s="361">
        <f>'Sources and Uses Budget'!S91</f>
        <v>10000</v>
      </c>
      <c r="F91" s="362"/>
      <c r="G91" s="362"/>
      <c r="H91" s="361">
        <f>'Sources and Uses Budget'!T91</f>
        <v>0</v>
      </c>
      <c r="I91" s="362"/>
      <c r="J91" s="362"/>
      <c r="K91" s="359"/>
    </row>
    <row r="92" spans="1:11" s="360" customFormat="1">
      <c r="A92" s="508" t="s">
        <v>1210</v>
      </c>
      <c r="B92" s="361">
        <f>'Sources and Uses Budget'!C92</f>
        <v>10000</v>
      </c>
      <c r="C92" s="362"/>
      <c r="D92" s="362"/>
      <c r="E92" s="361">
        <f>'Sources and Uses Budget'!S92</f>
        <v>10000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773</v>
      </c>
      <c r="B96" s="361">
        <f>'Sources and Uses Budget'!C96</f>
        <v>5344951</v>
      </c>
      <c r="C96" s="361">
        <f>SUM(C83:C95)</f>
        <v>0</v>
      </c>
      <c r="D96" s="361">
        <f>SUM(D83:D95)</f>
        <v>0</v>
      </c>
      <c r="E96" s="361">
        <f>'Sources and Uses Budget'!S96</f>
        <v>5223500</v>
      </c>
      <c r="F96" s="367">
        <f>SUM(F84:F87,F89:F95)</f>
        <v>0</v>
      </c>
      <c r="G96" s="367">
        <f>SUM(G84:G87,G89:G95)</f>
        <v>0</v>
      </c>
      <c r="H96" s="361">
        <f>'Sources and Uses Budget'!T96</f>
        <v>0</v>
      </c>
      <c r="I96" s="361">
        <f>SUM(I84:I87,I89:I95)</f>
        <v>0</v>
      </c>
      <c r="J96" s="361">
        <f>SUM(J84:J87,J89:J95)</f>
        <v>0</v>
      </c>
      <c r="K96" s="359"/>
    </row>
    <row r="97" spans="1:11" s="360" customFormat="1">
      <c r="A97" s="365" t="s">
        <v>1028</v>
      </c>
      <c r="B97" s="361">
        <f>'Sources and Uses Budget'!C97</f>
        <v>58770807</v>
      </c>
      <c r="C97" s="361">
        <f>SUM(C63+C70+C77+C81+C96)</f>
        <v>0</v>
      </c>
      <c r="D97" s="361">
        <f>SUM(D63+D70+D77+D81+D96)</f>
        <v>0</v>
      </c>
      <c r="E97" s="361">
        <f>'Sources and Uses Budget'!S97</f>
        <v>49202662</v>
      </c>
      <c r="F97" s="367">
        <f>SUM(+F63+F70+F81+F96)</f>
        <v>0</v>
      </c>
      <c r="G97" s="367">
        <f>SUM(+G63+G70+G81+G96)</f>
        <v>0</v>
      </c>
      <c r="H97" s="361">
        <f>'Sources and Uses Budget'!T97</f>
        <v>0</v>
      </c>
      <c r="I97" s="367">
        <f>SUM(I63+I70+I81+I96)</f>
        <v>0</v>
      </c>
      <c r="J97" s="367">
        <f>SUM(J63+J70+J81+J96)</f>
        <v>0</v>
      </c>
      <c r="K97" s="359"/>
    </row>
    <row r="98" spans="1:11" s="360" customFormat="1">
      <c r="A98" s="357" t="s">
        <v>775</v>
      </c>
      <c r="B98" s="358"/>
      <c r="C98" s="358"/>
      <c r="D98" s="358"/>
      <c r="E98" s="358"/>
      <c r="F98" s="358"/>
      <c r="G98" s="358"/>
      <c r="H98" s="358"/>
      <c r="I98" s="358"/>
      <c r="J98" s="358"/>
      <c r="K98" s="359"/>
    </row>
    <row r="99" spans="1:11" s="360" customFormat="1">
      <c r="A99" s="145" t="s">
        <v>776</v>
      </c>
      <c r="B99" s="361">
        <f>'Sources and Uses Budget'!C99</f>
        <v>9840532</v>
      </c>
      <c r="C99" s="362"/>
      <c r="D99" s="362"/>
      <c r="E99" s="361">
        <f>'Sources and Uses Budget'!S99</f>
        <v>9840532</v>
      </c>
      <c r="F99" s="362"/>
      <c r="G99" s="362"/>
      <c r="H99" s="361">
        <f>'Sources and Uses Budget'!T99</f>
        <v>0</v>
      </c>
      <c r="I99" s="362"/>
      <c r="J99" s="362"/>
      <c r="K99" s="359"/>
    </row>
    <row r="100" spans="1:11" s="360" customFormat="1">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9840532</v>
      </c>
      <c r="C104" s="361">
        <f>SUM(C99:C103)</f>
        <v>0</v>
      </c>
      <c r="D104" s="361">
        <f>SUM(D99:D103)</f>
        <v>0</v>
      </c>
      <c r="E104" s="361">
        <f>'Sources and Uses Budget'!S104</f>
        <v>9840532</v>
      </c>
      <c r="F104" s="367">
        <f>SUM(F99:F103)</f>
        <v>0</v>
      </c>
      <c r="G104" s="367">
        <f>SUM(G99:G103)</f>
        <v>0</v>
      </c>
      <c r="H104" s="361">
        <f>'Sources and Uses Budget'!T104</f>
        <v>0</v>
      </c>
      <c r="I104" s="367">
        <f>SUM(I99:I103)</f>
        <v>0</v>
      </c>
      <c r="J104" s="367">
        <f>SUM(J99:J103)</f>
        <v>0</v>
      </c>
      <c r="K104" s="359"/>
    </row>
    <row r="105" spans="1:11" s="360" customFormat="1">
      <c r="A105" s="365" t="s">
        <v>1029</v>
      </c>
      <c r="B105" s="361">
        <f>'Sources and Uses Budget'!C105</f>
        <v>68611339</v>
      </c>
      <c r="C105" s="367">
        <f>SUM(C97+C104)</f>
        <v>0</v>
      </c>
      <c r="D105" s="367">
        <f>SUM(D97+D104)</f>
        <v>0</v>
      </c>
      <c r="E105" s="361">
        <f>'Sources and Uses Budget'!S105</f>
        <v>59043194</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59043194</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4"/>
      <c r="E124" s="1312"/>
      <c r="F124" s="1312"/>
      <c r="G124" s="1312"/>
      <c r="H124" s="1312"/>
      <c r="I124" s="1312"/>
      <c r="J124" s="376"/>
      <c r="K124" s="359"/>
    </row>
    <row r="125" spans="1:11" s="360" customFormat="1" ht="12.75">
      <c r="A125" s="385"/>
      <c r="B125" s="384"/>
      <c r="C125" s="385"/>
      <c r="D125" s="1312"/>
      <c r="E125" s="1312"/>
      <c r="F125" s="1312"/>
      <c r="G125" s="1312"/>
      <c r="H125" s="1312"/>
      <c r="I125" s="1312"/>
      <c r="J125" s="376"/>
      <c r="K125" s="359"/>
    </row>
    <row r="126" spans="1:11" s="360" customFormat="1" ht="12.75">
      <c r="A126" s="385"/>
      <c r="B126" s="384"/>
      <c r="C126" s="385"/>
      <c r="D126" s="1312"/>
      <c r="E126" s="1312"/>
      <c r="F126" s="1312"/>
      <c r="G126" s="1312"/>
      <c r="H126" s="1312"/>
      <c r="I126" s="1312"/>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5"/>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1887" t="s">
        <v>2456</v>
      </c>
      <c r="B1" s="1888"/>
      <c r="C1" s="1888"/>
      <c r="D1" s="1888"/>
      <c r="E1" s="1888"/>
      <c r="F1" s="1888"/>
      <c r="G1" s="1888"/>
      <c r="H1" s="1888"/>
      <c r="I1" s="1888"/>
      <c r="J1" s="1888"/>
      <c r="K1" s="1888"/>
      <c r="L1" s="1888"/>
      <c r="M1" s="1888"/>
      <c r="N1" s="1888"/>
      <c r="O1" s="1888"/>
      <c r="P1" s="1888"/>
      <c r="Q1" s="1888"/>
      <c r="R1" s="1888"/>
      <c r="S1" s="1888"/>
      <c r="T1" s="1888"/>
      <c r="U1" s="1888"/>
      <c r="V1" s="1888"/>
      <c r="W1" s="1888"/>
      <c r="X1" s="1888"/>
      <c r="Y1" s="1888"/>
      <c r="Z1" s="1888"/>
      <c r="AA1" s="1888"/>
      <c r="AB1" s="1888"/>
      <c r="AC1" s="1888"/>
      <c r="AD1" s="1888"/>
      <c r="AE1" s="1888"/>
      <c r="AF1" s="1888"/>
      <c r="AG1" s="1888"/>
      <c r="AH1" s="1888"/>
      <c r="AI1" s="1888"/>
      <c r="AJ1" s="1888"/>
      <c r="AK1" s="1888"/>
      <c r="AL1" s="1888"/>
      <c r="AM1" s="1888"/>
      <c r="AN1" s="1888"/>
      <c r="AO1" s="1888"/>
      <c r="AP1" s="1888"/>
      <c r="AQ1" s="1888"/>
      <c r="AR1" s="1888"/>
      <c r="AS1" s="1888"/>
      <c r="AT1" s="1888"/>
      <c r="AU1" s="1888"/>
      <c r="AV1" s="1888"/>
      <c r="AW1" s="1888"/>
      <c r="AX1" s="1888"/>
      <c r="AY1" s="1888"/>
      <c r="AZ1" s="1888"/>
      <c r="BA1" s="1888"/>
      <c r="BB1" s="1888"/>
      <c r="BC1" s="1888"/>
      <c r="BD1" s="1888"/>
      <c r="BE1" s="1889"/>
    </row>
    <row r="2" spans="1:65" ht="15.75" customHeight="1">
      <c r="A2" s="1890" t="s">
        <v>2455</v>
      </c>
      <c r="B2" s="1891"/>
      <c r="C2" s="1891"/>
      <c r="D2" s="1891"/>
      <c r="E2" s="1891"/>
      <c r="F2" s="1891"/>
      <c r="G2" s="1891"/>
      <c r="H2" s="1891"/>
      <c r="I2" s="1891"/>
      <c r="J2" s="1891"/>
      <c r="K2" s="1891"/>
      <c r="L2" s="1891"/>
      <c r="M2" s="1891"/>
      <c r="N2" s="1891"/>
      <c r="O2" s="1891"/>
      <c r="P2" s="1891"/>
      <c r="Q2" s="1891"/>
      <c r="R2" s="1891"/>
      <c r="S2" s="1891"/>
      <c r="T2" s="1891"/>
      <c r="U2" s="1891"/>
      <c r="V2" s="1891"/>
      <c r="W2" s="1891"/>
      <c r="X2" s="1891"/>
      <c r="Y2" s="1891"/>
      <c r="Z2" s="1891"/>
      <c r="AA2" s="1891"/>
      <c r="AB2" s="1891"/>
      <c r="AC2" s="1891"/>
      <c r="AD2" s="1891"/>
      <c r="AE2" s="1891"/>
      <c r="AF2" s="1891"/>
      <c r="AG2" s="1891"/>
      <c r="AH2" s="1891"/>
      <c r="AI2" s="1891"/>
      <c r="AJ2" s="1891"/>
      <c r="AK2" s="1891"/>
      <c r="AL2" s="1891"/>
      <c r="AM2" s="1891"/>
      <c r="AN2" s="1891"/>
      <c r="AO2" s="1891"/>
      <c r="AP2" s="1891"/>
      <c r="AQ2" s="1891"/>
      <c r="AR2" s="1891"/>
      <c r="AS2" s="1891"/>
      <c r="AT2" s="1891"/>
      <c r="AU2" s="1891"/>
      <c r="AV2" s="1891"/>
      <c r="AW2" s="1891"/>
      <c r="AX2" s="1891"/>
      <c r="AY2" s="1891"/>
      <c r="AZ2" s="1891"/>
      <c r="BA2" s="1891"/>
      <c r="BB2" s="1891"/>
      <c r="BC2" s="1891"/>
      <c r="BD2" s="1891"/>
      <c r="BE2" s="1892"/>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655</v>
      </c>
      <c r="C4" s="1192"/>
      <c r="D4" s="1192"/>
      <c r="E4" s="1192"/>
      <c r="F4" s="1192"/>
      <c r="G4" s="1190"/>
      <c r="H4" s="1190"/>
      <c r="I4" s="1190"/>
      <c r="J4" s="1190"/>
      <c r="K4" s="1190"/>
      <c r="L4" s="1879" t="str">
        <f>IF(Application!H18="","",Application!H18)</f>
        <v xml:space="preserve">Bella Village Apartments </v>
      </c>
      <c r="M4" s="1880"/>
      <c r="N4" s="1880"/>
      <c r="O4" s="1880"/>
      <c r="P4" s="1880"/>
      <c r="Q4" s="1880"/>
      <c r="R4" s="1880"/>
      <c r="S4" s="1880"/>
      <c r="T4" s="1880"/>
      <c r="U4" s="1880"/>
      <c r="V4" s="1880"/>
      <c r="W4" s="1880"/>
      <c r="X4" s="1880"/>
      <c r="Y4" s="1880"/>
      <c r="Z4" s="1880"/>
      <c r="AA4" s="1880"/>
      <c r="AB4" s="1880"/>
      <c r="AC4" s="1881"/>
      <c r="AD4" s="1190"/>
      <c r="AE4" s="1190"/>
      <c r="AF4" s="1893" t="s">
        <v>2454</v>
      </c>
      <c r="AG4" s="1893"/>
      <c r="AH4" s="1893"/>
      <c r="AI4" s="1893"/>
      <c r="AJ4" s="1893"/>
      <c r="AK4" s="1893"/>
      <c r="AL4" s="1893"/>
      <c r="AM4" s="1893"/>
      <c r="AN4" s="1893"/>
      <c r="AO4" s="1893"/>
      <c r="AP4" s="1894"/>
      <c r="AQ4" s="1895"/>
      <c r="AR4" s="1895"/>
      <c r="AS4" s="1895"/>
      <c r="AT4" s="1895"/>
      <c r="AU4" s="1895"/>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93" t="s">
        <v>2453</v>
      </c>
      <c r="AG5" s="1893"/>
      <c r="AH5" s="1893"/>
      <c r="AI5" s="1893"/>
      <c r="AJ5" s="1893"/>
      <c r="AK5" s="1893"/>
      <c r="AL5" s="1893"/>
      <c r="AM5" s="1893"/>
      <c r="AN5" s="1893"/>
      <c r="AO5" s="1893"/>
      <c r="AP5" s="1894"/>
      <c r="AQ5" s="1895"/>
      <c r="AR5" s="1895"/>
      <c r="AS5" s="1895"/>
      <c r="AT5" s="1895"/>
      <c r="AU5" s="1895"/>
      <c r="AV5" s="1190"/>
      <c r="AW5" s="1190"/>
      <c r="AX5" s="1190"/>
      <c r="AY5" s="1190"/>
      <c r="AZ5" s="1190"/>
      <c r="BA5" s="1190"/>
      <c r="BB5" s="1190"/>
      <c r="BC5" s="1190"/>
      <c r="BD5" s="1190"/>
      <c r="BE5" s="1191"/>
    </row>
    <row r="6" spans="1:65" ht="15.75" customHeight="1" thickBot="1">
      <c r="A6" s="1189"/>
      <c r="B6" s="1192" t="s">
        <v>2452</v>
      </c>
      <c r="C6" s="1190"/>
      <c r="D6" s="1190"/>
      <c r="E6" s="1190"/>
      <c r="F6" s="1190"/>
      <c r="G6" s="1190"/>
      <c r="H6" s="1190"/>
      <c r="I6" s="1190"/>
      <c r="J6" s="1190"/>
      <c r="K6" s="1190"/>
      <c r="L6" s="1879" t="str">
        <f>IF(Application!H16="","",Application!H16)</f>
        <v xml:space="preserve">LIHTC Advisors, LLC </v>
      </c>
      <c r="M6" s="1880"/>
      <c r="N6" s="1880"/>
      <c r="O6" s="1880"/>
      <c r="P6" s="1880"/>
      <c r="Q6" s="1880"/>
      <c r="R6" s="1880"/>
      <c r="S6" s="1880"/>
      <c r="T6" s="1880"/>
      <c r="U6" s="1880"/>
      <c r="V6" s="1880"/>
      <c r="W6" s="1880"/>
      <c r="X6" s="1880"/>
      <c r="Y6" s="1880"/>
      <c r="Z6" s="1880"/>
      <c r="AA6" s="1880"/>
      <c r="AB6" s="1880"/>
      <c r="AC6" s="1881"/>
      <c r="AD6" s="1190"/>
      <c r="AE6" s="1190"/>
      <c r="AF6" s="1882" t="s">
        <v>2451</v>
      </c>
      <c r="AG6" s="1882"/>
      <c r="AH6" s="1882"/>
      <c r="AI6" s="1882"/>
      <c r="AJ6" s="1882"/>
      <c r="AK6" s="1882"/>
      <c r="AL6" s="1882"/>
      <c r="AM6" s="1882"/>
      <c r="AN6" s="1882"/>
      <c r="AO6" s="1882"/>
      <c r="AP6" s="1883"/>
      <c r="AQ6" s="1883"/>
      <c r="AR6" s="1883"/>
      <c r="AS6" s="1883"/>
      <c r="AT6" s="1883"/>
      <c r="AU6" s="1883"/>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82" t="s">
        <v>2450</v>
      </c>
      <c r="AG7" s="1882"/>
      <c r="AH7" s="1882"/>
      <c r="AI7" s="1882"/>
      <c r="AJ7" s="1882"/>
      <c r="AK7" s="1882"/>
      <c r="AL7" s="1882"/>
      <c r="AM7" s="1882"/>
      <c r="AN7" s="1882"/>
      <c r="AO7" s="1882"/>
      <c r="AP7" s="1883"/>
      <c r="AQ7" s="1883"/>
      <c r="AR7" s="1883"/>
      <c r="AS7" s="1883"/>
      <c r="AT7" s="1883"/>
      <c r="AU7" s="1883"/>
      <c r="AV7" s="1190"/>
      <c r="AW7" s="1190"/>
      <c r="AX7" s="1190"/>
      <c r="AY7" s="1190"/>
      <c r="AZ7" s="1190"/>
      <c r="BA7" s="1190"/>
      <c r="BB7" s="1190"/>
      <c r="BC7" s="1190"/>
      <c r="BD7" s="1190"/>
      <c r="BE7" s="1191"/>
    </row>
    <row r="8" spans="1:65" thickBot="1">
      <c r="A8" s="1189"/>
      <c r="B8" s="1192" t="s">
        <v>2449</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4" t="str">
        <f>Application!T197</f>
        <v>No</v>
      </c>
      <c r="AC8" s="1885"/>
      <c r="AD8" s="1886"/>
      <c r="AE8" s="1190"/>
      <c r="AF8" s="1882" t="s">
        <v>2448</v>
      </c>
      <c r="AG8" s="1882"/>
      <c r="AH8" s="1882"/>
      <c r="AI8" s="1882"/>
      <c r="AJ8" s="1882"/>
      <c r="AK8" s="1882"/>
      <c r="AL8" s="1882"/>
      <c r="AM8" s="1882"/>
      <c r="AN8" s="1882"/>
      <c r="AO8" s="1882"/>
      <c r="AP8" s="1883" t="s">
        <v>2098</v>
      </c>
      <c r="AQ8" s="1883"/>
      <c r="AR8" s="1883"/>
      <c r="AS8" s="1883"/>
      <c r="AT8" s="1883"/>
      <c r="AU8" s="1883"/>
      <c r="AV8" s="1190"/>
      <c r="AW8" s="1190"/>
      <c r="AX8" s="1190"/>
      <c r="AY8" s="1190"/>
      <c r="AZ8" s="1190"/>
      <c r="BA8" s="1190"/>
      <c r="BB8" s="1190"/>
      <c r="BC8" s="1190"/>
      <c r="BD8" s="1190"/>
      <c r="BE8" s="1191"/>
      <c r="BM8" s="1187" t="s">
        <v>1983</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93" t="s">
        <v>2447</v>
      </c>
      <c r="AG9" s="1893"/>
      <c r="AH9" s="1893"/>
      <c r="AI9" s="1893"/>
      <c r="AJ9" s="1893"/>
      <c r="AK9" s="1893"/>
      <c r="AL9" s="1893"/>
      <c r="AM9" s="1893"/>
      <c r="AN9" s="1893"/>
      <c r="AO9" s="1893"/>
      <c r="AP9" s="1894"/>
      <c r="AQ9" s="1895"/>
      <c r="AR9" s="1895"/>
      <c r="AS9" s="1895"/>
      <c r="AT9" s="1895"/>
      <c r="AU9" s="1895"/>
      <c r="AV9" s="1190"/>
      <c r="AW9" s="1190"/>
      <c r="AX9" s="1190"/>
      <c r="AY9" s="1190"/>
      <c r="AZ9" s="1190"/>
      <c r="BA9" s="1190"/>
      <c r="BB9" s="1190"/>
      <c r="BC9" s="1190"/>
      <c r="BD9" s="1190"/>
      <c r="BE9" s="1191"/>
      <c r="BM9" s="1187" t="s">
        <v>2446</v>
      </c>
    </row>
    <row r="10" spans="1:65" ht="15">
      <c r="A10" s="1189"/>
      <c r="B10" s="1192" t="s">
        <v>2445</v>
      </c>
      <c r="C10" s="1192"/>
      <c r="D10" s="1192"/>
      <c r="E10" s="1192"/>
      <c r="F10" s="1192"/>
      <c r="G10" s="1192"/>
      <c r="H10" s="1192"/>
      <c r="I10" s="1192"/>
      <c r="J10" s="1192"/>
      <c r="K10" s="1192"/>
      <c r="L10" s="1192"/>
      <c r="M10" s="1190"/>
      <c r="N10" s="1908">
        <f>Application!AO627</f>
        <v>25014844</v>
      </c>
      <c r="O10" s="1908"/>
      <c r="P10" s="1908"/>
      <c r="Q10" s="1908"/>
      <c r="R10" s="1908"/>
      <c r="S10" s="1908"/>
      <c r="T10" s="1908"/>
      <c r="U10" s="1190"/>
      <c r="V10" s="1190"/>
      <c r="W10" s="1190"/>
      <c r="X10" s="1193"/>
      <c r="Y10" s="1193"/>
      <c r="Z10" s="1193"/>
      <c r="AA10" s="1193"/>
      <c r="AB10" s="1193"/>
      <c r="AC10" s="1193"/>
      <c r="AD10" s="1193"/>
      <c r="AE10" s="1193"/>
      <c r="AF10" s="1893" t="s">
        <v>2444</v>
      </c>
      <c r="AG10" s="1893"/>
      <c r="AH10" s="1893"/>
      <c r="AI10" s="1893"/>
      <c r="AJ10" s="1893"/>
      <c r="AK10" s="1893"/>
      <c r="AL10" s="1893"/>
      <c r="AM10" s="1893"/>
      <c r="AN10" s="1893"/>
      <c r="AO10" s="1893"/>
      <c r="AP10" s="1894"/>
      <c r="AQ10" s="1895"/>
      <c r="AR10" s="1895"/>
      <c r="AS10" s="1895"/>
      <c r="AT10" s="1895"/>
      <c r="AU10" s="1895"/>
      <c r="AV10" s="1193"/>
      <c r="AW10" s="1193"/>
      <c r="AX10" s="1190"/>
      <c r="AY10" s="1190"/>
      <c r="AZ10" s="1190"/>
      <c r="BA10" s="1190"/>
      <c r="BB10" s="1190"/>
      <c r="BC10" s="1190"/>
      <c r="BD10" s="1190"/>
      <c r="BE10" s="1191"/>
      <c r="BM10" s="1187" t="s">
        <v>2443</v>
      </c>
    </row>
    <row r="11" spans="1:65" ht="15">
      <c r="A11" s="1189"/>
      <c r="B11" s="1192" t="s">
        <v>2442</v>
      </c>
      <c r="C11" s="1192"/>
      <c r="D11" s="1192"/>
      <c r="E11" s="1192"/>
      <c r="F11" s="1192"/>
      <c r="G11" s="1192"/>
      <c r="H11" s="1192"/>
      <c r="I11" s="1192"/>
      <c r="J11" s="1192"/>
      <c r="K11" s="1192"/>
      <c r="L11" s="1192"/>
      <c r="M11" s="1190"/>
      <c r="N11" s="1908">
        <f>Application!AA934</f>
        <v>0</v>
      </c>
      <c r="O11" s="1908"/>
      <c r="P11" s="1908"/>
      <c r="Q11" s="1908"/>
      <c r="R11" s="1908"/>
      <c r="S11" s="1908"/>
      <c r="T11" s="1908"/>
      <c r="U11" s="1190"/>
      <c r="V11" s="1190"/>
      <c r="W11" s="1190"/>
      <c r="X11" s="1193"/>
      <c r="Y11" s="1193"/>
      <c r="Z11" s="1193"/>
      <c r="AA11" s="1193"/>
      <c r="AB11" s="1193"/>
      <c r="AC11" s="1193"/>
      <c r="AD11" s="1193"/>
      <c r="AE11" s="1193"/>
      <c r="AF11" s="1893" t="s">
        <v>2441</v>
      </c>
      <c r="AG11" s="1893"/>
      <c r="AH11" s="1893"/>
      <c r="AI11" s="1893"/>
      <c r="AJ11" s="1893"/>
      <c r="AK11" s="1893"/>
      <c r="AL11" s="1893"/>
      <c r="AM11" s="1893"/>
      <c r="AN11" s="1893"/>
      <c r="AO11" s="1893"/>
      <c r="AP11" s="1894"/>
      <c r="AQ11" s="1895"/>
      <c r="AR11" s="1895"/>
      <c r="AS11" s="1895"/>
      <c r="AT11" s="1895"/>
      <c r="AU11" s="1895"/>
      <c r="AV11" s="1193"/>
      <c r="AW11" s="1193"/>
      <c r="AX11" s="1190"/>
      <c r="AY11" s="1190"/>
      <c r="AZ11" s="1190"/>
      <c r="BA11" s="1190"/>
      <c r="BB11" s="1190"/>
      <c r="BC11" s="1190"/>
      <c r="BD11" s="1190"/>
      <c r="BE11" s="1191"/>
      <c r="BM11" s="1187" t="s">
        <v>2098</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2440</v>
      </c>
    </row>
    <row r="13" spans="1:65" thickBot="1">
      <c r="A13" s="1190"/>
      <c r="B13" s="1896" t="s">
        <v>2439</v>
      </c>
      <c r="C13" s="1897"/>
      <c r="D13" s="1897"/>
      <c r="E13" s="1897"/>
      <c r="F13" s="1897"/>
      <c r="G13" s="1897"/>
      <c r="H13" s="1897"/>
      <c r="I13" s="1897"/>
      <c r="J13" s="1897"/>
      <c r="K13" s="1897"/>
      <c r="L13" s="1897"/>
      <c r="M13" s="1897"/>
      <c r="N13" s="1897"/>
      <c r="O13" s="1897"/>
      <c r="P13" s="1898"/>
      <c r="Q13" s="1899" t="s">
        <v>668</v>
      </c>
      <c r="R13" s="1900"/>
      <c r="S13" s="1900"/>
      <c r="T13" s="1901"/>
      <c r="U13" s="1193"/>
      <c r="V13" s="1190"/>
      <c r="W13" s="1190"/>
      <c r="X13" s="1190"/>
      <c r="Y13" s="1190"/>
      <c r="Z13" s="1190"/>
      <c r="AA13" s="1902" t="s">
        <v>2438</v>
      </c>
      <c r="AB13" s="1902"/>
      <c r="AC13" s="1902"/>
      <c r="AD13" s="1902"/>
      <c r="AE13" s="1902"/>
      <c r="AF13" s="1902"/>
      <c r="AG13" s="1902"/>
      <c r="AH13" s="1902"/>
      <c r="AI13" s="1902"/>
      <c r="AJ13" s="1902"/>
      <c r="AK13" s="1902"/>
      <c r="AL13" s="1902"/>
      <c r="AM13" s="1902"/>
      <c r="AN13" s="1902"/>
      <c r="AO13" s="1903">
        <f>Application!W473</f>
        <v>20</v>
      </c>
      <c r="AP13" s="1904"/>
      <c r="AQ13" s="1904"/>
      <c r="AR13" s="1904"/>
      <c r="AS13" s="1904"/>
      <c r="AT13" s="1193"/>
      <c r="AU13" s="1193"/>
      <c r="AV13" s="1193"/>
      <c r="AW13" s="1193"/>
      <c r="AX13" s="1193"/>
      <c r="AY13" s="1193"/>
      <c r="AZ13" s="1193"/>
      <c r="BA13" s="1193"/>
      <c r="BB13" s="1193"/>
      <c r="BC13" s="1193"/>
      <c r="BD13" s="1193"/>
      <c r="BE13" s="1194"/>
      <c r="BM13" s="1187" t="s">
        <v>2437</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5" t="s">
        <v>2436</v>
      </c>
      <c r="AB14" s="1905"/>
      <c r="AC14" s="1905"/>
      <c r="AD14" s="1905"/>
      <c r="AE14" s="1905"/>
      <c r="AF14" s="1905"/>
      <c r="AG14" s="1905"/>
      <c r="AH14" s="1905"/>
      <c r="AI14" s="1905"/>
      <c r="AJ14" s="1905"/>
      <c r="AK14" s="1905"/>
      <c r="AL14" s="1905"/>
      <c r="AM14" s="1905"/>
      <c r="AN14" s="1905"/>
      <c r="AO14" s="1906"/>
      <c r="AP14" s="1907"/>
      <c r="AQ14" s="1907"/>
      <c r="AR14" s="1907"/>
      <c r="AS14" s="1907"/>
      <c r="AT14" s="1193"/>
      <c r="AU14" s="1193"/>
      <c r="AV14" s="1193"/>
      <c r="AW14" s="1193"/>
      <c r="AX14" s="1193"/>
      <c r="AY14" s="1193"/>
      <c r="AZ14" s="1193"/>
      <c r="BA14" s="1193"/>
      <c r="BB14" s="1193"/>
      <c r="BC14" s="1193"/>
      <c r="BD14" s="1193"/>
      <c r="BE14" s="1194"/>
    </row>
    <row r="15" spans="1:65" thickBot="1">
      <c r="A15" s="1190"/>
      <c r="B15" s="1909" t="s">
        <v>2435</v>
      </c>
      <c r="C15" s="1910"/>
      <c r="D15" s="1910"/>
      <c r="E15" s="1910"/>
      <c r="F15" s="1910"/>
      <c r="G15" s="1910"/>
      <c r="H15" s="1910"/>
      <c r="I15" s="1910"/>
      <c r="J15" s="1910"/>
      <c r="K15" s="1910"/>
      <c r="L15" s="1910"/>
      <c r="M15" s="1910"/>
      <c r="N15" s="1910"/>
      <c r="O15" s="1910"/>
      <c r="P15" s="1910"/>
      <c r="Q15" s="1910"/>
      <c r="R15" s="1911"/>
      <c r="S15" s="1912" t="str">
        <f>IF(Application!AB214="","",Application!AB214)</f>
        <v/>
      </c>
      <c r="T15" s="1912"/>
      <c r="U15" s="1912"/>
      <c r="V15" s="1912"/>
      <c r="W15" s="1913"/>
      <c r="X15" s="1193"/>
      <c r="Y15" s="1190"/>
      <c r="Z15" s="1190"/>
      <c r="AA15" s="1902" t="s">
        <v>2434</v>
      </c>
      <c r="AB15" s="1902"/>
      <c r="AC15" s="1902"/>
      <c r="AD15" s="1902"/>
      <c r="AE15" s="1902"/>
      <c r="AF15" s="1902"/>
      <c r="AG15" s="1902"/>
      <c r="AH15" s="1902"/>
      <c r="AI15" s="1902"/>
      <c r="AJ15" s="1902"/>
      <c r="AK15" s="1902"/>
      <c r="AL15" s="1902"/>
      <c r="AM15" s="1902"/>
      <c r="AN15" s="1902"/>
      <c r="AO15" s="1906"/>
      <c r="AP15" s="1907"/>
      <c r="AQ15" s="1907"/>
      <c r="AR15" s="1907"/>
      <c r="AS15" s="1907"/>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14" t="s">
        <v>2433</v>
      </c>
      <c r="C17" s="1915"/>
      <c r="D17" s="1915"/>
      <c r="E17" s="1915"/>
      <c r="F17" s="1915"/>
      <c r="G17" s="1915"/>
      <c r="H17" s="1915"/>
      <c r="I17" s="1915"/>
      <c r="J17" s="1915"/>
      <c r="K17" s="1915"/>
      <c r="L17" s="1915"/>
      <c r="M17" s="1915"/>
      <c r="N17" s="1915"/>
      <c r="O17" s="1915"/>
      <c r="P17" s="1915"/>
      <c r="Q17" s="1915"/>
      <c r="R17" s="1915"/>
      <c r="S17" s="1915"/>
      <c r="T17" s="1915"/>
      <c r="U17" s="1915"/>
      <c r="V17" s="1915"/>
      <c r="W17" s="1915"/>
      <c r="X17" s="1915"/>
      <c r="Y17" s="1915"/>
      <c r="Z17" s="1915"/>
      <c r="AA17" s="1915"/>
      <c r="AB17" s="1915"/>
      <c r="AC17" s="1915"/>
      <c r="AD17" s="1915"/>
      <c r="AE17" s="1915"/>
      <c r="AF17" s="1915"/>
      <c r="AG17" s="1915"/>
      <c r="AH17" s="1915"/>
      <c r="AI17" s="1915"/>
      <c r="AJ17" s="1915"/>
      <c r="AK17" s="1915"/>
      <c r="AL17" s="1915"/>
      <c r="AM17" s="1915"/>
      <c r="AN17" s="1915"/>
      <c r="AO17" s="1915"/>
      <c r="AP17" s="1915"/>
      <c r="AQ17" s="1915"/>
      <c r="AR17" s="1915"/>
      <c r="AS17" s="1915"/>
      <c r="AT17" s="1915"/>
      <c r="AU17" s="1915"/>
      <c r="AV17" s="1915"/>
      <c r="AW17" s="1915"/>
      <c r="AX17" s="1915"/>
      <c r="AY17" s="1916"/>
      <c r="AZ17" s="1190"/>
      <c r="BA17" s="1190"/>
      <c r="BB17" s="1190"/>
      <c r="BC17" s="1190"/>
      <c r="BD17" s="1190"/>
      <c r="BE17" s="1194"/>
      <c r="BF17" s="1188"/>
    </row>
    <row r="18" spans="1:58" ht="15.75" customHeight="1">
      <c r="A18" s="1190"/>
      <c r="B18" s="1917" t="s">
        <v>2432</v>
      </c>
      <c r="C18" s="1918"/>
      <c r="D18" s="1918"/>
      <c r="E18" s="1918"/>
      <c r="F18" s="1918"/>
      <c r="G18" s="1918"/>
      <c r="H18" s="1918"/>
      <c r="I18" s="1919"/>
      <c r="J18" s="1920" t="s">
        <v>1586</v>
      </c>
      <c r="K18" s="1921"/>
      <c r="L18" s="1921"/>
      <c r="M18" s="1921"/>
      <c r="N18" s="1921"/>
      <c r="O18" s="1922"/>
      <c r="P18" s="1920" t="s">
        <v>323</v>
      </c>
      <c r="Q18" s="1921"/>
      <c r="R18" s="1921"/>
      <c r="S18" s="1921"/>
      <c r="T18" s="1921"/>
      <c r="U18" s="1922"/>
      <c r="V18" s="1920" t="s">
        <v>324</v>
      </c>
      <c r="W18" s="1921"/>
      <c r="X18" s="1921"/>
      <c r="Y18" s="1921"/>
      <c r="Z18" s="1921"/>
      <c r="AA18" s="1922"/>
      <c r="AB18" s="1920" t="s">
        <v>163</v>
      </c>
      <c r="AC18" s="1921"/>
      <c r="AD18" s="1921"/>
      <c r="AE18" s="1921"/>
      <c r="AF18" s="1921"/>
      <c r="AG18" s="1922"/>
      <c r="AH18" s="1920" t="s">
        <v>164</v>
      </c>
      <c r="AI18" s="1921"/>
      <c r="AJ18" s="1921"/>
      <c r="AK18" s="1921"/>
      <c r="AL18" s="1921"/>
      <c r="AM18" s="1922"/>
      <c r="AN18" s="1920" t="s">
        <v>165</v>
      </c>
      <c r="AO18" s="1921"/>
      <c r="AP18" s="1921"/>
      <c r="AQ18" s="1921"/>
      <c r="AR18" s="1921"/>
      <c r="AS18" s="1922"/>
      <c r="AT18" s="1920" t="s">
        <v>2431</v>
      </c>
      <c r="AU18" s="1921"/>
      <c r="AV18" s="1921"/>
      <c r="AW18" s="1921"/>
      <c r="AX18" s="1921"/>
      <c r="AY18" s="1923"/>
      <c r="AZ18" s="1190"/>
      <c r="BA18" s="1190"/>
      <c r="BB18" s="1190"/>
      <c r="BC18" s="1190"/>
      <c r="BD18" s="1190"/>
      <c r="BE18" s="1194"/>
    </row>
    <row r="19" spans="1:58" ht="15">
      <c r="A19" s="1190"/>
      <c r="B19" s="1924">
        <v>0.3</v>
      </c>
      <c r="C19" s="1925"/>
      <c r="D19" s="1925"/>
      <c r="E19" s="1925"/>
      <c r="F19" s="1925"/>
      <c r="G19" s="1925"/>
      <c r="H19" s="1925"/>
      <c r="I19" s="1926"/>
      <c r="J19" s="1927">
        <f t="shared" ref="J19:J24" si="0">SUM(P19:AS19)</f>
        <v>23</v>
      </c>
      <c r="K19" s="1928"/>
      <c r="L19" s="1928"/>
      <c r="M19" s="1928"/>
      <c r="N19" s="1928"/>
      <c r="O19" s="1929"/>
      <c r="P19" s="1927" cm="1">
        <f t="array" ref="P19">SUMPRODUCT((Application!$B$718:$B$752 = 'CalHFA Addendum'!P$18)*(Application!$AC$718:$AC$752 = 'CalHFA Addendum'!$B19),Application!$G$718:$G$752)</f>
        <v>0</v>
      </c>
      <c r="Q19" s="1928"/>
      <c r="R19" s="1928"/>
      <c r="S19" s="1928"/>
      <c r="T19" s="1928"/>
      <c r="U19" s="1929"/>
      <c r="V19" s="1927" cm="1">
        <f t="array" ref="V19">SUMPRODUCT((Application!$B$714:$B$738 = 'CalHFA Addendum'!V$18)*(Application!$AC$714:$AC$738 = 'CalHFA Addendum'!$B19),Application!$G$714:$G$738)</f>
        <v>5</v>
      </c>
      <c r="W19" s="1928"/>
      <c r="X19" s="1928"/>
      <c r="Y19" s="1928"/>
      <c r="Z19" s="1928"/>
      <c r="AA19" s="1929"/>
      <c r="AB19" s="1927" cm="1">
        <f t="array" ref="AB19">SUMPRODUCT((Application!$B$714:$B$738 = 'CalHFA Addendum'!AB$18)*(Application!$AC$714:$AC$738 = 'CalHFA Addendum'!$B19),Application!$G$714:$G$738)</f>
        <v>7</v>
      </c>
      <c r="AC19" s="1928"/>
      <c r="AD19" s="1928"/>
      <c r="AE19" s="1928"/>
      <c r="AF19" s="1928"/>
      <c r="AG19" s="1929"/>
      <c r="AH19" s="1927" cm="1">
        <f t="array" ref="AH19">SUMPRODUCT((Application!$B$714:$B$738 = 'CalHFA Addendum'!AH$18)*(Application!$AC$714:$AC$738 = 'CalHFA Addendum'!$B19),Application!$G$714:$G$738)</f>
        <v>11</v>
      </c>
      <c r="AI19" s="1928"/>
      <c r="AJ19" s="1928"/>
      <c r="AK19" s="1928"/>
      <c r="AL19" s="1928"/>
      <c r="AM19" s="1929"/>
      <c r="AN19" s="1927" cm="1">
        <f t="array" ref="AN19">SUMPRODUCT((Application!$B$714:$B$738 = 'CalHFA Addendum'!AN$18)*(Application!$AC$714:$AC$738 = 'CalHFA Addendum'!$B19),Application!$G$714:$G$738)</f>
        <v>0</v>
      </c>
      <c r="AO19" s="1928"/>
      <c r="AP19" s="1928"/>
      <c r="AQ19" s="1928"/>
      <c r="AR19" s="1928"/>
      <c r="AS19" s="1929"/>
      <c r="AT19" s="1930">
        <f t="shared" ref="AT19:AT29" si="1">J19/$J$29</f>
        <v>0.17557251908396945</v>
      </c>
      <c r="AU19" s="1931"/>
      <c r="AV19" s="1931"/>
      <c r="AW19" s="1931"/>
      <c r="AX19" s="1931"/>
      <c r="AY19" s="1932"/>
      <c r="AZ19" s="1195"/>
      <c r="BA19" s="1190"/>
      <c r="BB19" s="1190"/>
      <c r="BC19" s="1190"/>
      <c r="BD19" s="1190"/>
      <c r="BE19" s="1194"/>
    </row>
    <row r="20" spans="1:58" ht="15" customHeight="1">
      <c r="A20" s="1190"/>
      <c r="B20" s="1924">
        <v>0.4</v>
      </c>
      <c r="C20" s="1925"/>
      <c r="D20" s="1925"/>
      <c r="E20" s="1925"/>
      <c r="F20" s="1925"/>
      <c r="G20" s="1925"/>
      <c r="H20" s="1925"/>
      <c r="I20" s="1926"/>
      <c r="J20" s="1927">
        <f t="shared" si="0"/>
        <v>0</v>
      </c>
      <c r="K20" s="1928"/>
      <c r="L20" s="1928"/>
      <c r="M20" s="1928"/>
      <c r="N20" s="1928"/>
      <c r="O20" s="1929"/>
      <c r="P20" s="1927" cm="1">
        <f t="array" ref="P20">SUMPRODUCT((Application!$B$718:$B$752 = 'CalHFA Addendum'!P$18)*(Application!$AC$718:$AC$752 = 'CalHFA Addendum'!$B20),Application!$G$718:$G$752)</f>
        <v>0</v>
      </c>
      <c r="Q20" s="1928"/>
      <c r="R20" s="1928"/>
      <c r="S20" s="1928"/>
      <c r="T20" s="1928"/>
      <c r="U20" s="1929"/>
      <c r="V20" s="1927" cm="1">
        <f t="array" ref="V20">SUMPRODUCT((Application!$B$714:$B$738 = 'CalHFA Addendum'!V$18)*(Application!$AC$714:$AC$738 = 'CalHFA Addendum'!$B20),Application!$G$714:$G$738)</f>
        <v>0</v>
      </c>
      <c r="W20" s="1928"/>
      <c r="X20" s="1928"/>
      <c r="Y20" s="1928"/>
      <c r="Z20" s="1928"/>
      <c r="AA20" s="1929"/>
      <c r="AB20" s="1927" cm="1">
        <f t="array" ref="AB20">SUMPRODUCT((Application!$B$714:$B$738 = 'CalHFA Addendum'!AB$18)*(Application!$AC$714:$AC$738 = 'CalHFA Addendum'!$B20),Application!$G$714:$G$738)</f>
        <v>0</v>
      </c>
      <c r="AC20" s="1928"/>
      <c r="AD20" s="1928"/>
      <c r="AE20" s="1928"/>
      <c r="AF20" s="1928"/>
      <c r="AG20" s="1929"/>
      <c r="AH20" s="1927" cm="1">
        <f t="array" ref="AH20">SUMPRODUCT((Application!$B$714:$B$738 = 'CalHFA Addendum'!AH$18)*(Application!$AC$714:$AC$738 = 'CalHFA Addendum'!$B20),Application!$G$714:$G$738)</f>
        <v>0</v>
      </c>
      <c r="AI20" s="1928"/>
      <c r="AJ20" s="1928"/>
      <c r="AK20" s="1928"/>
      <c r="AL20" s="1928"/>
      <c r="AM20" s="1929"/>
      <c r="AN20" s="1927" cm="1">
        <f t="array" ref="AN20">SUMPRODUCT((Application!$B$714:$B$738 = 'CalHFA Addendum'!AN$18)*(Application!$AC$714:$AC$738 = 'CalHFA Addendum'!$B20),Application!$G$714:$G$738)</f>
        <v>0</v>
      </c>
      <c r="AO20" s="1928"/>
      <c r="AP20" s="1928"/>
      <c r="AQ20" s="1928"/>
      <c r="AR20" s="1928"/>
      <c r="AS20" s="1929"/>
      <c r="AT20" s="1930">
        <f t="shared" si="1"/>
        <v>0</v>
      </c>
      <c r="AU20" s="1931"/>
      <c r="AV20" s="1931"/>
      <c r="AW20" s="1931"/>
      <c r="AX20" s="1931"/>
      <c r="AY20" s="1932"/>
      <c r="AZ20" s="1190"/>
      <c r="BA20" s="1190"/>
      <c r="BB20" s="1190"/>
      <c r="BC20" s="1190"/>
      <c r="BD20" s="1190"/>
      <c r="BE20" s="1194"/>
    </row>
    <row r="21" spans="1:58" ht="15">
      <c r="A21" s="1190"/>
      <c r="B21" s="1924">
        <v>0.5</v>
      </c>
      <c r="C21" s="1925"/>
      <c r="D21" s="1925"/>
      <c r="E21" s="1925"/>
      <c r="F21" s="1925"/>
      <c r="G21" s="1925"/>
      <c r="H21" s="1925"/>
      <c r="I21" s="1926"/>
      <c r="J21" s="1927">
        <f t="shared" si="0"/>
        <v>27</v>
      </c>
      <c r="K21" s="1928"/>
      <c r="L21" s="1928"/>
      <c r="M21" s="1928"/>
      <c r="N21" s="1928"/>
      <c r="O21" s="1929"/>
      <c r="P21" s="1927" cm="1">
        <f t="array" ref="P21">SUMPRODUCT((Application!$B$714:$B$738 = 'CalHFA Addendum'!P$18)*(Application!$AC$714:$AC$738 = 'CalHFA Addendum'!$B21),Application!$G$714:$G$738)</f>
        <v>0</v>
      </c>
      <c r="Q21" s="1928"/>
      <c r="R21" s="1928"/>
      <c r="S21" s="1928"/>
      <c r="T21" s="1928"/>
      <c r="U21" s="1929"/>
      <c r="V21" s="1927" cm="1">
        <f t="array" ref="V21">SUMPRODUCT((Application!$B$714:$B$738 = 'CalHFA Addendum'!V$18)*(Application!$AC$714:$AC$738 = 'CalHFA Addendum'!$B21),Application!$G$714:$G$738)</f>
        <v>8</v>
      </c>
      <c r="W21" s="1928"/>
      <c r="X21" s="1928"/>
      <c r="Y21" s="1928"/>
      <c r="Z21" s="1928"/>
      <c r="AA21" s="1929"/>
      <c r="AB21" s="1927" cm="1">
        <f t="array" ref="AB21">SUMPRODUCT((Application!$B$714:$B$738 = 'CalHFA Addendum'!AB$18)*(Application!$AC$714:$AC$738 = 'CalHFA Addendum'!$B21),Application!$G$714:$G$738)</f>
        <v>9</v>
      </c>
      <c r="AC21" s="1928"/>
      <c r="AD21" s="1928"/>
      <c r="AE21" s="1928"/>
      <c r="AF21" s="1928"/>
      <c r="AG21" s="1929"/>
      <c r="AH21" s="1927" cm="1">
        <f t="array" ref="AH21">SUMPRODUCT((Application!$B$714:$B$738 = 'CalHFA Addendum'!AH$18)*(Application!$AC$714:$AC$738 = 'CalHFA Addendum'!$B21),Application!$G$714:$G$738)</f>
        <v>10</v>
      </c>
      <c r="AI21" s="1928"/>
      <c r="AJ21" s="1928"/>
      <c r="AK21" s="1928"/>
      <c r="AL21" s="1928"/>
      <c r="AM21" s="1929"/>
      <c r="AN21" s="1927" cm="1">
        <f t="array" ref="AN21">SUMPRODUCT((Application!$B$714:$B$738 = 'CalHFA Addendum'!AN$18)*(Application!$AC$714:$AC$738 = 'CalHFA Addendum'!$B21),Application!$G$714:$G$738)</f>
        <v>0</v>
      </c>
      <c r="AO21" s="1928"/>
      <c r="AP21" s="1928"/>
      <c r="AQ21" s="1928"/>
      <c r="AR21" s="1928"/>
      <c r="AS21" s="1929"/>
      <c r="AT21" s="1930">
        <f t="shared" si="1"/>
        <v>0.20610687022900764</v>
      </c>
      <c r="AU21" s="1931"/>
      <c r="AV21" s="1931"/>
      <c r="AW21" s="1931"/>
      <c r="AX21" s="1931"/>
      <c r="AY21" s="1932"/>
      <c r="AZ21" s="1190"/>
      <c r="BA21" s="1190"/>
      <c r="BB21" s="1190"/>
      <c r="BC21" s="1190"/>
      <c r="BD21" s="1190"/>
      <c r="BE21" s="1194"/>
    </row>
    <row r="22" spans="1:58" ht="15">
      <c r="A22" s="1190"/>
      <c r="B22" s="1924">
        <v>0.6</v>
      </c>
      <c r="C22" s="1925"/>
      <c r="D22" s="1925"/>
      <c r="E22" s="1925"/>
      <c r="F22" s="1925"/>
      <c r="G22" s="1925"/>
      <c r="H22" s="1925"/>
      <c r="I22" s="1926"/>
      <c r="J22" s="1927">
        <f t="shared" si="0"/>
        <v>34</v>
      </c>
      <c r="K22" s="1928"/>
      <c r="L22" s="1928"/>
      <c r="M22" s="1928"/>
      <c r="N22" s="1928"/>
      <c r="O22" s="1929"/>
      <c r="P22" s="1927" cm="1">
        <f t="array" ref="P22">SUMPRODUCT((Application!$B$714:$B$738 = 'CalHFA Addendum'!P$18)*(Application!$AC$714:$AC$738 = 'CalHFA Addendum'!$B22),Application!$G$714:$G$738)</f>
        <v>0</v>
      </c>
      <c r="Q22" s="1928"/>
      <c r="R22" s="1928"/>
      <c r="S22" s="1928"/>
      <c r="T22" s="1928"/>
      <c r="U22" s="1929"/>
      <c r="V22" s="1927" cm="1">
        <f t="array" ref="V22">SUMPRODUCT((Application!$B$714:$B$738 = 'CalHFA Addendum'!V$18)*(Application!$AC$714:$AC$738 = 'CalHFA Addendum'!$B22),Application!$G$714:$G$738)</f>
        <v>12</v>
      </c>
      <c r="W22" s="1928"/>
      <c r="X22" s="1928"/>
      <c r="Y22" s="1928"/>
      <c r="Z22" s="1928"/>
      <c r="AA22" s="1929"/>
      <c r="AB22" s="1927" cm="1">
        <f t="array" ref="AB22">SUMPRODUCT((Application!$B$714:$B$738 = 'CalHFA Addendum'!AB$18)*(Application!$AC$714:$AC$738 = 'CalHFA Addendum'!$B22),Application!$G$714:$G$738)</f>
        <v>13</v>
      </c>
      <c r="AC22" s="1928"/>
      <c r="AD22" s="1928"/>
      <c r="AE22" s="1928"/>
      <c r="AF22" s="1928"/>
      <c r="AG22" s="1929"/>
      <c r="AH22" s="1927" cm="1">
        <f t="array" ref="AH22">SUMPRODUCT((Application!$B$714:$B$738 = 'CalHFA Addendum'!AH$18)*(Application!$AC$714:$AC$738 = 'CalHFA Addendum'!$B22),Application!$G$714:$G$738)</f>
        <v>9</v>
      </c>
      <c r="AI22" s="1928"/>
      <c r="AJ22" s="1928"/>
      <c r="AK22" s="1928"/>
      <c r="AL22" s="1928"/>
      <c r="AM22" s="1929"/>
      <c r="AN22" s="1927" cm="1">
        <f t="array" ref="AN22">SUMPRODUCT((Application!$B$714:$B$738 = 'CalHFA Addendum'!AN$18)*(Application!$AC$714:$AC$738 = 'CalHFA Addendum'!$B22),Application!$G$714:$G$738)</f>
        <v>0</v>
      </c>
      <c r="AO22" s="1928"/>
      <c r="AP22" s="1928"/>
      <c r="AQ22" s="1928"/>
      <c r="AR22" s="1928"/>
      <c r="AS22" s="1929"/>
      <c r="AT22" s="1930">
        <f t="shared" si="1"/>
        <v>0.25954198473282442</v>
      </c>
      <c r="AU22" s="1931"/>
      <c r="AV22" s="1931"/>
      <c r="AW22" s="1931"/>
      <c r="AX22" s="1931"/>
      <c r="AY22" s="1932"/>
      <c r="AZ22" s="1190"/>
      <c r="BA22" s="1190"/>
      <c r="BB22" s="1190"/>
      <c r="BC22" s="1190"/>
      <c r="BD22" s="1190"/>
      <c r="BE22" s="1194"/>
    </row>
    <row r="23" spans="1:58" ht="15">
      <c r="A23" s="1190"/>
      <c r="B23" s="1924">
        <v>0.7</v>
      </c>
      <c r="C23" s="1925"/>
      <c r="D23" s="1925"/>
      <c r="E23" s="1925"/>
      <c r="F23" s="1925"/>
      <c r="G23" s="1925"/>
      <c r="H23" s="1925"/>
      <c r="I23" s="1926"/>
      <c r="J23" s="1927">
        <f t="shared" si="0"/>
        <v>0</v>
      </c>
      <c r="K23" s="1928"/>
      <c r="L23" s="1928"/>
      <c r="M23" s="1928"/>
      <c r="N23" s="1928"/>
      <c r="O23" s="1929"/>
      <c r="P23" s="1927" cm="1">
        <f t="array" ref="P23">SUMPRODUCT((Application!$B$714:$B$738 = 'CalHFA Addendum'!P$18)*(Application!$AC$714:$AC$738 = 'CalHFA Addendum'!$B23),Application!$G$714:$G$738)</f>
        <v>0</v>
      </c>
      <c r="Q23" s="1928"/>
      <c r="R23" s="1928"/>
      <c r="S23" s="1928"/>
      <c r="T23" s="1928"/>
      <c r="U23" s="1929"/>
      <c r="V23" s="1927" cm="1">
        <f t="array" ref="V23">SUMPRODUCT((Application!$B$714:$B$738 = 'CalHFA Addendum'!V$18)*(Application!$AC$714:$AC$738 = 'CalHFA Addendum'!$B23),Application!$G$714:$G$738)</f>
        <v>0</v>
      </c>
      <c r="W23" s="1928"/>
      <c r="X23" s="1928"/>
      <c r="Y23" s="1928"/>
      <c r="Z23" s="1928"/>
      <c r="AA23" s="1929"/>
      <c r="AB23" s="1927" cm="1">
        <f t="array" ref="AB23">SUMPRODUCT((Application!$B$714:$B$738 = 'CalHFA Addendum'!AB$18)*(Application!$AC$714:$AC$738 = 'CalHFA Addendum'!$B23),Application!$G$714:$G$738)</f>
        <v>0</v>
      </c>
      <c r="AC23" s="1928"/>
      <c r="AD23" s="1928"/>
      <c r="AE23" s="1928"/>
      <c r="AF23" s="1928"/>
      <c r="AG23" s="1929"/>
      <c r="AH23" s="1927" cm="1">
        <f t="array" ref="AH23">SUMPRODUCT((Application!$B$714:$B$738 = 'CalHFA Addendum'!AH$18)*(Application!$AC$714:$AC$738 = 'CalHFA Addendum'!$B23),Application!$G$714:$G$738)</f>
        <v>0</v>
      </c>
      <c r="AI23" s="1928"/>
      <c r="AJ23" s="1928"/>
      <c r="AK23" s="1928"/>
      <c r="AL23" s="1928"/>
      <c r="AM23" s="1929"/>
      <c r="AN23" s="1927" cm="1">
        <f t="array" ref="AN23">SUMPRODUCT((Application!$B$714:$B$738 = 'CalHFA Addendum'!AN$18)*(Application!$AC$714:$AC$738 = 'CalHFA Addendum'!$B23),Application!$G$714:$G$738)</f>
        <v>0</v>
      </c>
      <c r="AO23" s="1928"/>
      <c r="AP23" s="1928"/>
      <c r="AQ23" s="1928"/>
      <c r="AR23" s="1928"/>
      <c r="AS23" s="1929"/>
      <c r="AT23" s="1930">
        <f t="shared" si="1"/>
        <v>0</v>
      </c>
      <c r="AU23" s="1931"/>
      <c r="AV23" s="1931"/>
      <c r="AW23" s="1931"/>
      <c r="AX23" s="1931"/>
      <c r="AY23" s="1932"/>
      <c r="AZ23" s="1190"/>
      <c r="BA23" s="1190"/>
      <c r="BB23" s="1190"/>
      <c r="BC23" s="1190"/>
      <c r="BD23" s="1190"/>
      <c r="BE23" s="1194"/>
    </row>
    <row r="24" spans="1:58" ht="15">
      <c r="A24" s="1190"/>
      <c r="B24" s="1924">
        <v>0.8</v>
      </c>
      <c r="C24" s="1925"/>
      <c r="D24" s="1925"/>
      <c r="E24" s="1925"/>
      <c r="F24" s="1925"/>
      <c r="G24" s="1925"/>
      <c r="H24" s="1925"/>
      <c r="I24" s="1926"/>
      <c r="J24" s="1927">
        <f t="shared" si="0"/>
        <v>46</v>
      </c>
      <c r="K24" s="1928"/>
      <c r="L24" s="1928"/>
      <c r="M24" s="1928"/>
      <c r="N24" s="1928"/>
      <c r="O24" s="1929"/>
      <c r="P24" s="1927" cm="1">
        <f t="array" ref="P24">SUMPRODUCT((Application!$B$714:$B$738 = 'CalHFA Addendum'!P$18)*(Application!$AC$714:$AC$738 = 'CalHFA Addendum'!$B24),Application!$G$714:$G$738)</f>
        <v>0</v>
      </c>
      <c r="Q24" s="1928"/>
      <c r="R24" s="1928"/>
      <c r="S24" s="1928"/>
      <c r="T24" s="1928"/>
      <c r="U24" s="1929"/>
      <c r="V24" s="1927" cm="1">
        <f t="array" ref="V24">SUMPRODUCT((Application!$B$714:$B$738 = 'CalHFA Addendum'!V$18)*(Application!$AC$714:$AC$738 = 'CalHFA Addendum'!$B24),Application!$G$714:$G$738)</f>
        <v>21</v>
      </c>
      <c r="W24" s="1928"/>
      <c r="X24" s="1928"/>
      <c r="Y24" s="1928"/>
      <c r="Z24" s="1928"/>
      <c r="AA24" s="1929"/>
      <c r="AB24" s="1927" cm="1">
        <f t="array" ref="AB24">SUMPRODUCT((Application!$B$714:$B$738 = 'CalHFA Addendum'!AB$18)*(Application!$AC$714:$AC$738 = 'CalHFA Addendum'!$B24),Application!$G$714:$G$738)</f>
        <v>13</v>
      </c>
      <c r="AC24" s="1928"/>
      <c r="AD24" s="1928"/>
      <c r="AE24" s="1928"/>
      <c r="AF24" s="1928"/>
      <c r="AG24" s="1929"/>
      <c r="AH24" s="1927" cm="1">
        <f t="array" ref="AH24">SUMPRODUCT((Application!$B$714:$B$738 = 'CalHFA Addendum'!AH$18)*(Application!$AC$714:$AC$738 = 'CalHFA Addendum'!$B24),Application!$G$714:$G$738)</f>
        <v>12</v>
      </c>
      <c r="AI24" s="1928"/>
      <c r="AJ24" s="1928"/>
      <c r="AK24" s="1928"/>
      <c r="AL24" s="1928"/>
      <c r="AM24" s="1929"/>
      <c r="AN24" s="1927" cm="1">
        <f t="array" ref="AN24">SUMPRODUCT((Application!$B$714:$B$738 = 'CalHFA Addendum'!AN$18)*(Application!$AC$714:$AC$738 = 'CalHFA Addendum'!$B24),Application!$G$714:$G$738)</f>
        <v>0</v>
      </c>
      <c r="AO24" s="1928"/>
      <c r="AP24" s="1928"/>
      <c r="AQ24" s="1928"/>
      <c r="AR24" s="1928"/>
      <c r="AS24" s="1929"/>
      <c r="AT24" s="1930">
        <f t="shared" si="1"/>
        <v>0.35114503816793891</v>
      </c>
      <c r="AU24" s="1931"/>
      <c r="AV24" s="1931"/>
      <c r="AW24" s="1931"/>
      <c r="AX24" s="1931"/>
      <c r="AY24" s="1932"/>
      <c r="AZ24" s="1190"/>
      <c r="BA24" s="1190"/>
      <c r="BB24" s="1190"/>
      <c r="BC24" s="1190"/>
      <c r="BD24" s="1190"/>
      <c r="BE24" s="1194"/>
    </row>
    <row r="25" spans="1:58" ht="15">
      <c r="A25" s="1190"/>
      <c r="B25" s="1924">
        <v>0.9</v>
      </c>
      <c r="C25" s="1925"/>
      <c r="D25" s="1925"/>
      <c r="E25" s="1925"/>
      <c r="F25" s="1925"/>
      <c r="G25" s="1925"/>
      <c r="H25" s="1925"/>
      <c r="I25" s="1926"/>
      <c r="J25" s="1933"/>
      <c r="K25" s="1934"/>
      <c r="L25" s="1934"/>
      <c r="M25" s="1934"/>
      <c r="N25" s="1934"/>
      <c r="O25" s="1935"/>
      <c r="P25" s="1933"/>
      <c r="Q25" s="1934"/>
      <c r="R25" s="1934"/>
      <c r="S25" s="1934"/>
      <c r="T25" s="1934"/>
      <c r="U25" s="1935"/>
      <c r="V25" s="1933"/>
      <c r="W25" s="1934"/>
      <c r="X25" s="1934"/>
      <c r="Y25" s="1934"/>
      <c r="Z25" s="1934"/>
      <c r="AA25" s="1935"/>
      <c r="AB25" s="1933"/>
      <c r="AC25" s="1934"/>
      <c r="AD25" s="1934"/>
      <c r="AE25" s="1934"/>
      <c r="AF25" s="1934"/>
      <c r="AG25" s="1935"/>
      <c r="AH25" s="1933"/>
      <c r="AI25" s="1934"/>
      <c r="AJ25" s="1934"/>
      <c r="AK25" s="1934"/>
      <c r="AL25" s="1934"/>
      <c r="AM25" s="1935"/>
      <c r="AN25" s="1933"/>
      <c r="AO25" s="1934"/>
      <c r="AP25" s="1934"/>
      <c r="AQ25" s="1934"/>
      <c r="AR25" s="1934"/>
      <c r="AS25" s="1935"/>
      <c r="AT25" s="1930">
        <f t="shared" si="1"/>
        <v>0</v>
      </c>
      <c r="AU25" s="1931"/>
      <c r="AV25" s="1931"/>
      <c r="AW25" s="1931"/>
      <c r="AX25" s="1931"/>
      <c r="AY25" s="1932"/>
      <c r="AZ25" s="1190"/>
      <c r="BA25" s="1190"/>
      <c r="BB25" s="1190"/>
      <c r="BC25" s="1190"/>
      <c r="BD25" s="1190"/>
      <c r="BE25" s="1194"/>
    </row>
    <row r="26" spans="1:58" ht="15">
      <c r="A26" s="1190"/>
      <c r="B26" s="1924">
        <v>1</v>
      </c>
      <c r="C26" s="1925"/>
      <c r="D26" s="1925"/>
      <c r="E26" s="1925"/>
      <c r="F26" s="1925"/>
      <c r="G26" s="1925"/>
      <c r="H26" s="1925"/>
      <c r="I26" s="1926"/>
      <c r="J26" s="1933"/>
      <c r="K26" s="1934"/>
      <c r="L26" s="1934"/>
      <c r="M26" s="1934"/>
      <c r="N26" s="1934"/>
      <c r="O26" s="1935"/>
      <c r="P26" s="1933"/>
      <c r="Q26" s="1934"/>
      <c r="R26" s="1934"/>
      <c r="S26" s="1934"/>
      <c r="T26" s="1934"/>
      <c r="U26" s="1935"/>
      <c r="V26" s="1933"/>
      <c r="W26" s="1934"/>
      <c r="X26" s="1934"/>
      <c r="Y26" s="1934"/>
      <c r="Z26" s="1934"/>
      <c r="AA26" s="1935"/>
      <c r="AB26" s="1933"/>
      <c r="AC26" s="1934"/>
      <c r="AD26" s="1934"/>
      <c r="AE26" s="1934"/>
      <c r="AF26" s="1934"/>
      <c r="AG26" s="1935"/>
      <c r="AH26" s="1933"/>
      <c r="AI26" s="1934"/>
      <c r="AJ26" s="1934"/>
      <c r="AK26" s="1934"/>
      <c r="AL26" s="1934"/>
      <c r="AM26" s="1935"/>
      <c r="AN26" s="1933"/>
      <c r="AO26" s="1934"/>
      <c r="AP26" s="1934"/>
      <c r="AQ26" s="1934"/>
      <c r="AR26" s="1934"/>
      <c r="AS26" s="1935"/>
      <c r="AT26" s="1930">
        <f t="shared" si="1"/>
        <v>0</v>
      </c>
      <c r="AU26" s="1931"/>
      <c r="AV26" s="1931"/>
      <c r="AW26" s="1931"/>
      <c r="AX26" s="1931"/>
      <c r="AY26" s="1932"/>
      <c r="AZ26" s="1190"/>
      <c r="BA26" s="1190"/>
      <c r="BB26" s="1190"/>
      <c r="BC26" s="1190"/>
      <c r="BD26" s="1190"/>
      <c r="BE26" s="1194"/>
    </row>
    <row r="27" spans="1:58" ht="15">
      <c r="A27" s="1190"/>
      <c r="B27" s="1924">
        <v>1.2</v>
      </c>
      <c r="C27" s="1925"/>
      <c r="D27" s="1925"/>
      <c r="E27" s="1925"/>
      <c r="F27" s="1925"/>
      <c r="G27" s="1925"/>
      <c r="H27" s="1925"/>
      <c r="I27" s="1926"/>
      <c r="J27" s="1933"/>
      <c r="K27" s="1934"/>
      <c r="L27" s="1934"/>
      <c r="M27" s="1934"/>
      <c r="N27" s="1934"/>
      <c r="O27" s="1935"/>
      <c r="P27" s="1933"/>
      <c r="Q27" s="1934"/>
      <c r="R27" s="1934"/>
      <c r="S27" s="1934"/>
      <c r="T27" s="1934"/>
      <c r="U27" s="1935"/>
      <c r="V27" s="1933"/>
      <c r="W27" s="1934"/>
      <c r="X27" s="1934"/>
      <c r="Y27" s="1934"/>
      <c r="Z27" s="1934"/>
      <c r="AA27" s="1935"/>
      <c r="AB27" s="1933"/>
      <c r="AC27" s="1934"/>
      <c r="AD27" s="1934"/>
      <c r="AE27" s="1934"/>
      <c r="AF27" s="1934"/>
      <c r="AG27" s="1935"/>
      <c r="AH27" s="1933"/>
      <c r="AI27" s="1934"/>
      <c r="AJ27" s="1934"/>
      <c r="AK27" s="1934"/>
      <c r="AL27" s="1934"/>
      <c r="AM27" s="1935"/>
      <c r="AN27" s="1933"/>
      <c r="AO27" s="1934"/>
      <c r="AP27" s="1934"/>
      <c r="AQ27" s="1934"/>
      <c r="AR27" s="1934"/>
      <c r="AS27" s="1935"/>
      <c r="AT27" s="1930">
        <f t="shared" si="1"/>
        <v>0</v>
      </c>
      <c r="AU27" s="1931"/>
      <c r="AV27" s="1931"/>
      <c r="AW27" s="1931"/>
      <c r="AX27" s="1931"/>
      <c r="AY27" s="1932"/>
      <c r="AZ27" s="1190"/>
      <c r="BA27" s="1190"/>
      <c r="BB27" s="1190"/>
      <c r="BC27" s="1190"/>
      <c r="BD27" s="1190"/>
      <c r="BE27" s="1194"/>
    </row>
    <row r="28" spans="1:58" thickBot="1">
      <c r="A28" s="1190"/>
      <c r="B28" s="1936" t="s">
        <v>2430</v>
      </c>
      <c r="C28" s="1937"/>
      <c r="D28" s="1937"/>
      <c r="E28" s="1937"/>
      <c r="F28" s="1937"/>
      <c r="G28" s="1937"/>
      <c r="H28" s="1937"/>
      <c r="I28" s="1938"/>
      <c r="J28" s="1939">
        <f>SUM(P28:AS28)</f>
        <v>1</v>
      </c>
      <c r="K28" s="1940"/>
      <c r="L28" s="1940"/>
      <c r="M28" s="1940"/>
      <c r="N28" s="1940"/>
      <c r="O28" s="1941"/>
      <c r="P28" s="1939">
        <f>_xlfn.IFNA(VLOOKUP(P$18,Application!$J$773:$S$776,6,FALSE), 0)</f>
        <v>0</v>
      </c>
      <c r="Q28" s="1940"/>
      <c r="R28" s="1940"/>
      <c r="S28" s="1940"/>
      <c r="T28" s="1940"/>
      <c r="U28" s="1941"/>
      <c r="V28" s="1939">
        <f>_xlfn.IFNA(VLOOKUP(V$18,Application!$J$773:$S$776,6,FALSE), 0)</f>
        <v>0</v>
      </c>
      <c r="W28" s="1940"/>
      <c r="X28" s="1940"/>
      <c r="Y28" s="1940"/>
      <c r="Z28" s="1940"/>
      <c r="AA28" s="1941"/>
      <c r="AB28" s="1939">
        <f>_xlfn.IFNA(VLOOKUP(AB$18,Application!$J$773:$S$776,6,FALSE), 0)</f>
        <v>0</v>
      </c>
      <c r="AC28" s="1940"/>
      <c r="AD28" s="1940"/>
      <c r="AE28" s="1940"/>
      <c r="AF28" s="1940"/>
      <c r="AG28" s="1941"/>
      <c r="AH28" s="1939">
        <f>_xlfn.IFNA(VLOOKUP(AH$18,Application!$J$773:$S$776,6,FALSE), 0)</f>
        <v>1</v>
      </c>
      <c r="AI28" s="1940"/>
      <c r="AJ28" s="1940"/>
      <c r="AK28" s="1940"/>
      <c r="AL28" s="1940"/>
      <c r="AM28" s="1941"/>
      <c r="AN28" s="1939">
        <f>_xlfn.IFNA(VLOOKUP(AN$18,Application!$J$773:$S$776,6,FALSE), 0)</f>
        <v>0</v>
      </c>
      <c r="AO28" s="1940"/>
      <c r="AP28" s="1940"/>
      <c r="AQ28" s="1940"/>
      <c r="AR28" s="1940"/>
      <c r="AS28" s="1941"/>
      <c r="AT28" s="1942">
        <f t="shared" si="1"/>
        <v>7.6335877862595417E-3</v>
      </c>
      <c r="AU28" s="1943"/>
      <c r="AV28" s="1943"/>
      <c r="AW28" s="1943"/>
      <c r="AX28" s="1943"/>
      <c r="AY28" s="1944"/>
      <c r="AZ28" s="1190"/>
      <c r="BA28" s="1190"/>
      <c r="BB28" s="1190"/>
      <c r="BC28" s="1190"/>
      <c r="BD28" s="1190"/>
      <c r="BE28" s="1194"/>
    </row>
    <row r="29" spans="1:58" thickBot="1">
      <c r="A29" s="1190"/>
      <c r="B29" s="1973" t="s">
        <v>1586</v>
      </c>
      <c r="C29" s="1946"/>
      <c r="D29" s="1946"/>
      <c r="E29" s="1946"/>
      <c r="F29" s="1946"/>
      <c r="G29" s="1946"/>
      <c r="H29" s="1946"/>
      <c r="I29" s="1947"/>
      <c r="J29" s="1945">
        <f>SUM(J19:O28)</f>
        <v>131</v>
      </c>
      <c r="K29" s="1946"/>
      <c r="L29" s="1946"/>
      <c r="M29" s="1946"/>
      <c r="N29" s="1946"/>
      <c r="O29" s="1947"/>
      <c r="P29" s="1945">
        <f>SUM(P19:U28)</f>
        <v>0</v>
      </c>
      <c r="Q29" s="1946"/>
      <c r="R29" s="1946"/>
      <c r="S29" s="1946"/>
      <c r="T29" s="1946"/>
      <c r="U29" s="1947"/>
      <c r="V29" s="1945">
        <f>SUM(V19:AA28)</f>
        <v>46</v>
      </c>
      <c r="W29" s="1946"/>
      <c r="X29" s="1946"/>
      <c r="Y29" s="1946"/>
      <c r="Z29" s="1946"/>
      <c r="AA29" s="1947"/>
      <c r="AB29" s="1945">
        <f>SUM(AB19:AG28)</f>
        <v>42</v>
      </c>
      <c r="AC29" s="1946"/>
      <c r="AD29" s="1946"/>
      <c r="AE29" s="1946"/>
      <c r="AF29" s="1946"/>
      <c r="AG29" s="1947"/>
      <c r="AH29" s="1945">
        <f>SUM(AH19:AM28)</f>
        <v>43</v>
      </c>
      <c r="AI29" s="1946"/>
      <c r="AJ29" s="1946"/>
      <c r="AK29" s="1946"/>
      <c r="AL29" s="1946"/>
      <c r="AM29" s="1947"/>
      <c r="AN29" s="1945">
        <f>SUM(AN19:AS28)</f>
        <v>0</v>
      </c>
      <c r="AO29" s="1946"/>
      <c r="AP29" s="1946"/>
      <c r="AQ29" s="1946"/>
      <c r="AR29" s="1946"/>
      <c r="AS29" s="1947"/>
      <c r="AT29" s="1948">
        <f t="shared" si="1"/>
        <v>1</v>
      </c>
      <c r="AU29" s="1949"/>
      <c r="AV29" s="1949"/>
      <c r="AW29" s="1949"/>
      <c r="AX29" s="1949"/>
      <c r="AY29" s="1950"/>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1951" t="s">
        <v>2429</v>
      </c>
      <c r="C31" s="1952"/>
      <c r="D31" s="1952"/>
      <c r="E31" s="1952"/>
      <c r="F31" s="1952"/>
      <c r="G31" s="1952"/>
      <c r="H31" s="1952"/>
      <c r="I31" s="1952"/>
      <c r="J31" s="1952"/>
      <c r="K31" s="1952"/>
      <c r="L31" s="1952"/>
      <c r="M31" s="1952"/>
      <c r="N31" s="1952"/>
      <c r="O31" s="1952"/>
      <c r="P31" s="1952"/>
      <c r="Q31" s="1952"/>
      <c r="R31" s="1952"/>
      <c r="S31" s="1952"/>
      <c r="T31" s="1952"/>
      <c r="U31" s="1952"/>
      <c r="V31" s="1952"/>
      <c r="W31" s="1952"/>
      <c r="X31" s="1952"/>
      <c r="Y31" s="1952"/>
      <c r="Z31" s="1952"/>
      <c r="AA31" s="1952"/>
      <c r="AB31" s="1952"/>
      <c r="AC31" s="1952"/>
      <c r="AD31" s="1952"/>
      <c r="AE31" s="1952"/>
      <c r="AF31" s="1952"/>
      <c r="AG31" s="1952"/>
      <c r="AH31" s="1952"/>
      <c r="AI31" s="1952"/>
      <c r="AJ31" s="1952"/>
      <c r="AK31" s="1952"/>
      <c r="AL31" s="1952"/>
      <c r="AM31" s="1952"/>
      <c r="AN31" s="1952"/>
      <c r="AO31" s="1952"/>
      <c r="AP31" s="1952"/>
      <c r="AQ31" s="1952"/>
      <c r="AR31" s="1952"/>
      <c r="AS31" s="1952"/>
      <c r="AT31" s="1952"/>
      <c r="AU31" s="1952"/>
      <c r="AV31" s="1952"/>
      <c r="AW31" s="1952"/>
      <c r="AX31" s="1952"/>
      <c r="AY31" s="1952"/>
      <c r="AZ31" s="1952"/>
      <c r="BA31" s="1952"/>
      <c r="BB31" s="1952"/>
      <c r="BC31" s="1952"/>
      <c r="BD31" s="1953"/>
      <c r="BE31" s="1194"/>
    </row>
    <row r="32" spans="1:58" thickBot="1">
      <c r="A32" s="1190"/>
      <c r="B32" s="1954" t="s">
        <v>2428</v>
      </c>
      <c r="C32" s="1955"/>
      <c r="D32" s="1955"/>
      <c r="E32" s="1955"/>
      <c r="F32" s="1955"/>
      <c r="G32" s="1955"/>
      <c r="H32" s="1955"/>
      <c r="I32" s="1955"/>
      <c r="J32" s="1958" t="s">
        <v>2427</v>
      </c>
      <c r="K32" s="1959"/>
      <c r="L32" s="1959"/>
      <c r="M32" s="1959"/>
      <c r="N32" s="1958" t="s">
        <v>2426</v>
      </c>
      <c r="O32" s="1959"/>
      <c r="P32" s="1959"/>
      <c r="Q32" s="1961"/>
      <c r="R32" s="1963" t="s">
        <v>2425</v>
      </c>
      <c r="S32" s="1964"/>
      <c r="T32" s="1964"/>
      <c r="U32" s="1964"/>
      <c r="V32" s="1964"/>
      <c r="W32" s="1964"/>
      <c r="X32" s="1964"/>
      <c r="Y32" s="1964"/>
      <c r="Z32" s="1964"/>
      <c r="AA32" s="1964"/>
      <c r="AB32" s="1964"/>
      <c r="AC32" s="1964"/>
      <c r="AD32" s="1964"/>
      <c r="AE32" s="1964"/>
      <c r="AF32" s="1964"/>
      <c r="AG32" s="1964"/>
      <c r="AH32" s="1964"/>
      <c r="AI32" s="1964"/>
      <c r="AJ32" s="1964"/>
      <c r="AK32" s="1964"/>
      <c r="AL32" s="1964"/>
      <c r="AM32" s="1964"/>
      <c r="AN32" s="1964"/>
      <c r="AO32" s="1964"/>
      <c r="AP32" s="1964"/>
      <c r="AQ32" s="1964"/>
      <c r="AR32" s="1964"/>
      <c r="AS32" s="1964"/>
      <c r="AT32" s="1964"/>
      <c r="AU32" s="1964"/>
      <c r="AV32" s="1964"/>
      <c r="AW32" s="1964"/>
      <c r="AX32" s="1964"/>
      <c r="AY32" s="1964"/>
      <c r="AZ32" s="1964"/>
      <c r="BA32" s="1964"/>
      <c r="BB32" s="1964"/>
      <c r="BC32" s="1964"/>
      <c r="BD32" s="1965"/>
      <c r="BE32" s="1194"/>
    </row>
    <row r="33" spans="1:58" ht="15" customHeight="1">
      <c r="A33" s="1190"/>
      <c r="B33" s="1956"/>
      <c r="C33" s="1957"/>
      <c r="D33" s="1957"/>
      <c r="E33" s="1957"/>
      <c r="F33" s="1957"/>
      <c r="G33" s="1957"/>
      <c r="H33" s="1957"/>
      <c r="I33" s="1957"/>
      <c r="J33" s="1960"/>
      <c r="K33" s="1960"/>
      <c r="L33" s="1960"/>
      <c r="M33" s="1960"/>
      <c r="N33" s="1960"/>
      <c r="O33" s="1960"/>
      <c r="P33" s="1960"/>
      <c r="Q33" s="1962"/>
      <c r="R33" s="1966" t="s">
        <v>2424</v>
      </c>
      <c r="S33" s="1967"/>
      <c r="T33" s="1967"/>
      <c r="U33" s="1967"/>
      <c r="V33" s="1967"/>
      <c r="W33" s="1967"/>
      <c r="X33" s="1967"/>
      <c r="Y33" s="1967"/>
      <c r="Z33" s="1967"/>
      <c r="AA33" s="1967"/>
      <c r="AB33" s="1967"/>
      <c r="AC33" s="1967"/>
      <c r="AD33" s="1967"/>
      <c r="AE33" s="1967"/>
      <c r="AF33" s="1967"/>
      <c r="AG33" s="1967"/>
      <c r="AH33" s="1967"/>
      <c r="AI33" s="1967"/>
      <c r="AJ33" s="1967"/>
      <c r="AK33" s="1967"/>
      <c r="AL33" s="1967"/>
      <c r="AM33" s="1967"/>
      <c r="AN33" s="1967"/>
      <c r="AO33" s="1967"/>
      <c r="AP33" s="1967"/>
      <c r="AQ33" s="1967"/>
      <c r="AR33" s="1967"/>
      <c r="AS33" s="1967"/>
      <c r="AT33" s="1967"/>
      <c r="AU33" s="1967"/>
      <c r="AV33" s="1967"/>
      <c r="AW33" s="1967"/>
      <c r="AX33" s="1967"/>
      <c r="AY33" s="1967"/>
      <c r="AZ33" s="1967"/>
      <c r="BA33" s="1967"/>
      <c r="BB33" s="1967"/>
      <c r="BC33" s="1967"/>
      <c r="BD33" s="1968"/>
      <c r="BE33" s="1194"/>
    </row>
    <row r="34" spans="1:58" ht="15.75" customHeight="1" thickBot="1">
      <c r="A34" s="1190"/>
      <c r="B34" s="1956"/>
      <c r="C34" s="1957"/>
      <c r="D34" s="1957"/>
      <c r="E34" s="1957"/>
      <c r="F34" s="1957"/>
      <c r="G34" s="1957"/>
      <c r="H34" s="1957"/>
      <c r="I34" s="1957"/>
      <c r="J34" s="1960"/>
      <c r="K34" s="1960"/>
      <c r="L34" s="1960"/>
      <c r="M34" s="1960"/>
      <c r="N34" s="1960"/>
      <c r="O34" s="1960"/>
      <c r="P34" s="1960"/>
      <c r="Q34" s="1962"/>
      <c r="R34" s="1969"/>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c r="AN34" s="1970"/>
      <c r="AO34" s="1970"/>
      <c r="AP34" s="1970"/>
      <c r="AQ34" s="1970"/>
      <c r="AR34" s="1970"/>
      <c r="AS34" s="1970"/>
      <c r="AT34" s="1970"/>
      <c r="AU34" s="1970"/>
      <c r="AV34" s="1970"/>
      <c r="AW34" s="1970"/>
      <c r="AX34" s="1970"/>
      <c r="AY34" s="1970"/>
      <c r="AZ34" s="1970"/>
      <c r="BA34" s="1970"/>
      <c r="BB34" s="1970"/>
      <c r="BC34" s="1970"/>
      <c r="BD34" s="1971"/>
      <c r="BE34" s="1194"/>
    </row>
    <row r="35" spans="1:58" ht="15.75" customHeight="1">
      <c r="A35" s="1190"/>
      <c r="B35" s="1956"/>
      <c r="C35" s="1957"/>
      <c r="D35" s="1957"/>
      <c r="E35" s="1957"/>
      <c r="F35" s="1957"/>
      <c r="G35" s="1957"/>
      <c r="H35" s="1957"/>
      <c r="I35" s="1957"/>
      <c r="J35" s="1960"/>
      <c r="K35" s="1960"/>
      <c r="L35" s="1960"/>
      <c r="M35" s="1960"/>
      <c r="N35" s="1960"/>
      <c r="O35" s="1960"/>
      <c r="P35" s="1960"/>
      <c r="Q35" s="1960"/>
      <c r="R35" s="1972">
        <v>0.3</v>
      </c>
      <c r="S35" s="1972"/>
      <c r="T35" s="1972"/>
      <c r="U35" s="1972"/>
      <c r="V35" s="1972">
        <v>0.4</v>
      </c>
      <c r="W35" s="1972"/>
      <c r="X35" s="1972"/>
      <c r="Y35" s="1972"/>
      <c r="Z35" s="1972">
        <v>0.5</v>
      </c>
      <c r="AA35" s="1972"/>
      <c r="AB35" s="1972"/>
      <c r="AC35" s="1972"/>
      <c r="AD35" s="1972">
        <v>0.6</v>
      </c>
      <c r="AE35" s="1972"/>
      <c r="AF35" s="1972"/>
      <c r="AG35" s="1972"/>
      <c r="AH35" s="1972">
        <v>0.7</v>
      </c>
      <c r="AI35" s="1972"/>
      <c r="AJ35" s="1972"/>
      <c r="AK35" s="1972"/>
      <c r="AL35" s="1977">
        <v>0.8</v>
      </c>
      <c r="AM35" s="1978"/>
      <c r="AN35" s="1978"/>
      <c r="AO35" s="1979"/>
      <c r="AP35" s="1980">
        <v>1.2</v>
      </c>
      <c r="AQ35" s="1981"/>
      <c r="AR35" s="1982"/>
      <c r="AS35" s="1974" t="s">
        <v>2423</v>
      </c>
      <c r="AT35" s="1975"/>
      <c r="AU35" s="1975"/>
      <c r="AV35" s="1975"/>
      <c r="AW35" s="1975"/>
      <c r="AX35" s="1983"/>
      <c r="AY35" s="1974" t="s">
        <v>2422</v>
      </c>
      <c r="AZ35" s="1975"/>
      <c r="BA35" s="1975"/>
      <c r="BB35" s="1975"/>
      <c r="BC35" s="1975"/>
      <c r="BD35" s="1976"/>
      <c r="BE35" s="1194"/>
    </row>
    <row r="36" spans="1:58" ht="15.75" customHeight="1">
      <c r="A36" s="1190"/>
      <c r="B36" s="1993" t="s">
        <v>2421</v>
      </c>
      <c r="C36" s="1994"/>
      <c r="D36" s="1994"/>
      <c r="E36" s="1994"/>
      <c r="F36" s="1994"/>
      <c r="G36" s="1994"/>
      <c r="H36" s="1994"/>
      <c r="I36" s="1994"/>
      <c r="J36" s="1995" t="s">
        <v>2420</v>
      </c>
      <c r="K36" s="1995"/>
      <c r="L36" s="1995"/>
      <c r="M36" s="1995"/>
      <c r="N36" s="1995">
        <v>55</v>
      </c>
      <c r="O36" s="1995"/>
      <c r="P36" s="1995"/>
      <c r="Q36" s="1995"/>
      <c r="R36" s="1996"/>
      <c r="S36" s="1996"/>
      <c r="T36" s="1996"/>
      <c r="U36" s="1996"/>
      <c r="V36" s="1996"/>
      <c r="W36" s="1996"/>
      <c r="X36" s="1996"/>
      <c r="Y36" s="1996"/>
      <c r="Z36" s="1996"/>
      <c r="AA36" s="1996"/>
      <c r="AB36" s="1996"/>
      <c r="AC36" s="1996"/>
      <c r="AD36" s="1996"/>
      <c r="AE36" s="1996"/>
      <c r="AF36" s="1996"/>
      <c r="AG36" s="1996"/>
      <c r="AH36" s="1996"/>
      <c r="AI36" s="1996"/>
      <c r="AJ36" s="1996"/>
      <c r="AK36" s="1996"/>
      <c r="AL36" s="1984"/>
      <c r="AM36" s="1985"/>
      <c r="AN36" s="1985"/>
      <c r="AO36" s="1986"/>
      <c r="AP36" s="1984"/>
      <c r="AQ36" s="1985"/>
      <c r="AR36" s="1986"/>
      <c r="AS36" s="1987">
        <f t="shared" ref="AS36:AS47" si="2">SUM(R36:AR36)</f>
        <v>0</v>
      </c>
      <c r="AT36" s="1988"/>
      <c r="AU36" s="1988"/>
      <c r="AV36" s="1988"/>
      <c r="AW36" s="1988"/>
      <c r="AX36" s="1989"/>
      <c r="AY36" s="1990">
        <f t="shared" ref="AY36:AY47" si="3">AS36/$J$29</f>
        <v>0</v>
      </c>
      <c r="AZ36" s="1991"/>
      <c r="BA36" s="1991"/>
      <c r="BB36" s="1991"/>
      <c r="BC36" s="1991"/>
      <c r="BD36" s="1992"/>
      <c r="BE36" s="1194"/>
    </row>
    <row r="37" spans="1:58" ht="15.75" customHeight="1">
      <c r="A37" s="1190"/>
      <c r="B37" s="1993" t="s">
        <v>2419</v>
      </c>
      <c r="C37" s="1994"/>
      <c r="D37" s="1994"/>
      <c r="E37" s="1994"/>
      <c r="F37" s="1994"/>
      <c r="G37" s="1994"/>
      <c r="H37" s="1994"/>
      <c r="I37" s="1994"/>
      <c r="J37" s="1995" t="s">
        <v>2418</v>
      </c>
      <c r="K37" s="1995"/>
      <c r="L37" s="1995"/>
      <c r="M37" s="1995"/>
      <c r="N37" s="1995">
        <v>55</v>
      </c>
      <c r="O37" s="1995"/>
      <c r="P37" s="1995"/>
      <c r="Q37" s="1995"/>
      <c r="R37" s="1996"/>
      <c r="S37" s="1996"/>
      <c r="T37" s="1996"/>
      <c r="U37" s="1996"/>
      <c r="V37" s="1996"/>
      <c r="W37" s="1996"/>
      <c r="X37" s="1996"/>
      <c r="Y37" s="1996"/>
      <c r="Z37" s="1996"/>
      <c r="AA37" s="1996"/>
      <c r="AB37" s="1996"/>
      <c r="AC37" s="1996"/>
      <c r="AD37" s="1996"/>
      <c r="AE37" s="1996"/>
      <c r="AF37" s="1996"/>
      <c r="AG37" s="1996"/>
      <c r="AH37" s="1996"/>
      <c r="AI37" s="1996"/>
      <c r="AJ37" s="1996"/>
      <c r="AK37" s="1996"/>
      <c r="AL37" s="1984"/>
      <c r="AM37" s="1985"/>
      <c r="AN37" s="1985"/>
      <c r="AO37" s="1986"/>
      <c r="AP37" s="1984"/>
      <c r="AQ37" s="1985"/>
      <c r="AR37" s="1986"/>
      <c r="AS37" s="1987">
        <f t="shared" si="2"/>
        <v>0</v>
      </c>
      <c r="AT37" s="1988"/>
      <c r="AU37" s="1988"/>
      <c r="AV37" s="1988"/>
      <c r="AW37" s="1988"/>
      <c r="AX37" s="1989"/>
      <c r="AY37" s="1990">
        <f t="shared" si="3"/>
        <v>0</v>
      </c>
      <c r="AZ37" s="1991"/>
      <c r="BA37" s="1991"/>
      <c r="BB37" s="1991"/>
      <c r="BC37" s="1991"/>
      <c r="BD37" s="1992"/>
      <c r="BE37" s="1194"/>
    </row>
    <row r="38" spans="1:58" ht="15.75" customHeight="1">
      <c r="A38" s="1190"/>
      <c r="B38" s="1993" t="s">
        <v>2417</v>
      </c>
      <c r="C38" s="1994"/>
      <c r="D38" s="1994"/>
      <c r="E38" s="1994"/>
      <c r="F38" s="1994"/>
      <c r="G38" s="1994"/>
      <c r="H38" s="1994"/>
      <c r="I38" s="1994"/>
      <c r="J38" s="1995" t="s">
        <v>2416</v>
      </c>
      <c r="K38" s="1995"/>
      <c r="L38" s="1995"/>
      <c r="M38" s="1995"/>
      <c r="N38" s="1995">
        <v>55</v>
      </c>
      <c r="O38" s="1995"/>
      <c r="P38" s="1995"/>
      <c r="Q38" s="1995"/>
      <c r="R38" s="1996"/>
      <c r="S38" s="1996"/>
      <c r="T38" s="1996"/>
      <c r="U38" s="1996"/>
      <c r="V38" s="1996"/>
      <c r="W38" s="1996"/>
      <c r="X38" s="1996"/>
      <c r="Y38" s="1996"/>
      <c r="Z38" s="1996"/>
      <c r="AA38" s="1996"/>
      <c r="AB38" s="1996"/>
      <c r="AC38" s="1996"/>
      <c r="AD38" s="1996"/>
      <c r="AE38" s="1996"/>
      <c r="AF38" s="1996"/>
      <c r="AG38" s="1996"/>
      <c r="AH38" s="1996"/>
      <c r="AI38" s="1996"/>
      <c r="AJ38" s="1996"/>
      <c r="AK38" s="1996"/>
      <c r="AL38" s="1984"/>
      <c r="AM38" s="1985"/>
      <c r="AN38" s="1985"/>
      <c r="AO38" s="1986"/>
      <c r="AP38" s="1984"/>
      <c r="AQ38" s="1985"/>
      <c r="AR38" s="1986"/>
      <c r="AS38" s="1987">
        <f t="shared" si="2"/>
        <v>0</v>
      </c>
      <c r="AT38" s="1988"/>
      <c r="AU38" s="1988"/>
      <c r="AV38" s="1988"/>
      <c r="AW38" s="1988"/>
      <c r="AX38" s="1989"/>
      <c r="AY38" s="1990">
        <f t="shared" si="3"/>
        <v>0</v>
      </c>
      <c r="AZ38" s="1991"/>
      <c r="BA38" s="1991"/>
      <c r="BB38" s="1991"/>
      <c r="BC38" s="1991"/>
      <c r="BD38" s="1992"/>
      <c r="BE38" s="1194"/>
    </row>
    <row r="39" spans="1:58" ht="15.75" customHeight="1">
      <c r="A39" s="1190"/>
      <c r="B39" s="1993" t="s">
        <v>2415</v>
      </c>
      <c r="C39" s="1994"/>
      <c r="D39" s="1994"/>
      <c r="E39" s="1994"/>
      <c r="F39" s="1994"/>
      <c r="G39" s="1994"/>
      <c r="H39" s="1994"/>
      <c r="I39" s="1994"/>
      <c r="J39" s="1995"/>
      <c r="K39" s="1995"/>
      <c r="L39" s="1995"/>
      <c r="M39" s="1995"/>
      <c r="N39" s="1995"/>
      <c r="O39" s="1995"/>
      <c r="P39" s="1995"/>
      <c r="Q39" s="1995"/>
      <c r="R39" s="1996"/>
      <c r="S39" s="1996"/>
      <c r="T39" s="1996"/>
      <c r="U39" s="1996"/>
      <c r="V39" s="1996"/>
      <c r="W39" s="1996"/>
      <c r="X39" s="1996"/>
      <c r="Y39" s="1996"/>
      <c r="Z39" s="1996"/>
      <c r="AA39" s="1996"/>
      <c r="AB39" s="1996"/>
      <c r="AC39" s="1996"/>
      <c r="AD39" s="1996"/>
      <c r="AE39" s="1996"/>
      <c r="AF39" s="1996"/>
      <c r="AG39" s="1996"/>
      <c r="AH39" s="1996"/>
      <c r="AI39" s="1996"/>
      <c r="AJ39" s="1996"/>
      <c r="AK39" s="1996"/>
      <c r="AL39" s="1984"/>
      <c r="AM39" s="1985"/>
      <c r="AN39" s="1985"/>
      <c r="AO39" s="1986"/>
      <c r="AP39" s="1984"/>
      <c r="AQ39" s="1985"/>
      <c r="AR39" s="1986"/>
      <c r="AS39" s="1987">
        <f t="shared" si="2"/>
        <v>0</v>
      </c>
      <c r="AT39" s="1988"/>
      <c r="AU39" s="1988"/>
      <c r="AV39" s="1988"/>
      <c r="AW39" s="1988"/>
      <c r="AX39" s="1989"/>
      <c r="AY39" s="1990">
        <f t="shared" si="3"/>
        <v>0</v>
      </c>
      <c r="AZ39" s="1991"/>
      <c r="BA39" s="1991"/>
      <c r="BB39" s="1991"/>
      <c r="BC39" s="1991"/>
      <c r="BD39" s="1992"/>
      <c r="BE39" s="1194"/>
    </row>
    <row r="40" spans="1:58" ht="15.75" customHeight="1">
      <c r="A40" s="1190"/>
      <c r="B40" s="1993" t="s">
        <v>2415</v>
      </c>
      <c r="C40" s="1994"/>
      <c r="D40" s="1994"/>
      <c r="E40" s="1994"/>
      <c r="F40" s="1994"/>
      <c r="G40" s="1994"/>
      <c r="H40" s="1994"/>
      <c r="I40" s="1994"/>
      <c r="J40" s="1995"/>
      <c r="K40" s="1995"/>
      <c r="L40" s="1995"/>
      <c r="M40" s="1995"/>
      <c r="N40" s="1995"/>
      <c r="O40" s="1995"/>
      <c r="P40" s="1995"/>
      <c r="Q40" s="1995"/>
      <c r="R40" s="1996"/>
      <c r="S40" s="1996"/>
      <c r="T40" s="1996"/>
      <c r="U40" s="1996"/>
      <c r="V40" s="1996"/>
      <c r="W40" s="1996"/>
      <c r="X40" s="1996"/>
      <c r="Y40" s="1996"/>
      <c r="Z40" s="1996"/>
      <c r="AA40" s="1996"/>
      <c r="AB40" s="1996"/>
      <c r="AC40" s="1996"/>
      <c r="AD40" s="1996"/>
      <c r="AE40" s="1996"/>
      <c r="AF40" s="1996"/>
      <c r="AG40" s="1996"/>
      <c r="AH40" s="1996"/>
      <c r="AI40" s="1996"/>
      <c r="AJ40" s="1996"/>
      <c r="AK40" s="1996"/>
      <c r="AL40" s="1984"/>
      <c r="AM40" s="1985"/>
      <c r="AN40" s="1985"/>
      <c r="AO40" s="1986"/>
      <c r="AP40" s="1984"/>
      <c r="AQ40" s="1985"/>
      <c r="AR40" s="1986"/>
      <c r="AS40" s="1987">
        <f t="shared" si="2"/>
        <v>0</v>
      </c>
      <c r="AT40" s="1988"/>
      <c r="AU40" s="1988"/>
      <c r="AV40" s="1988"/>
      <c r="AW40" s="1988"/>
      <c r="AX40" s="1989"/>
      <c r="AY40" s="1990">
        <f t="shared" si="3"/>
        <v>0</v>
      </c>
      <c r="AZ40" s="1991"/>
      <c r="BA40" s="1991"/>
      <c r="BB40" s="1991"/>
      <c r="BC40" s="1991"/>
      <c r="BD40" s="1992"/>
      <c r="BE40" s="1194"/>
    </row>
    <row r="41" spans="1:58" ht="15.75" customHeight="1">
      <c r="A41" s="1190"/>
      <c r="B41" s="1993" t="s">
        <v>2414</v>
      </c>
      <c r="C41" s="1994"/>
      <c r="D41" s="1994"/>
      <c r="E41" s="1994"/>
      <c r="F41" s="1994"/>
      <c r="G41" s="1994"/>
      <c r="H41" s="1994"/>
      <c r="I41" s="1994"/>
      <c r="J41" s="1995"/>
      <c r="K41" s="1995"/>
      <c r="L41" s="1995"/>
      <c r="M41" s="1995"/>
      <c r="N41" s="1995"/>
      <c r="O41" s="1995"/>
      <c r="P41" s="1995"/>
      <c r="Q41" s="1995"/>
      <c r="R41" s="1996"/>
      <c r="S41" s="1996"/>
      <c r="T41" s="1996"/>
      <c r="U41" s="1996"/>
      <c r="V41" s="1996"/>
      <c r="W41" s="1996"/>
      <c r="X41" s="1996"/>
      <c r="Y41" s="1996"/>
      <c r="Z41" s="1996"/>
      <c r="AA41" s="1996"/>
      <c r="AB41" s="1996"/>
      <c r="AC41" s="1996"/>
      <c r="AD41" s="1996"/>
      <c r="AE41" s="1996"/>
      <c r="AF41" s="1996"/>
      <c r="AG41" s="1996"/>
      <c r="AH41" s="1996"/>
      <c r="AI41" s="1996"/>
      <c r="AJ41" s="1996"/>
      <c r="AK41" s="1996"/>
      <c r="AL41" s="1984"/>
      <c r="AM41" s="1985"/>
      <c r="AN41" s="1985"/>
      <c r="AO41" s="1986"/>
      <c r="AP41" s="1984"/>
      <c r="AQ41" s="1985"/>
      <c r="AR41" s="1986"/>
      <c r="AS41" s="1987">
        <f t="shared" si="2"/>
        <v>0</v>
      </c>
      <c r="AT41" s="1988"/>
      <c r="AU41" s="1988"/>
      <c r="AV41" s="1988"/>
      <c r="AW41" s="1988"/>
      <c r="AX41" s="1989"/>
      <c r="AY41" s="1990">
        <f t="shared" si="3"/>
        <v>0</v>
      </c>
      <c r="AZ41" s="1991"/>
      <c r="BA41" s="1991"/>
      <c r="BB41" s="1991"/>
      <c r="BC41" s="1991"/>
      <c r="BD41" s="1992"/>
      <c r="BE41" s="1194"/>
    </row>
    <row r="42" spans="1:58" ht="15.75" customHeight="1">
      <c r="A42" s="1190"/>
      <c r="B42" s="1993" t="s">
        <v>2414</v>
      </c>
      <c r="C42" s="1994"/>
      <c r="D42" s="1994"/>
      <c r="E42" s="1994"/>
      <c r="F42" s="1994"/>
      <c r="G42" s="1994"/>
      <c r="H42" s="1994"/>
      <c r="I42" s="1994"/>
      <c r="J42" s="1995"/>
      <c r="K42" s="1995"/>
      <c r="L42" s="1995"/>
      <c r="M42" s="1995"/>
      <c r="N42" s="1995"/>
      <c r="O42" s="1995"/>
      <c r="P42" s="1995"/>
      <c r="Q42" s="1995"/>
      <c r="R42" s="1996"/>
      <c r="S42" s="1996"/>
      <c r="T42" s="1996"/>
      <c r="U42" s="1996"/>
      <c r="V42" s="1996"/>
      <c r="W42" s="1996"/>
      <c r="X42" s="1996"/>
      <c r="Y42" s="1996"/>
      <c r="Z42" s="1996"/>
      <c r="AA42" s="1996"/>
      <c r="AB42" s="1996"/>
      <c r="AC42" s="1996"/>
      <c r="AD42" s="1996"/>
      <c r="AE42" s="1996"/>
      <c r="AF42" s="1996"/>
      <c r="AG42" s="1996"/>
      <c r="AH42" s="1996"/>
      <c r="AI42" s="1996"/>
      <c r="AJ42" s="1996"/>
      <c r="AK42" s="1996"/>
      <c r="AL42" s="1984"/>
      <c r="AM42" s="1985"/>
      <c r="AN42" s="1985"/>
      <c r="AO42" s="1986"/>
      <c r="AP42" s="1984"/>
      <c r="AQ42" s="1985"/>
      <c r="AR42" s="1986"/>
      <c r="AS42" s="1987">
        <f t="shared" si="2"/>
        <v>0</v>
      </c>
      <c r="AT42" s="1988"/>
      <c r="AU42" s="1988"/>
      <c r="AV42" s="1988"/>
      <c r="AW42" s="1988"/>
      <c r="AX42" s="1989"/>
      <c r="AY42" s="1990">
        <f t="shared" si="3"/>
        <v>0</v>
      </c>
      <c r="AZ42" s="1991"/>
      <c r="BA42" s="1991"/>
      <c r="BB42" s="1991"/>
      <c r="BC42" s="1991"/>
      <c r="BD42" s="1992"/>
      <c r="BE42" s="1194"/>
    </row>
    <row r="43" spans="1:58" ht="15.75" customHeight="1">
      <c r="A43" s="1190"/>
      <c r="B43" s="1997" t="s">
        <v>2413</v>
      </c>
      <c r="C43" s="1998"/>
      <c r="D43" s="1998"/>
      <c r="E43" s="1998"/>
      <c r="F43" s="1998"/>
      <c r="G43" s="1998"/>
      <c r="H43" s="1998"/>
      <c r="I43" s="1998"/>
      <c r="J43" s="1995"/>
      <c r="K43" s="1995"/>
      <c r="L43" s="1995"/>
      <c r="M43" s="1995"/>
      <c r="N43" s="1995"/>
      <c r="O43" s="1995"/>
      <c r="P43" s="1995"/>
      <c r="Q43" s="1995"/>
      <c r="R43" s="1996"/>
      <c r="S43" s="1996"/>
      <c r="T43" s="1996"/>
      <c r="U43" s="1996"/>
      <c r="V43" s="1996"/>
      <c r="W43" s="1996"/>
      <c r="X43" s="1996"/>
      <c r="Y43" s="1996"/>
      <c r="Z43" s="1996"/>
      <c r="AA43" s="1996"/>
      <c r="AB43" s="1996"/>
      <c r="AC43" s="1996"/>
      <c r="AD43" s="1996"/>
      <c r="AE43" s="1996"/>
      <c r="AF43" s="1996"/>
      <c r="AG43" s="1996"/>
      <c r="AH43" s="1996"/>
      <c r="AI43" s="1996"/>
      <c r="AJ43" s="1996"/>
      <c r="AK43" s="1996"/>
      <c r="AL43" s="1984"/>
      <c r="AM43" s="1985"/>
      <c r="AN43" s="1985"/>
      <c r="AO43" s="1986"/>
      <c r="AP43" s="1984"/>
      <c r="AQ43" s="1985"/>
      <c r="AR43" s="1986"/>
      <c r="AS43" s="1987">
        <f t="shared" si="2"/>
        <v>0</v>
      </c>
      <c r="AT43" s="1988"/>
      <c r="AU43" s="1988"/>
      <c r="AV43" s="1988"/>
      <c r="AW43" s="1988"/>
      <c r="AX43" s="1989"/>
      <c r="AY43" s="1990">
        <f t="shared" si="3"/>
        <v>0</v>
      </c>
      <c r="AZ43" s="1991"/>
      <c r="BA43" s="1991"/>
      <c r="BB43" s="1991"/>
      <c r="BC43" s="1991"/>
      <c r="BD43" s="1992"/>
      <c r="BE43" s="1194"/>
    </row>
    <row r="44" spans="1:58" ht="15.75" customHeight="1">
      <c r="A44" s="1190"/>
      <c r="B44" s="1997" t="s">
        <v>2412</v>
      </c>
      <c r="C44" s="1998"/>
      <c r="D44" s="1998"/>
      <c r="E44" s="1998"/>
      <c r="F44" s="1998"/>
      <c r="G44" s="1998"/>
      <c r="H44" s="1998"/>
      <c r="I44" s="1998"/>
      <c r="J44" s="1995"/>
      <c r="K44" s="1995"/>
      <c r="L44" s="1995"/>
      <c r="M44" s="1995"/>
      <c r="N44" s="1995"/>
      <c r="O44" s="1995"/>
      <c r="P44" s="1995"/>
      <c r="Q44" s="1995"/>
      <c r="R44" s="1996"/>
      <c r="S44" s="1996"/>
      <c r="T44" s="1996"/>
      <c r="U44" s="1996"/>
      <c r="V44" s="1996"/>
      <c r="W44" s="1996"/>
      <c r="X44" s="1996"/>
      <c r="Y44" s="1996"/>
      <c r="Z44" s="1996"/>
      <c r="AA44" s="1996"/>
      <c r="AB44" s="1996"/>
      <c r="AC44" s="1996"/>
      <c r="AD44" s="1996"/>
      <c r="AE44" s="1996"/>
      <c r="AF44" s="1996"/>
      <c r="AG44" s="1996"/>
      <c r="AH44" s="1996"/>
      <c r="AI44" s="1996"/>
      <c r="AJ44" s="1996"/>
      <c r="AK44" s="1996"/>
      <c r="AL44" s="1984"/>
      <c r="AM44" s="1985"/>
      <c r="AN44" s="1985"/>
      <c r="AO44" s="1986"/>
      <c r="AP44" s="1984"/>
      <c r="AQ44" s="1985"/>
      <c r="AR44" s="1986"/>
      <c r="AS44" s="1987">
        <f t="shared" si="2"/>
        <v>0</v>
      </c>
      <c r="AT44" s="1988"/>
      <c r="AU44" s="1988"/>
      <c r="AV44" s="1988"/>
      <c r="AW44" s="1988"/>
      <c r="AX44" s="1989"/>
      <c r="AY44" s="1990">
        <f t="shared" si="3"/>
        <v>0</v>
      </c>
      <c r="AZ44" s="1991"/>
      <c r="BA44" s="1991"/>
      <c r="BB44" s="1991"/>
      <c r="BC44" s="1991"/>
      <c r="BD44" s="1992"/>
      <c r="BE44" s="1194"/>
    </row>
    <row r="45" spans="1:58" ht="15.75" customHeight="1">
      <c r="A45" s="1190"/>
      <c r="B45" s="1997" t="s">
        <v>2411</v>
      </c>
      <c r="C45" s="1998"/>
      <c r="D45" s="1998"/>
      <c r="E45" s="1998"/>
      <c r="F45" s="1998"/>
      <c r="G45" s="1998"/>
      <c r="H45" s="1998"/>
      <c r="I45" s="1998"/>
      <c r="J45" s="1995"/>
      <c r="K45" s="1995"/>
      <c r="L45" s="1995"/>
      <c r="M45" s="1995"/>
      <c r="N45" s="1995"/>
      <c r="O45" s="1995"/>
      <c r="P45" s="1995"/>
      <c r="Q45" s="1995"/>
      <c r="R45" s="1996"/>
      <c r="S45" s="1996"/>
      <c r="T45" s="1996"/>
      <c r="U45" s="1996"/>
      <c r="V45" s="1996"/>
      <c r="W45" s="1996"/>
      <c r="X45" s="1996"/>
      <c r="Y45" s="1996"/>
      <c r="Z45" s="1996"/>
      <c r="AA45" s="1996"/>
      <c r="AB45" s="1996"/>
      <c r="AC45" s="1996"/>
      <c r="AD45" s="1996"/>
      <c r="AE45" s="1996"/>
      <c r="AF45" s="1996"/>
      <c r="AG45" s="1996"/>
      <c r="AH45" s="1996"/>
      <c r="AI45" s="1996"/>
      <c r="AJ45" s="1996"/>
      <c r="AK45" s="1996"/>
      <c r="AL45" s="1984"/>
      <c r="AM45" s="1985"/>
      <c r="AN45" s="1985"/>
      <c r="AO45" s="1986"/>
      <c r="AP45" s="1984"/>
      <c r="AQ45" s="1985"/>
      <c r="AR45" s="1986"/>
      <c r="AS45" s="1987">
        <f t="shared" si="2"/>
        <v>0</v>
      </c>
      <c r="AT45" s="1988"/>
      <c r="AU45" s="1988"/>
      <c r="AV45" s="1988"/>
      <c r="AW45" s="1988"/>
      <c r="AX45" s="1989"/>
      <c r="AY45" s="1990">
        <f t="shared" si="3"/>
        <v>0</v>
      </c>
      <c r="AZ45" s="1991"/>
      <c r="BA45" s="1991"/>
      <c r="BB45" s="1991"/>
      <c r="BC45" s="1991"/>
      <c r="BD45" s="1992"/>
      <c r="BE45" s="1194"/>
    </row>
    <row r="46" spans="1:58" ht="15.75" customHeight="1">
      <c r="A46" s="1190"/>
      <c r="B46" s="1997" t="s">
        <v>2335</v>
      </c>
      <c r="C46" s="1998"/>
      <c r="D46" s="1998"/>
      <c r="E46" s="1998"/>
      <c r="F46" s="1998"/>
      <c r="G46" s="1998"/>
      <c r="H46" s="1998"/>
      <c r="I46" s="1998"/>
      <c r="J46" s="1995"/>
      <c r="K46" s="1995"/>
      <c r="L46" s="1995"/>
      <c r="M46" s="1995"/>
      <c r="N46" s="1995">
        <v>99</v>
      </c>
      <c r="O46" s="1995"/>
      <c r="P46" s="1995"/>
      <c r="Q46" s="1995"/>
      <c r="R46" s="1996"/>
      <c r="S46" s="1996"/>
      <c r="T46" s="1996"/>
      <c r="U46" s="1996"/>
      <c r="V46" s="1996"/>
      <c r="W46" s="1996"/>
      <c r="X46" s="1996"/>
      <c r="Y46" s="1996"/>
      <c r="Z46" s="1996"/>
      <c r="AA46" s="1996"/>
      <c r="AB46" s="1996"/>
      <c r="AC46" s="1996"/>
      <c r="AD46" s="1996"/>
      <c r="AE46" s="1996"/>
      <c r="AF46" s="1996"/>
      <c r="AG46" s="1996"/>
      <c r="AH46" s="1996"/>
      <c r="AI46" s="1996"/>
      <c r="AJ46" s="1996"/>
      <c r="AK46" s="1996"/>
      <c r="AL46" s="1984"/>
      <c r="AM46" s="1985"/>
      <c r="AN46" s="1985"/>
      <c r="AO46" s="1986"/>
      <c r="AP46" s="1984"/>
      <c r="AQ46" s="1985"/>
      <c r="AR46" s="1986"/>
      <c r="AS46" s="1987">
        <f t="shared" si="2"/>
        <v>0</v>
      </c>
      <c r="AT46" s="1988"/>
      <c r="AU46" s="1988"/>
      <c r="AV46" s="1988"/>
      <c r="AW46" s="1988"/>
      <c r="AX46" s="1989"/>
      <c r="AY46" s="1990">
        <f t="shared" si="3"/>
        <v>0</v>
      </c>
      <c r="AZ46" s="1991"/>
      <c r="BA46" s="1991"/>
      <c r="BB46" s="1991"/>
      <c r="BC46" s="1991"/>
      <c r="BD46" s="1992"/>
      <c r="BE46" s="1194"/>
    </row>
    <row r="47" spans="1:58" ht="15.75" customHeight="1" thickBot="1">
      <c r="A47" s="1190"/>
      <c r="B47" s="1999" t="s">
        <v>299</v>
      </c>
      <c r="C47" s="2000"/>
      <c r="D47" s="2000"/>
      <c r="E47" s="2000"/>
      <c r="F47" s="2000"/>
      <c r="G47" s="2000"/>
      <c r="H47" s="2000"/>
      <c r="I47" s="2000"/>
      <c r="J47" s="2001"/>
      <c r="K47" s="2001"/>
      <c r="L47" s="2001"/>
      <c r="M47" s="2001"/>
      <c r="N47" s="2001"/>
      <c r="O47" s="2001"/>
      <c r="P47" s="2001"/>
      <c r="Q47" s="2001"/>
      <c r="R47" s="2002"/>
      <c r="S47" s="2002"/>
      <c r="T47" s="2002"/>
      <c r="U47" s="2002"/>
      <c r="V47" s="2002"/>
      <c r="W47" s="2002"/>
      <c r="X47" s="2002"/>
      <c r="Y47" s="2002"/>
      <c r="Z47" s="2002"/>
      <c r="AA47" s="2002"/>
      <c r="AB47" s="2002"/>
      <c r="AC47" s="2002"/>
      <c r="AD47" s="2002"/>
      <c r="AE47" s="2002"/>
      <c r="AF47" s="2002"/>
      <c r="AG47" s="2002"/>
      <c r="AH47" s="2002"/>
      <c r="AI47" s="2002"/>
      <c r="AJ47" s="2002"/>
      <c r="AK47" s="2002"/>
      <c r="AL47" s="2006"/>
      <c r="AM47" s="2007"/>
      <c r="AN47" s="2007"/>
      <c r="AO47" s="2008"/>
      <c r="AP47" s="2006"/>
      <c r="AQ47" s="2007"/>
      <c r="AR47" s="2008"/>
      <c r="AS47" s="1987">
        <f t="shared" si="2"/>
        <v>0</v>
      </c>
      <c r="AT47" s="1988"/>
      <c r="AU47" s="1988"/>
      <c r="AV47" s="1988"/>
      <c r="AW47" s="1988"/>
      <c r="AX47" s="1989"/>
      <c r="AY47" s="2003">
        <f t="shared" si="3"/>
        <v>0</v>
      </c>
      <c r="AZ47" s="2004"/>
      <c r="BA47" s="2004"/>
      <c r="BB47" s="2004"/>
      <c r="BC47" s="2004"/>
      <c r="BD47" s="2005"/>
      <c r="BE47" s="1194"/>
    </row>
    <row r="48" spans="1:58" ht="15.75" customHeight="1">
      <c r="A48" s="1190"/>
      <c r="B48" s="1196" t="s">
        <v>2410</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2409</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9" t="s">
        <v>2408</v>
      </c>
      <c r="C50" s="2010"/>
      <c r="D50" s="2010"/>
      <c r="E50" s="2010"/>
      <c r="F50" s="2010"/>
      <c r="G50" s="2010"/>
      <c r="H50" s="2010"/>
      <c r="I50" s="2010"/>
      <c r="J50" s="2010"/>
      <c r="K50" s="2010"/>
      <c r="L50" s="2010"/>
      <c r="M50" s="2010"/>
      <c r="N50" s="2010"/>
      <c r="O50" s="2010"/>
      <c r="P50" s="2010"/>
      <c r="Q50" s="2010"/>
      <c r="R50" s="2010"/>
      <c r="S50" s="2010"/>
      <c r="T50" s="2010"/>
      <c r="U50" s="2010"/>
      <c r="V50" s="2010"/>
      <c r="W50" s="2010"/>
      <c r="X50" s="2010"/>
      <c r="Y50" s="2010"/>
      <c r="Z50" s="2010"/>
      <c r="AA50" s="2010"/>
      <c r="AB50" s="2010"/>
      <c r="AC50" s="2010"/>
      <c r="AD50" s="2010"/>
      <c r="AE50" s="2010"/>
      <c r="AF50" s="2010"/>
      <c r="AG50" s="2010"/>
      <c r="AH50" s="2010"/>
      <c r="AI50" s="2010"/>
      <c r="AJ50" s="2010"/>
      <c r="AK50" s="2010"/>
      <c r="AL50" s="2010"/>
      <c r="AM50" s="2010"/>
      <c r="AN50" s="2010"/>
      <c r="AO50" s="2011"/>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12" t="s">
        <v>2401</v>
      </c>
      <c r="C51" s="2013"/>
      <c r="D51" s="2013"/>
      <c r="E51" s="2013"/>
      <c r="F51" s="2013"/>
      <c r="G51" s="2013"/>
      <c r="H51" s="2013"/>
      <c r="I51" s="2013"/>
      <c r="J51" s="2013" t="s">
        <v>2407</v>
      </c>
      <c r="K51" s="2013"/>
      <c r="L51" s="2013"/>
      <c r="M51" s="2013"/>
      <c r="N51" s="2013"/>
      <c r="O51" s="2013"/>
      <c r="P51" s="2013"/>
      <c r="Q51" s="2013"/>
      <c r="R51" s="2014" t="s">
        <v>2406</v>
      </c>
      <c r="S51" s="2014"/>
      <c r="T51" s="2014"/>
      <c r="U51" s="2014"/>
      <c r="V51" s="2014"/>
      <c r="W51" s="2014"/>
      <c r="X51" s="2014"/>
      <c r="Y51" s="2014"/>
      <c r="Z51" s="2014" t="s">
        <v>2405</v>
      </c>
      <c r="AA51" s="2014"/>
      <c r="AB51" s="2014"/>
      <c r="AC51" s="2014"/>
      <c r="AD51" s="2014"/>
      <c r="AE51" s="2014"/>
      <c r="AF51" s="2014"/>
      <c r="AG51" s="2014"/>
      <c r="AH51" s="2014" t="s">
        <v>2404</v>
      </c>
      <c r="AI51" s="2014"/>
      <c r="AJ51" s="2014"/>
      <c r="AK51" s="2014"/>
      <c r="AL51" s="2014"/>
      <c r="AM51" s="2014"/>
      <c r="AN51" s="2014"/>
      <c r="AO51" s="2015"/>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7" t="s">
        <v>2403</v>
      </c>
      <c r="C52" s="1998"/>
      <c r="D52" s="1998"/>
      <c r="E52" s="1998"/>
      <c r="F52" s="1998"/>
      <c r="G52" s="1998"/>
      <c r="H52" s="1998"/>
      <c r="I52" s="1998"/>
      <c r="J52" s="2016">
        <v>0</v>
      </c>
      <c r="K52" s="2016"/>
      <c r="L52" s="2016"/>
      <c r="M52" s="2016"/>
      <c r="N52" s="2016"/>
      <c r="O52" s="2016"/>
      <c r="P52" s="2016"/>
      <c r="Q52" s="2016"/>
      <c r="R52" s="2017">
        <v>0</v>
      </c>
      <c r="S52" s="2017"/>
      <c r="T52" s="2017"/>
      <c r="U52" s="2017"/>
      <c r="V52" s="2017"/>
      <c r="W52" s="2017"/>
      <c r="X52" s="2017"/>
      <c r="Y52" s="2017"/>
      <c r="Z52" s="2018">
        <v>0</v>
      </c>
      <c r="AA52" s="2018"/>
      <c r="AB52" s="2018"/>
      <c r="AC52" s="2018"/>
      <c r="AD52" s="2018"/>
      <c r="AE52" s="2018"/>
      <c r="AF52" s="2018"/>
      <c r="AG52" s="2018"/>
      <c r="AH52" s="2019"/>
      <c r="AI52" s="2019"/>
      <c r="AJ52" s="2019"/>
      <c r="AK52" s="2019"/>
      <c r="AL52" s="2019"/>
      <c r="AM52" s="2019"/>
      <c r="AN52" s="2019"/>
      <c r="AO52" s="2020"/>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7" t="s">
        <v>2402</v>
      </c>
      <c r="C53" s="1998"/>
      <c r="D53" s="1998"/>
      <c r="E53" s="1998"/>
      <c r="F53" s="1998"/>
      <c r="G53" s="1998"/>
      <c r="H53" s="1998"/>
      <c r="I53" s="1998"/>
      <c r="J53" s="2016">
        <v>0</v>
      </c>
      <c r="K53" s="2016"/>
      <c r="L53" s="2016"/>
      <c r="M53" s="2016"/>
      <c r="N53" s="2016"/>
      <c r="O53" s="2016"/>
      <c r="P53" s="2016"/>
      <c r="Q53" s="2016"/>
      <c r="R53" s="2017">
        <v>0</v>
      </c>
      <c r="S53" s="2017"/>
      <c r="T53" s="2017"/>
      <c r="U53" s="2017"/>
      <c r="V53" s="2017"/>
      <c r="W53" s="2017"/>
      <c r="X53" s="2017"/>
      <c r="Y53" s="2017"/>
      <c r="Z53" s="2018">
        <v>0</v>
      </c>
      <c r="AA53" s="2018"/>
      <c r="AB53" s="2018"/>
      <c r="AC53" s="2018"/>
      <c r="AD53" s="2018"/>
      <c r="AE53" s="2018"/>
      <c r="AF53" s="2018"/>
      <c r="AG53" s="2018"/>
      <c r="AH53" s="2019"/>
      <c r="AI53" s="2019"/>
      <c r="AJ53" s="2019"/>
      <c r="AK53" s="2019"/>
      <c r="AL53" s="2019"/>
      <c r="AM53" s="2019"/>
      <c r="AN53" s="2019"/>
      <c r="AO53" s="2020"/>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7"/>
      <c r="C54" s="1998"/>
      <c r="D54" s="1998"/>
      <c r="E54" s="1998"/>
      <c r="F54" s="1998"/>
      <c r="G54" s="1998"/>
      <c r="H54" s="1998"/>
      <c r="I54" s="1998"/>
      <c r="J54" s="2016"/>
      <c r="K54" s="2016"/>
      <c r="L54" s="2016"/>
      <c r="M54" s="2016"/>
      <c r="N54" s="2016"/>
      <c r="O54" s="2016"/>
      <c r="P54" s="2016"/>
      <c r="Q54" s="2016"/>
      <c r="R54" s="2017"/>
      <c r="S54" s="2017"/>
      <c r="T54" s="2017"/>
      <c r="U54" s="2017"/>
      <c r="V54" s="2017"/>
      <c r="W54" s="2017"/>
      <c r="X54" s="2017"/>
      <c r="Y54" s="2017"/>
      <c r="Z54" s="2018"/>
      <c r="AA54" s="2018"/>
      <c r="AB54" s="2018"/>
      <c r="AC54" s="2018"/>
      <c r="AD54" s="2018"/>
      <c r="AE54" s="2018"/>
      <c r="AF54" s="2018"/>
      <c r="AG54" s="2018"/>
      <c r="AH54" s="2019"/>
      <c r="AI54" s="2019"/>
      <c r="AJ54" s="2019"/>
      <c r="AK54" s="2019"/>
      <c r="AL54" s="2019"/>
      <c r="AM54" s="2019"/>
      <c r="AN54" s="2019"/>
      <c r="AO54" s="2020"/>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7"/>
      <c r="C55" s="1998"/>
      <c r="D55" s="1998"/>
      <c r="E55" s="1998"/>
      <c r="F55" s="1998"/>
      <c r="G55" s="1998"/>
      <c r="H55" s="1998"/>
      <c r="I55" s="1998"/>
      <c r="J55" s="2016"/>
      <c r="K55" s="2016"/>
      <c r="L55" s="2016"/>
      <c r="M55" s="2016"/>
      <c r="N55" s="2016"/>
      <c r="O55" s="2016"/>
      <c r="P55" s="2016"/>
      <c r="Q55" s="2016"/>
      <c r="R55" s="2017"/>
      <c r="S55" s="2017"/>
      <c r="T55" s="2017"/>
      <c r="U55" s="2017"/>
      <c r="V55" s="2017"/>
      <c r="W55" s="2017"/>
      <c r="X55" s="2017"/>
      <c r="Y55" s="2017"/>
      <c r="Z55" s="2018"/>
      <c r="AA55" s="2018"/>
      <c r="AB55" s="2018"/>
      <c r="AC55" s="2018"/>
      <c r="AD55" s="2018"/>
      <c r="AE55" s="2018"/>
      <c r="AF55" s="2018"/>
      <c r="AG55" s="2018"/>
      <c r="AH55" s="2019"/>
      <c r="AI55" s="2019"/>
      <c r="AJ55" s="2019"/>
      <c r="AK55" s="2019"/>
      <c r="AL55" s="2019"/>
      <c r="AM55" s="2019"/>
      <c r="AN55" s="2019"/>
      <c r="AO55" s="2020"/>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1997"/>
      <c r="C56" s="1998"/>
      <c r="D56" s="1998"/>
      <c r="E56" s="1998"/>
      <c r="F56" s="1998"/>
      <c r="G56" s="1998"/>
      <c r="H56" s="1998"/>
      <c r="I56" s="1998"/>
      <c r="J56" s="2016"/>
      <c r="K56" s="2016"/>
      <c r="L56" s="2016"/>
      <c r="M56" s="2016"/>
      <c r="N56" s="2016"/>
      <c r="O56" s="2016"/>
      <c r="P56" s="2016"/>
      <c r="Q56" s="2016"/>
      <c r="R56" s="2017"/>
      <c r="S56" s="2017"/>
      <c r="T56" s="2017"/>
      <c r="U56" s="2017"/>
      <c r="V56" s="2017"/>
      <c r="W56" s="2017"/>
      <c r="X56" s="2017"/>
      <c r="Y56" s="2017"/>
      <c r="Z56" s="2018"/>
      <c r="AA56" s="2018"/>
      <c r="AB56" s="2018"/>
      <c r="AC56" s="2018"/>
      <c r="AD56" s="2018"/>
      <c r="AE56" s="2018"/>
      <c r="AF56" s="2018"/>
      <c r="AG56" s="2018"/>
      <c r="AH56" s="2019"/>
      <c r="AI56" s="2019"/>
      <c r="AJ56" s="2019"/>
      <c r="AK56" s="2019"/>
      <c r="AL56" s="2019"/>
      <c r="AM56" s="2019"/>
      <c r="AN56" s="2019"/>
      <c r="AO56" s="2020"/>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30" t="s">
        <v>1586</v>
      </c>
      <c r="C57" s="2031"/>
      <c r="D57" s="2031"/>
      <c r="E57" s="2031"/>
      <c r="F57" s="2031"/>
      <c r="G57" s="2031"/>
      <c r="H57" s="2031"/>
      <c r="I57" s="2031"/>
      <c r="J57" s="2031"/>
      <c r="K57" s="2031"/>
      <c r="L57" s="2031"/>
      <c r="M57" s="2031"/>
      <c r="N57" s="2031"/>
      <c r="O57" s="2031"/>
      <c r="P57" s="2031"/>
      <c r="Q57" s="2031"/>
      <c r="R57" s="2032">
        <f>SUM(R52:Y56)</f>
        <v>0</v>
      </c>
      <c r="S57" s="2032"/>
      <c r="T57" s="2032"/>
      <c r="U57" s="2032"/>
      <c r="V57" s="2032"/>
      <c r="W57" s="2032"/>
      <c r="X57" s="2032"/>
      <c r="Y57" s="2032"/>
      <c r="Z57" s="2033">
        <f>SUM(Z52:AG56)</f>
        <v>0</v>
      </c>
      <c r="AA57" s="2033"/>
      <c r="AB57" s="2033"/>
      <c r="AC57" s="2033"/>
      <c r="AD57" s="2033"/>
      <c r="AE57" s="2033"/>
      <c r="AF57" s="2033"/>
      <c r="AG57" s="2033"/>
      <c r="AH57" s="2034"/>
      <c r="AI57" s="2034"/>
      <c r="AJ57" s="2034"/>
      <c r="AK57" s="2034"/>
      <c r="AL57" s="2034"/>
      <c r="AM57" s="2034"/>
      <c r="AN57" s="2034"/>
      <c r="AO57" s="2035"/>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21" t="s">
        <v>2401</v>
      </c>
      <c r="C59" s="2022"/>
      <c r="D59" s="2022"/>
      <c r="E59" s="2022"/>
      <c r="F59" s="2022"/>
      <c r="G59" s="2022"/>
      <c r="H59" s="2022"/>
      <c r="I59" s="2023"/>
      <c r="J59" s="1915" t="s">
        <v>2400</v>
      </c>
      <c r="K59" s="1915"/>
      <c r="L59" s="1915"/>
      <c r="M59" s="1915"/>
      <c r="N59" s="1915"/>
      <c r="O59" s="1915"/>
      <c r="P59" s="1915"/>
      <c r="Q59" s="1915"/>
      <c r="R59" s="1915"/>
      <c r="S59" s="1915"/>
      <c r="T59" s="1915"/>
      <c r="U59" s="1915"/>
      <c r="V59" s="1915"/>
      <c r="W59" s="1915"/>
      <c r="X59" s="1915"/>
      <c r="Y59" s="1915"/>
      <c r="Z59" s="1915"/>
      <c r="AA59" s="1915"/>
      <c r="AB59" s="1915"/>
      <c r="AC59" s="1915"/>
      <c r="AD59" s="1915"/>
      <c r="AE59" s="1915"/>
      <c r="AF59" s="1915"/>
      <c r="AG59" s="1915"/>
      <c r="AH59" s="1915"/>
      <c r="AI59" s="1915"/>
      <c r="AJ59" s="1915"/>
      <c r="AK59" s="1915"/>
      <c r="AL59" s="1915"/>
      <c r="AM59" s="1915"/>
      <c r="AN59" s="1915"/>
      <c r="AO59" s="1915"/>
      <c r="AP59" s="1915"/>
      <c r="AQ59" s="1915"/>
      <c r="AR59" s="1915"/>
      <c r="AS59" s="1915"/>
      <c r="AT59" s="1915"/>
      <c r="AU59" s="1915"/>
      <c r="AV59" s="1915"/>
      <c r="AW59" s="1916"/>
      <c r="AX59" s="1190"/>
      <c r="AY59" s="1190"/>
      <c r="AZ59" s="1190"/>
      <c r="BA59" s="1190"/>
      <c r="BB59" s="1190"/>
      <c r="BC59" s="1190"/>
      <c r="BD59" s="1190"/>
      <c r="BE59" s="1194"/>
    </row>
    <row r="60" spans="1:77" ht="15.75" customHeight="1">
      <c r="A60" s="1190"/>
      <c r="B60" s="2024" t="str">
        <f>IF(B52="", "", B52)</f>
        <v>Services Company 1</v>
      </c>
      <c r="C60" s="2025"/>
      <c r="D60" s="2025"/>
      <c r="E60" s="2025"/>
      <c r="F60" s="2025"/>
      <c r="G60" s="2025"/>
      <c r="H60" s="2025"/>
      <c r="I60" s="2026"/>
      <c r="J60" s="2027"/>
      <c r="K60" s="2028"/>
      <c r="L60" s="2028"/>
      <c r="M60" s="2028"/>
      <c r="N60" s="2028"/>
      <c r="O60" s="2028"/>
      <c r="P60" s="2028"/>
      <c r="Q60" s="2028"/>
      <c r="R60" s="2028"/>
      <c r="S60" s="2028"/>
      <c r="T60" s="2028"/>
      <c r="U60" s="2028"/>
      <c r="V60" s="2028"/>
      <c r="W60" s="2028"/>
      <c r="X60" s="2028"/>
      <c r="Y60" s="2028"/>
      <c r="Z60" s="2028"/>
      <c r="AA60" s="2028"/>
      <c r="AB60" s="2028"/>
      <c r="AC60" s="2028"/>
      <c r="AD60" s="2028"/>
      <c r="AE60" s="2028"/>
      <c r="AF60" s="2028"/>
      <c r="AG60" s="2028"/>
      <c r="AH60" s="2028"/>
      <c r="AI60" s="2028"/>
      <c r="AJ60" s="2028"/>
      <c r="AK60" s="2028"/>
      <c r="AL60" s="2028"/>
      <c r="AM60" s="2028"/>
      <c r="AN60" s="2028"/>
      <c r="AO60" s="2028"/>
      <c r="AP60" s="2028"/>
      <c r="AQ60" s="2028"/>
      <c r="AR60" s="2028"/>
      <c r="AS60" s="2028"/>
      <c r="AT60" s="2028"/>
      <c r="AU60" s="2028"/>
      <c r="AV60" s="2028"/>
      <c r="AW60" s="2029"/>
      <c r="AX60" s="1190"/>
      <c r="AY60" s="1190"/>
      <c r="AZ60" s="1190"/>
      <c r="BA60" s="1190"/>
      <c r="BB60" s="1190"/>
      <c r="BC60" s="1190"/>
      <c r="BD60" s="1190"/>
      <c r="BE60" s="1194"/>
    </row>
    <row r="61" spans="1:77" ht="15.75" customHeight="1">
      <c r="A61" s="1190"/>
      <c r="B61" s="2024" t="str">
        <f>IF(B53="", "", B53)</f>
        <v>Services Company 2</v>
      </c>
      <c r="C61" s="2025"/>
      <c r="D61" s="2025"/>
      <c r="E61" s="2025"/>
      <c r="F61" s="2025"/>
      <c r="G61" s="2025"/>
      <c r="H61" s="2025"/>
      <c r="I61" s="2026"/>
      <c r="J61" s="2027"/>
      <c r="K61" s="2028"/>
      <c r="L61" s="2028"/>
      <c r="M61" s="2028"/>
      <c r="N61" s="2028"/>
      <c r="O61" s="2028"/>
      <c r="P61" s="2028"/>
      <c r="Q61" s="2028"/>
      <c r="R61" s="2028"/>
      <c r="S61" s="2028"/>
      <c r="T61" s="2028"/>
      <c r="U61" s="2028"/>
      <c r="V61" s="2028"/>
      <c r="W61" s="2028"/>
      <c r="X61" s="2028"/>
      <c r="Y61" s="2028"/>
      <c r="Z61" s="2028"/>
      <c r="AA61" s="2028"/>
      <c r="AB61" s="2028"/>
      <c r="AC61" s="2028"/>
      <c r="AD61" s="2028"/>
      <c r="AE61" s="2028"/>
      <c r="AF61" s="2028"/>
      <c r="AG61" s="2028"/>
      <c r="AH61" s="2028"/>
      <c r="AI61" s="2028"/>
      <c r="AJ61" s="2028"/>
      <c r="AK61" s="2028"/>
      <c r="AL61" s="2028"/>
      <c r="AM61" s="2028"/>
      <c r="AN61" s="2028"/>
      <c r="AO61" s="2028"/>
      <c r="AP61" s="2028"/>
      <c r="AQ61" s="2028"/>
      <c r="AR61" s="2028"/>
      <c r="AS61" s="2028"/>
      <c r="AT61" s="2028"/>
      <c r="AU61" s="2028"/>
      <c r="AV61" s="2028"/>
      <c r="AW61" s="2029"/>
      <c r="AX61" s="1190"/>
      <c r="AY61" s="1190"/>
      <c r="AZ61" s="1190"/>
      <c r="BA61" s="1190"/>
      <c r="BB61" s="1190"/>
      <c r="BC61" s="1190"/>
      <c r="BD61" s="1190"/>
      <c r="BE61" s="1194"/>
    </row>
    <row r="62" spans="1:77" ht="15.75" customHeight="1">
      <c r="A62" s="1190"/>
      <c r="B62" s="2024" t="str">
        <f>IF(B54="", "", B54)</f>
        <v/>
      </c>
      <c r="C62" s="2025"/>
      <c r="D62" s="2025"/>
      <c r="E62" s="2025"/>
      <c r="F62" s="2025"/>
      <c r="G62" s="2025"/>
      <c r="H62" s="2025"/>
      <c r="I62" s="2026"/>
      <c r="J62" s="2027"/>
      <c r="K62" s="2028"/>
      <c r="L62" s="2028"/>
      <c r="M62" s="2028"/>
      <c r="N62" s="2028"/>
      <c r="O62" s="2028"/>
      <c r="P62" s="2028"/>
      <c r="Q62" s="2028"/>
      <c r="R62" s="2028"/>
      <c r="S62" s="2028"/>
      <c r="T62" s="2028"/>
      <c r="U62" s="2028"/>
      <c r="V62" s="2028"/>
      <c r="W62" s="2028"/>
      <c r="X62" s="2028"/>
      <c r="Y62" s="2028"/>
      <c r="Z62" s="2028"/>
      <c r="AA62" s="2028"/>
      <c r="AB62" s="2028"/>
      <c r="AC62" s="2028"/>
      <c r="AD62" s="2028"/>
      <c r="AE62" s="2028"/>
      <c r="AF62" s="2028"/>
      <c r="AG62" s="2028"/>
      <c r="AH62" s="2028"/>
      <c r="AI62" s="2028"/>
      <c r="AJ62" s="2028"/>
      <c r="AK62" s="2028"/>
      <c r="AL62" s="2028"/>
      <c r="AM62" s="2028"/>
      <c r="AN62" s="2028"/>
      <c r="AO62" s="2028"/>
      <c r="AP62" s="2028"/>
      <c r="AQ62" s="2028"/>
      <c r="AR62" s="2028"/>
      <c r="AS62" s="2028"/>
      <c r="AT62" s="2028"/>
      <c r="AU62" s="2028"/>
      <c r="AV62" s="2028"/>
      <c r="AW62" s="2029"/>
      <c r="AX62" s="1190"/>
      <c r="AY62" s="1190"/>
      <c r="AZ62" s="1190"/>
      <c r="BA62" s="1190"/>
      <c r="BB62" s="1190"/>
      <c r="BC62" s="1190"/>
      <c r="BD62" s="1190"/>
      <c r="BE62" s="1194"/>
    </row>
    <row r="63" spans="1:77" ht="15.75" customHeight="1">
      <c r="A63" s="1190"/>
      <c r="B63" s="2024" t="str">
        <f>IF(B55="", "", B55)</f>
        <v/>
      </c>
      <c r="C63" s="2025"/>
      <c r="D63" s="2025"/>
      <c r="E63" s="2025"/>
      <c r="F63" s="2025"/>
      <c r="G63" s="2025"/>
      <c r="H63" s="2025"/>
      <c r="I63" s="2026"/>
      <c r="J63" s="2027"/>
      <c r="K63" s="2028"/>
      <c r="L63" s="2028"/>
      <c r="M63" s="2028"/>
      <c r="N63" s="2028"/>
      <c r="O63" s="2028"/>
      <c r="P63" s="2028"/>
      <c r="Q63" s="2028"/>
      <c r="R63" s="2028"/>
      <c r="S63" s="2028"/>
      <c r="T63" s="2028"/>
      <c r="U63" s="2028"/>
      <c r="V63" s="2028"/>
      <c r="W63" s="2028"/>
      <c r="X63" s="2028"/>
      <c r="Y63" s="2028"/>
      <c r="Z63" s="2028"/>
      <c r="AA63" s="2028"/>
      <c r="AB63" s="2028"/>
      <c r="AC63" s="2028"/>
      <c r="AD63" s="2028"/>
      <c r="AE63" s="2028"/>
      <c r="AF63" s="2028"/>
      <c r="AG63" s="2028"/>
      <c r="AH63" s="2028"/>
      <c r="AI63" s="2028"/>
      <c r="AJ63" s="2028"/>
      <c r="AK63" s="2028"/>
      <c r="AL63" s="2028"/>
      <c r="AM63" s="2028"/>
      <c r="AN63" s="2028"/>
      <c r="AO63" s="2028"/>
      <c r="AP63" s="2028"/>
      <c r="AQ63" s="2028"/>
      <c r="AR63" s="2028"/>
      <c r="AS63" s="2028"/>
      <c r="AT63" s="2028"/>
      <c r="AU63" s="2028"/>
      <c r="AV63" s="2028"/>
      <c r="AW63" s="2029"/>
      <c r="AX63" s="1190"/>
      <c r="AY63" s="1190"/>
      <c r="AZ63" s="1190"/>
      <c r="BA63" s="1190"/>
      <c r="BB63" s="1190"/>
      <c r="BC63" s="1190"/>
      <c r="BD63" s="1190"/>
      <c r="BE63" s="1194"/>
    </row>
    <row r="64" spans="1:77" ht="15.75" customHeight="1" thickBot="1">
      <c r="A64" s="1190"/>
      <c r="B64" s="2046" t="str">
        <f>IF(B56="", "", B56)</f>
        <v/>
      </c>
      <c r="C64" s="2047"/>
      <c r="D64" s="2047"/>
      <c r="E64" s="2047"/>
      <c r="F64" s="2047"/>
      <c r="G64" s="2047"/>
      <c r="H64" s="2047"/>
      <c r="I64" s="2048"/>
      <c r="J64" s="2049"/>
      <c r="K64" s="2050"/>
      <c r="L64" s="2050"/>
      <c r="M64" s="2050"/>
      <c r="N64" s="2050"/>
      <c r="O64" s="2050"/>
      <c r="P64" s="2050"/>
      <c r="Q64" s="2050"/>
      <c r="R64" s="2050"/>
      <c r="S64" s="2050"/>
      <c r="T64" s="2050"/>
      <c r="U64" s="2050"/>
      <c r="V64" s="2050"/>
      <c r="W64" s="2050"/>
      <c r="X64" s="2050"/>
      <c r="Y64" s="2050"/>
      <c r="Z64" s="2050"/>
      <c r="AA64" s="2050"/>
      <c r="AB64" s="2050"/>
      <c r="AC64" s="2050"/>
      <c r="AD64" s="2050"/>
      <c r="AE64" s="2050"/>
      <c r="AF64" s="2050"/>
      <c r="AG64" s="2050"/>
      <c r="AH64" s="2050"/>
      <c r="AI64" s="2050"/>
      <c r="AJ64" s="2050"/>
      <c r="AK64" s="2050"/>
      <c r="AL64" s="2050"/>
      <c r="AM64" s="2050"/>
      <c r="AN64" s="2050"/>
      <c r="AO64" s="2050"/>
      <c r="AP64" s="2050"/>
      <c r="AQ64" s="2050"/>
      <c r="AR64" s="2050"/>
      <c r="AS64" s="2050"/>
      <c r="AT64" s="2050"/>
      <c r="AU64" s="2050"/>
      <c r="AV64" s="2050"/>
      <c r="AW64" s="2051"/>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2399</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4" t="s">
        <v>2398</v>
      </c>
      <c r="C68" s="1915"/>
      <c r="D68" s="1915"/>
      <c r="E68" s="1915"/>
      <c r="F68" s="1915"/>
      <c r="G68" s="1915"/>
      <c r="H68" s="1915"/>
      <c r="I68" s="1915"/>
      <c r="J68" s="1915"/>
      <c r="K68" s="1915"/>
      <c r="L68" s="1915"/>
      <c r="M68" s="1915"/>
      <c r="N68" s="1915"/>
      <c r="O68" s="1915"/>
      <c r="P68" s="1915"/>
      <c r="Q68" s="1915"/>
      <c r="R68" s="1915"/>
      <c r="S68" s="1915"/>
      <c r="T68" s="1915"/>
      <c r="U68" s="1915"/>
      <c r="V68" s="1915"/>
      <c r="W68" s="1915"/>
      <c r="X68" s="1915"/>
      <c r="Y68" s="1915"/>
      <c r="Z68" s="1915"/>
      <c r="AA68" s="1916"/>
      <c r="AB68" s="1190"/>
      <c r="AC68" s="2058" t="s">
        <v>2397</v>
      </c>
      <c r="AD68" s="2059"/>
      <c r="AE68" s="2059"/>
      <c r="AF68" s="2059"/>
      <c r="AG68" s="2059"/>
      <c r="AH68" s="2059"/>
      <c r="AI68" s="2059"/>
      <c r="AJ68" s="2059"/>
      <c r="AK68" s="2059"/>
      <c r="AL68" s="2059"/>
      <c r="AM68" s="2059"/>
      <c r="AN68" s="2059"/>
      <c r="AO68" s="2059"/>
      <c r="AP68" s="2059"/>
      <c r="AQ68" s="2059"/>
      <c r="AR68" s="2059"/>
      <c r="AS68" s="2059"/>
      <c r="AT68" s="2059"/>
      <c r="AU68" s="2059"/>
      <c r="AV68" s="2036" t="s">
        <v>668</v>
      </c>
      <c r="AW68" s="2037"/>
      <c r="AX68" s="2037"/>
      <c r="AY68" s="2037"/>
      <c r="AZ68" s="2037"/>
      <c r="BA68" s="2037"/>
      <c r="BB68" s="2037"/>
      <c r="BC68" s="2038"/>
      <c r="BD68" s="1190"/>
      <c r="BE68" s="1194"/>
      <c r="BM68" s="1199" t="s">
        <v>2396</v>
      </c>
    </row>
    <row r="69" spans="1:94" ht="15.75" customHeight="1" thickTop="1" thickBot="1">
      <c r="A69" s="1190"/>
      <c r="B69" s="2039" t="s">
        <v>2395</v>
      </c>
      <c r="C69" s="2040"/>
      <c r="D69" s="2040"/>
      <c r="E69" s="2040"/>
      <c r="F69" s="2040"/>
      <c r="G69" s="2040"/>
      <c r="H69" s="2040"/>
      <c r="I69" s="2040"/>
      <c r="J69" s="2040"/>
      <c r="K69" s="2040"/>
      <c r="L69" s="2040"/>
      <c r="M69" s="2040"/>
      <c r="N69" s="2040"/>
      <c r="O69" s="2041" t="s">
        <v>2394</v>
      </c>
      <c r="P69" s="2042"/>
      <c r="Q69" s="2042"/>
      <c r="R69" s="2042"/>
      <c r="S69" s="2042"/>
      <c r="T69" s="2042"/>
      <c r="U69" s="2042"/>
      <c r="V69" s="2042"/>
      <c r="W69" s="2042"/>
      <c r="X69" s="2042"/>
      <c r="Y69" s="2042"/>
      <c r="Z69" s="2042"/>
      <c r="AA69" s="2043"/>
      <c r="AB69" s="1190"/>
      <c r="AC69" s="2044" t="s">
        <v>2393</v>
      </c>
      <c r="AD69" s="2045"/>
      <c r="AE69" s="2045"/>
      <c r="AF69" s="2045"/>
      <c r="AG69" s="2045"/>
      <c r="AH69" s="2045"/>
      <c r="AI69" s="2045"/>
      <c r="AJ69" s="2045"/>
      <c r="AK69" s="2045"/>
      <c r="AL69" s="2045"/>
      <c r="AM69" s="2045"/>
      <c r="AN69" s="2045"/>
      <c r="AO69" s="2045"/>
      <c r="AP69" s="2045"/>
      <c r="AQ69" s="2045"/>
      <c r="AR69" s="2045"/>
      <c r="AS69" s="2045"/>
      <c r="AT69" s="2045"/>
      <c r="AU69" s="2045"/>
      <c r="AV69" s="2036" t="s">
        <v>668</v>
      </c>
      <c r="AW69" s="2037"/>
      <c r="AX69" s="2037"/>
      <c r="AY69" s="2037"/>
      <c r="AZ69" s="2037"/>
      <c r="BA69" s="2037"/>
      <c r="BB69" s="2037"/>
      <c r="BC69" s="2038"/>
      <c r="BD69" s="1190"/>
      <c r="BE69" s="1194"/>
      <c r="BM69" s="1200" t="s">
        <v>544</v>
      </c>
    </row>
    <row r="70" spans="1:94" ht="15.75" customHeight="1">
      <c r="A70" s="1190"/>
      <c r="B70" s="1993" t="s">
        <v>2392</v>
      </c>
      <c r="C70" s="1994"/>
      <c r="D70" s="1994"/>
      <c r="E70" s="1994"/>
      <c r="F70" s="1994"/>
      <c r="G70" s="1994"/>
      <c r="H70" s="1994"/>
      <c r="I70" s="1994"/>
      <c r="J70" s="1994"/>
      <c r="K70" s="1994"/>
      <c r="L70" s="1994"/>
      <c r="M70" s="1994"/>
      <c r="N70" s="1994"/>
      <c r="O70" s="2052">
        <v>0</v>
      </c>
      <c r="P70" s="2052"/>
      <c r="Q70" s="2052"/>
      <c r="R70" s="2052"/>
      <c r="S70" s="2052"/>
      <c r="T70" s="2052"/>
      <c r="U70" s="2052"/>
      <c r="V70" s="2052"/>
      <c r="W70" s="2052"/>
      <c r="X70" s="2052"/>
      <c r="Y70" s="2052"/>
      <c r="Z70" s="2052"/>
      <c r="AA70" s="2053"/>
      <c r="AB70" s="1190"/>
      <c r="AC70" s="2009" t="s">
        <v>2391</v>
      </c>
      <c r="AD70" s="2010"/>
      <c r="AE70" s="2010"/>
      <c r="AF70" s="2054"/>
      <c r="AG70" s="2054"/>
      <c r="AH70" s="2054"/>
      <c r="AI70" s="2054"/>
      <c r="AJ70" s="2054"/>
      <c r="AK70" s="2054"/>
      <c r="AL70" s="2054"/>
      <c r="AM70" s="2054"/>
      <c r="AN70" s="2054"/>
      <c r="AO70" s="2054"/>
      <c r="AP70" s="2054"/>
      <c r="AQ70" s="2054"/>
      <c r="AR70" s="2054"/>
      <c r="AS70" s="2054"/>
      <c r="AT70" s="2054"/>
      <c r="AU70" s="2055"/>
      <c r="AV70" s="1190"/>
      <c r="AW70" s="1190"/>
      <c r="AX70" s="1190"/>
      <c r="AY70" s="1190"/>
      <c r="AZ70" s="1190"/>
      <c r="BA70" s="1190"/>
      <c r="BB70" s="1190"/>
      <c r="BC70" s="1190"/>
      <c r="BD70" s="1190"/>
      <c r="BE70" s="1194"/>
      <c r="BM70" s="1201" t="s">
        <v>668</v>
      </c>
    </row>
    <row r="71" spans="1:94" ht="15.75" customHeight="1" thickBot="1">
      <c r="A71" s="1190"/>
      <c r="B71" s="1993" t="s">
        <v>2390</v>
      </c>
      <c r="C71" s="1994"/>
      <c r="D71" s="1994"/>
      <c r="E71" s="1994"/>
      <c r="F71" s="1994"/>
      <c r="G71" s="1994"/>
      <c r="H71" s="1994"/>
      <c r="I71" s="1994"/>
      <c r="J71" s="1994"/>
      <c r="K71" s="1994"/>
      <c r="L71" s="1994"/>
      <c r="M71" s="1994"/>
      <c r="N71" s="1994"/>
      <c r="O71" s="2052">
        <v>0</v>
      </c>
      <c r="P71" s="2052"/>
      <c r="Q71" s="2052"/>
      <c r="R71" s="2052"/>
      <c r="S71" s="2052"/>
      <c r="T71" s="2052"/>
      <c r="U71" s="2052"/>
      <c r="V71" s="2052"/>
      <c r="W71" s="2052"/>
      <c r="X71" s="2052"/>
      <c r="Y71" s="2052"/>
      <c r="Z71" s="2052"/>
      <c r="AA71" s="2053"/>
      <c r="AB71" s="1190"/>
      <c r="AC71" s="2056" t="s">
        <v>2389</v>
      </c>
      <c r="AD71" s="2057"/>
      <c r="AE71" s="2057"/>
      <c r="AF71" s="2050"/>
      <c r="AG71" s="2050"/>
      <c r="AH71" s="2050"/>
      <c r="AI71" s="2050"/>
      <c r="AJ71" s="2050"/>
      <c r="AK71" s="2050"/>
      <c r="AL71" s="2050"/>
      <c r="AM71" s="2050"/>
      <c r="AN71" s="2050"/>
      <c r="AO71" s="2050"/>
      <c r="AP71" s="2050"/>
      <c r="AQ71" s="2050"/>
      <c r="AR71" s="2050"/>
      <c r="AS71" s="2050"/>
      <c r="AT71" s="2050"/>
      <c r="AU71" s="2051"/>
      <c r="AV71" s="1190"/>
      <c r="AW71" s="1190"/>
      <c r="AX71" s="1190"/>
      <c r="AY71" s="1190"/>
      <c r="AZ71" s="1190"/>
      <c r="BA71" s="1190"/>
      <c r="BB71" s="1190"/>
      <c r="BC71" s="1190"/>
      <c r="BD71" s="1190"/>
      <c r="BE71" s="1194"/>
      <c r="BM71" s="1187" t="s">
        <v>2388</v>
      </c>
    </row>
    <row r="72" spans="1:94" ht="15.75" customHeight="1">
      <c r="A72" s="1190"/>
      <c r="B72" s="1993" t="s">
        <v>2387</v>
      </c>
      <c r="C72" s="1994"/>
      <c r="D72" s="1994"/>
      <c r="E72" s="1994"/>
      <c r="F72" s="1994"/>
      <c r="G72" s="1994"/>
      <c r="H72" s="1994"/>
      <c r="I72" s="1994"/>
      <c r="J72" s="1994"/>
      <c r="K72" s="1994"/>
      <c r="L72" s="1994"/>
      <c r="M72" s="1994"/>
      <c r="N72" s="1994"/>
      <c r="O72" s="2052">
        <v>0</v>
      </c>
      <c r="P72" s="2052"/>
      <c r="Q72" s="2052"/>
      <c r="R72" s="2052"/>
      <c r="S72" s="2052"/>
      <c r="T72" s="2052"/>
      <c r="U72" s="2052"/>
      <c r="V72" s="2052"/>
      <c r="W72" s="2052"/>
      <c r="X72" s="2052"/>
      <c r="Y72" s="2052"/>
      <c r="Z72" s="2052"/>
      <c r="AA72" s="2053"/>
      <c r="AB72" s="1190"/>
      <c r="AC72" s="2076" t="s">
        <v>2386</v>
      </c>
      <c r="AD72" s="2077"/>
      <c r="AE72" s="2077"/>
      <c r="AF72" s="2077"/>
      <c r="AG72" s="2077"/>
      <c r="AH72" s="2077"/>
      <c r="AI72" s="2077"/>
      <c r="AJ72" s="2077"/>
      <c r="AK72" s="2077"/>
      <c r="AL72" s="2077"/>
      <c r="AM72" s="2077"/>
      <c r="AN72" s="2077"/>
      <c r="AO72" s="2077"/>
      <c r="AP72" s="2077"/>
      <c r="AQ72" s="2077"/>
      <c r="AR72" s="2077"/>
      <c r="AS72" s="2077"/>
      <c r="AT72" s="2077"/>
      <c r="AU72" s="2077"/>
      <c r="AV72" s="2010"/>
      <c r="AW72" s="2010"/>
      <c r="AX72" s="2010"/>
      <c r="AY72" s="2010"/>
      <c r="AZ72" s="2010"/>
      <c r="BA72" s="2010"/>
      <c r="BB72" s="2010"/>
      <c r="BC72" s="2011"/>
      <c r="BD72" s="1190"/>
      <c r="BE72" s="1194"/>
    </row>
    <row r="73" spans="1:94" ht="15.75" customHeight="1">
      <c r="A73" s="1190"/>
      <c r="B73" s="1997" t="s">
        <v>2385</v>
      </c>
      <c r="C73" s="1998"/>
      <c r="D73" s="1998"/>
      <c r="E73" s="1998"/>
      <c r="F73" s="1998"/>
      <c r="G73" s="1998"/>
      <c r="H73" s="1998"/>
      <c r="I73" s="1998"/>
      <c r="J73" s="1998"/>
      <c r="K73" s="1998"/>
      <c r="L73" s="1998"/>
      <c r="M73" s="1998"/>
      <c r="N73" s="1998"/>
      <c r="O73" s="2052">
        <v>0</v>
      </c>
      <c r="P73" s="2052"/>
      <c r="Q73" s="2052"/>
      <c r="R73" s="2052"/>
      <c r="S73" s="2052"/>
      <c r="T73" s="2052"/>
      <c r="U73" s="2052"/>
      <c r="V73" s="2052"/>
      <c r="W73" s="2052"/>
      <c r="X73" s="2052"/>
      <c r="Y73" s="2052"/>
      <c r="Z73" s="2052"/>
      <c r="AA73" s="2053"/>
      <c r="AB73" s="1190"/>
      <c r="AC73" s="2078" t="s">
        <v>2330</v>
      </c>
      <c r="AD73" s="2079"/>
      <c r="AE73" s="2079"/>
      <c r="AF73" s="2079"/>
      <c r="AG73" s="2079"/>
      <c r="AH73" s="2079"/>
      <c r="AI73" s="2079"/>
      <c r="AJ73" s="2079"/>
      <c r="AK73" s="2079"/>
      <c r="AL73" s="2079"/>
      <c r="AM73" s="2079"/>
      <c r="AN73" s="2079"/>
      <c r="AO73" s="2079"/>
      <c r="AP73" s="2079"/>
      <c r="AQ73" s="2079"/>
      <c r="AR73" s="2079"/>
      <c r="AS73" s="2079"/>
      <c r="AT73" s="2079"/>
      <c r="AU73" s="2079"/>
      <c r="AV73" s="2079"/>
      <c r="AW73" s="2079"/>
      <c r="AX73" s="2079"/>
      <c r="AY73" s="2079"/>
      <c r="AZ73" s="2079"/>
      <c r="BA73" s="2079"/>
      <c r="BB73" s="2079"/>
      <c r="BC73" s="2080"/>
      <c r="BD73" s="1190"/>
      <c r="BE73" s="1194"/>
      <c r="CK73" s="1188"/>
      <c r="CL73" s="1188"/>
      <c r="CM73" s="1188"/>
      <c r="CN73" s="1188"/>
      <c r="CO73" s="1188"/>
      <c r="CP73" s="1188"/>
    </row>
    <row r="74" spans="1:94" ht="15.75" customHeight="1">
      <c r="A74" s="1190"/>
      <c r="B74" s="2084"/>
      <c r="C74" s="2016"/>
      <c r="D74" s="2016"/>
      <c r="E74" s="2016"/>
      <c r="F74" s="2016"/>
      <c r="G74" s="2016"/>
      <c r="H74" s="2016"/>
      <c r="I74" s="2016"/>
      <c r="J74" s="2016"/>
      <c r="K74" s="2016"/>
      <c r="L74" s="2016"/>
      <c r="M74" s="2016"/>
      <c r="N74" s="2016"/>
      <c r="O74" s="2052"/>
      <c r="P74" s="2052"/>
      <c r="Q74" s="2052"/>
      <c r="R74" s="2052"/>
      <c r="S74" s="2052"/>
      <c r="T74" s="2052"/>
      <c r="U74" s="2052"/>
      <c r="V74" s="2052"/>
      <c r="W74" s="2052"/>
      <c r="X74" s="2052"/>
      <c r="Y74" s="2052"/>
      <c r="Z74" s="2052"/>
      <c r="AA74" s="2053"/>
      <c r="AB74" s="1190"/>
      <c r="AC74" s="2078"/>
      <c r="AD74" s="2079"/>
      <c r="AE74" s="2079"/>
      <c r="AF74" s="2079"/>
      <c r="AG74" s="2079"/>
      <c r="AH74" s="2079"/>
      <c r="AI74" s="2079"/>
      <c r="AJ74" s="2079"/>
      <c r="AK74" s="2079"/>
      <c r="AL74" s="2079"/>
      <c r="AM74" s="2079"/>
      <c r="AN74" s="2079"/>
      <c r="AO74" s="2079"/>
      <c r="AP74" s="2079"/>
      <c r="AQ74" s="2079"/>
      <c r="AR74" s="2079"/>
      <c r="AS74" s="2079"/>
      <c r="AT74" s="2079"/>
      <c r="AU74" s="2079"/>
      <c r="AV74" s="2079"/>
      <c r="AW74" s="2079"/>
      <c r="AX74" s="2079"/>
      <c r="AY74" s="2079"/>
      <c r="AZ74" s="2079"/>
      <c r="BA74" s="2079"/>
      <c r="BB74" s="2079"/>
      <c r="BC74" s="2080"/>
      <c r="BD74" s="1190"/>
      <c r="BE74" s="1194"/>
      <c r="CK74" s="1188"/>
      <c r="CL74" s="1188"/>
      <c r="CM74" s="1188"/>
      <c r="CN74" s="1188"/>
      <c r="CO74" s="1188"/>
      <c r="CP74" s="1188"/>
    </row>
    <row r="75" spans="1:94" ht="15.75" customHeight="1" thickBot="1">
      <c r="A75" s="1190"/>
      <c r="B75" s="2085" t="s">
        <v>124</v>
      </c>
      <c r="C75" s="2086"/>
      <c r="D75" s="2086"/>
      <c r="E75" s="2086"/>
      <c r="F75" s="2086"/>
      <c r="G75" s="2086"/>
      <c r="H75" s="2086"/>
      <c r="I75" s="2086"/>
      <c r="J75" s="2086"/>
      <c r="K75" s="2086"/>
      <c r="L75" s="2086"/>
      <c r="M75" s="2086"/>
      <c r="N75" s="2086"/>
      <c r="O75" s="2087">
        <f>SUM(O70:AA74)</f>
        <v>0</v>
      </c>
      <c r="P75" s="2087"/>
      <c r="Q75" s="2087"/>
      <c r="R75" s="2087"/>
      <c r="S75" s="2087"/>
      <c r="T75" s="2087"/>
      <c r="U75" s="2087"/>
      <c r="V75" s="2087"/>
      <c r="W75" s="2087"/>
      <c r="X75" s="2087"/>
      <c r="Y75" s="2087"/>
      <c r="Z75" s="2087"/>
      <c r="AA75" s="2088"/>
      <c r="AB75" s="1190"/>
      <c r="AC75" s="2078"/>
      <c r="AD75" s="2079"/>
      <c r="AE75" s="2079"/>
      <c r="AF75" s="2079"/>
      <c r="AG75" s="2079"/>
      <c r="AH75" s="2079"/>
      <c r="AI75" s="2079"/>
      <c r="AJ75" s="2079"/>
      <c r="AK75" s="2079"/>
      <c r="AL75" s="2079"/>
      <c r="AM75" s="2079"/>
      <c r="AN75" s="2079"/>
      <c r="AO75" s="2079"/>
      <c r="AP75" s="2079"/>
      <c r="AQ75" s="2079"/>
      <c r="AR75" s="2079"/>
      <c r="AS75" s="2079"/>
      <c r="AT75" s="2079"/>
      <c r="AU75" s="2079"/>
      <c r="AV75" s="2079"/>
      <c r="AW75" s="2079"/>
      <c r="AX75" s="2079"/>
      <c r="AY75" s="2079"/>
      <c r="AZ75" s="2079"/>
      <c r="BA75" s="2079"/>
      <c r="BB75" s="2079"/>
      <c r="BC75" s="2080"/>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8"/>
      <c r="AD76" s="2079"/>
      <c r="AE76" s="2079"/>
      <c r="AF76" s="2079"/>
      <c r="AG76" s="2079"/>
      <c r="AH76" s="2079"/>
      <c r="AI76" s="2079"/>
      <c r="AJ76" s="2079"/>
      <c r="AK76" s="2079"/>
      <c r="AL76" s="2079"/>
      <c r="AM76" s="2079"/>
      <c r="AN76" s="2079"/>
      <c r="AO76" s="2079"/>
      <c r="AP76" s="2079"/>
      <c r="AQ76" s="2079"/>
      <c r="AR76" s="2079"/>
      <c r="AS76" s="2079"/>
      <c r="AT76" s="2079"/>
      <c r="AU76" s="2079"/>
      <c r="AV76" s="2079"/>
      <c r="AW76" s="2079"/>
      <c r="AX76" s="2079"/>
      <c r="AY76" s="2079"/>
      <c r="AZ76" s="2079"/>
      <c r="BA76" s="2079"/>
      <c r="BB76" s="2079"/>
      <c r="BC76" s="2080"/>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81"/>
      <c r="AD77" s="2082"/>
      <c r="AE77" s="2082"/>
      <c r="AF77" s="2082"/>
      <c r="AG77" s="2082"/>
      <c r="AH77" s="2082"/>
      <c r="AI77" s="2082"/>
      <c r="AJ77" s="2082"/>
      <c r="AK77" s="2082"/>
      <c r="AL77" s="2082"/>
      <c r="AM77" s="2082"/>
      <c r="AN77" s="2082"/>
      <c r="AO77" s="2082"/>
      <c r="AP77" s="2082"/>
      <c r="AQ77" s="2082"/>
      <c r="AR77" s="2082"/>
      <c r="AS77" s="2082"/>
      <c r="AT77" s="2082"/>
      <c r="AU77" s="2082"/>
      <c r="AV77" s="2082"/>
      <c r="AW77" s="2082"/>
      <c r="AX77" s="2082"/>
      <c r="AY77" s="2082"/>
      <c r="AZ77" s="2082"/>
      <c r="BA77" s="2082"/>
      <c r="BB77" s="2082"/>
      <c r="BC77" s="2083"/>
      <c r="BD77" s="1190"/>
      <c r="BE77" s="1194"/>
      <c r="CK77" s="1188"/>
      <c r="CL77" s="1188"/>
      <c r="CM77" s="1188"/>
      <c r="CN77" s="1188"/>
      <c r="CO77" s="1188"/>
      <c r="CP77" s="1188"/>
    </row>
    <row r="78" spans="1:94" ht="15.75" customHeight="1" thickBot="1">
      <c r="A78" s="1190"/>
      <c r="B78" s="1202" t="s">
        <v>2384</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2283</v>
      </c>
      <c r="C79" s="1206"/>
      <c r="D79" s="1206"/>
      <c r="E79" s="1207"/>
      <c r="F79" s="2060"/>
      <c r="G79" s="2061"/>
      <c r="H79" s="2061"/>
      <c r="I79" s="2061"/>
      <c r="J79" s="2061"/>
      <c r="K79" s="2061"/>
      <c r="L79" s="2061"/>
      <c r="M79" s="2061"/>
      <c r="N79" s="2061"/>
      <c r="O79" s="2061"/>
      <c r="P79" s="2061"/>
      <c r="Q79" s="2061"/>
      <c r="R79" s="2061"/>
      <c r="S79" s="2061"/>
      <c r="T79" s="2062"/>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63" t="s">
        <v>2383</v>
      </c>
      <c r="C80" s="2064"/>
      <c r="D80" s="2064"/>
      <c r="E80" s="2064"/>
      <c r="F80" s="2064"/>
      <c r="G80" s="2064"/>
      <c r="H80" s="2064"/>
      <c r="I80" s="2064"/>
      <c r="J80" s="2064"/>
      <c r="K80" s="2064"/>
      <c r="L80" s="2064"/>
      <c r="M80" s="2064"/>
      <c r="N80" s="2064"/>
      <c r="O80" s="2064"/>
      <c r="P80" s="2064"/>
      <c r="Q80" s="2064"/>
      <c r="R80" s="2065" t="str">
        <f>IFERROR(INDEX(BR96:BR98,MATCH(F79,$BQ$96:$BQ$98,0))/SUM($BR$96:$BR$98),"")</f>
        <v/>
      </c>
      <c r="S80" s="2066"/>
      <c r="T80" s="2067"/>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8" t="s">
        <v>2382</v>
      </c>
      <c r="C81" s="2069"/>
      <c r="D81" s="2069"/>
      <c r="E81" s="2069"/>
      <c r="F81" s="2069"/>
      <c r="G81" s="2069"/>
      <c r="H81" s="2069"/>
      <c r="I81" s="2069"/>
      <c r="J81" s="2069"/>
      <c r="K81" s="2069"/>
      <c r="L81" s="2069"/>
      <c r="M81" s="2069"/>
      <c r="N81" s="2069"/>
      <c r="O81" s="2069"/>
      <c r="P81" s="2069"/>
      <c r="Q81" s="2069"/>
      <c r="R81" s="2070" t="s">
        <v>2188</v>
      </c>
      <c r="S81" s="2071"/>
      <c r="T81" s="2072"/>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73" t="s">
        <v>2381</v>
      </c>
      <c r="C83" s="2074"/>
      <c r="D83" s="2074"/>
      <c r="E83" s="2074"/>
      <c r="F83" s="2074"/>
      <c r="G83" s="2074"/>
      <c r="H83" s="2074"/>
      <c r="I83" s="2074"/>
      <c r="J83" s="2074"/>
      <c r="K83" s="2074"/>
      <c r="L83" s="2074"/>
      <c r="M83" s="2074"/>
      <c r="N83" s="2074"/>
      <c r="O83" s="2074"/>
      <c r="P83" s="2074"/>
      <c r="Q83" s="2074"/>
      <c r="R83" s="2074"/>
      <c r="S83" s="2074"/>
      <c r="T83" s="2074"/>
      <c r="U83" s="2074"/>
      <c r="V83" s="2074"/>
      <c r="W83" s="2074"/>
      <c r="X83" s="2074"/>
      <c r="Y83" s="2074"/>
      <c r="Z83" s="2074"/>
      <c r="AA83" s="2074"/>
      <c r="AB83" s="2074"/>
      <c r="AC83" s="2074"/>
      <c r="AD83" s="2074"/>
      <c r="AE83" s="2074"/>
      <c r="AF83" s="2074"/>
      <c r="AG83" s="2074"/>
      <c r="AH83" s="2075"/>
      <c r="AI83" s="1190"/>
      <c r="AJ83" s="2091" t="s">
        <v>2380</v>
      </c>
      <c r="AK83" s="2092"/>
      <c r="AL83" s="2092"/>
      <c r="AM83" s="2092"/>
      <c r="AN83" s="2092"/>
      <c r="AO83" s="2092"/>
      <c r="AP83" s="2092"/>
      <c r="AQ83" s="2092"/>
      <c r="AR83" s="2092"/>
      <c r="AS83" s="2092"/>
      <c r="AT83" s="2092"/>
      <c r="AU83" s="2092"/>
      <c r="AV83" s="2092"/>
      <c r="AW83" s="2092"/>
      <c r="AX83" s="2092"/>
      <c r="AY83" s="2095" t="s">
        <v>544</v>
      </c>
      <c r="AZ83" s="2095"/>
      <c r="BA83" s="2095"/>
      <c r="BB83" s="2096"/>
      <c r="BC83" s="1190"/>
      <c r="BD83" s="1190"/>
      <c r="BE83" s="1194"/>
      <c r="CK83" s="1188"/>
      <c r="CL83" s="1188"/>
      <c r="CM83" s="1188"/>
      <c r="CN83" s="1188"/>
      <c r="CO83" s="1188"/>
      <c r="CP83" s="1188"/>
    </row>
    <row r="84" spans="1:94" ht="15.75" customHeight="1">
      <c r="A84" s="1190"/>
      <c r="B84" s="2012"/>
      <c r="C84" s="2013"/>
      <c r="D84" s="2013"/>
      <c r="E84" s="2013"/>
      <c r="F84" s="2013"/>
      <c r="G84" s="2013"/>
      <c r="H84" s="2013"/>
      <c r="I84" s="2013" t="s">
        <v>2370</v>
      </c>
      <c r="J84" s="2013"/>
      <c r="K84" s="2013"/>
      <c r="L84" s="2013"/>
      <c r="M84" s="2013"/>
      <c r="N84" s="2013"/>
      <c r="O84" s="2013" t="s">
        <v>2346</v>
      </c>
      <c r="P84" s="2013"/>
      <c r="Q84" s="2013"/>
      <c r="R84" s="2013"/>
      <c r="S84" s="2013"/>
      <c r="T84" s="2013"/>
      <c r="U84" s="2013"/>
      <c r="V84" s="2099" t="s">
        <v>2345</v>
      </c>
      <c r="W84" s="2099"/>
      <c r="X84" s="2099"/>
      <c r="Y84" s="2099"/>
      <c r="Z84" s="2099"/>
      <c r="AA84" s="2099"/>
      <c r="AB84" s="2100" t="s">
        <v>2369</v>
      </c>
      <c r="AC84" s="2100"/>
      <c r="AD84" s="2100"/>
      <c r="AE84" s="2100"/>
      <c r="AF84" s="2100"/>
      <c r="AG84" s="2100"/>
      <c r="AH84" s="2101"/>
      <c r="AI84" s="1190"/>
      <c r="AJ84" s="2093"/>
      <c r="AK84" s="2094"/>
      <c r="AL84" s="2094"/>
      <c r="AM84" s="2094"/>
      <c r="AN84" s="2094"/>
      <c r="AO84" s="2094"/>
      <c r="AP84" s="2094"/>
      <c r="AQ84" s="2094"/>
      <c r="AR84" s="2094"/>
      <c r="AS84" s="2094"/>
      <c r="AT84" s="2094"/>
      <c r="AU84" s="2094"/>
      <c r="AV84" s="2094"/>
      <c r="AW84" s="2094"/>
      <c r="AX84" s="2094"/>
      <c r="AY84" s="2097"/>
      <c r="AZ84" s="2097"/>
      <c r="BA84" s="2097"/>
      <c r="BB84" s="2098"/>
      <c r="BC84" s="1190"/>
      <c r="BD84" s="1190"/>
      <c r="BE84" s="1194"/>
      <c r="CK84" s="1188"/>
      <c r="CL84" s="1188"/>
      <c r="CM84" s="1188"/>
      <c r="CN84" s="1188"/>
      <c r="CO84" s="1188"/>
      <c r="CP84" s="1188"/>
    </row>
    <row r="85" spans="1:94" ht="15.75" customHeight="1">
      <c r="A85" s="1190"/>
      <c r="B85" s="2012"/>
      <c r="C85" s="2013"/>
      <c r="D85" s="2013"/>
      <c r="E85" s="2013"/>
      <c r="F85" s="2013"/>
      <c r="G85" s="2013"/>
      <c r="H85" s="2013"/>
      <c r="I85" s="2013"/>
      <c r="J85" s="2013"/>
      <c r="K85" s="2013"/>
      <c r="L85" s="2013"/>
      <c r="M85" s="2013"/>
      <c r="N85" s="2013"/>
      <c r="O85" s="2013"/>
      <c r="P85" s="2013"/>
      <c r="Q85" s="2013"/>
      <c r="R85" s="2013"/>
      <c r="S85" s="2013"/>
      <c r="T85" s="2013"/>
      <c r="U85" s="2013"/>
      <c r="V85" s="2099"/>
      <c r="W85" s="2099"/>
      <c r="X85" s="2099"/>
      <c r="Y85" s="2099"/>
      <c r="Z85" s="2099"/>
      <c r="AA85" s="2099"/>
      <c r="AB85" s="2100"/>
      <c r="AC85" s="2100"/>
      <c r="AD85" s="2100"/>
      <c r="AE85" s="2100"/>
      <c r="AF85" s="2100"/>
      <c r="AG85" s="2100"/>
      <c r="AH85" s="2101"/>
      <c r="AI85" s="1190"/>
      <c r="AJ85" s="2093"/>
      <c r="AK85" s="2094"/>
      <c r="AL85" s="2094"/>
      <c r="AM85" s="2094"/>
      <c r="AN85" s="2094"/>
      <c r="AO85" s="2094"/>
      <c r="AP85" s="2094"/>
      <c r="AQ85" s="2094"/>
      <c r="AR85" s="2094"/>
      <c r="AS85" s="2094"/>
      <c r="AT85" s="2094"/>
      <c r="AU85" s="2094"/>
      <c r="AV85" s="2094"/>
      <c r="AW85" s="2094"/>
      <c r="AX85" s="2094"/>
      <c r="AY85" s="2097"/>
      <c r="AZ85" s="2097"/>
      <c r="BA85" s="2097"/>
      <c r="BB85" s="2098"/>
      <c r="BC85" s="1190"/>
      <c r="BD85" s="1190"/>
      <c r="BE85" s="1194"/>
      <c r="CK85" s="1188"/>
      <c r="CL85" s="1188"/>
      <c r="CM85" s="1188"/>
      <c r="CN85" s="1188"/>
      <c r="CO85" s="1188"/>
      <c r="CP85" s="1188"/>
    </row>
    <row r="86" spans="1:94" ht="15.75" customHeight="1">
      <c r="A86" s="1190"/>
      <c r="B86" s="2012" t="s">
        <v>2368</v>
      </c>
      <c r="C86" s="2013"/>
      <c r="D86" s="2013"/>
      <c r="E86" s="2013"/>
      <c r="F86" s="2013"/>
      <c r="G86" s="2013"/>
      <c r="H86" s="2013"/>
      <c r="I86" s="2089">
        <v>0</v>
      </c>
      <c r="J86" s="2089"/>
      <c r="K86" s="2089"/>
      <c r="L86" s="2089"/>
      <c r="M86" s="2089"/>
      <c r="N86" s="2089"/>
      <c r="O86" s="2089">
        <v>0</v>
      </c>
      <c r="P86" s="2089"/>
      <c r="Q86" s="2089"/>
      <c r="R86" s="2089"/>
      <c r="S86" s="2089"/>
      <c r="T86" s="2089"/>
      <c r="U86" s="2089"/>
      <c r="V86" s="2089">
        <v>0</v>
      </c>
      <c r="W86" s="2089"/>
      <c r="X86" s="2089"/>
      <c r="Y86" s="2089"/>
      <c r="Z86" s="2089"/>
      <c r="AA86" s="2089"/>
      <c r="AB86" s="2089">
        <v>0</v>
      </c>
      <c r="AC86" s="2089"/>
      <c r="AD86" s="2089"/>
      <c r="AE86" s="2089"/>
      <c r="AF86" s="2089"/>
      <c r="AG86" s="2089"/>
      <c r="AH86" s="2090"/>
      <c r="AI86" s="1190"/>
      <c r="AJ86" s="2093"/>
      <c r="AK86" s="2094"/>
      <c r="AL86" s="2094"/>
      <c r="AM86" s="2094"/>
      <c r="AN86" s="2094"/>
      <c r="AO86" s="2094"/>
      <c r="AP86" s="2094"/>
      <c r="AQ86" s="2094"/>
      <c r="AR86" s="2094"/>
      <c r="AS86" s="2094"/>
      <c r="AT86" s="2094"/>
      <c r="AU86" s="2094"/>
      <c r="AV86" s="2094"/>
      <c r="AW86" s="2094"/>
      <c r="AX86" s="2094"/>
      <c r="AY86" s="2097"/>
      <c r="AZ86" s="2097"/>
      <c r="BA86" s="2097"/>
      <c r="BB86" s="2098"/>
      <c r="BC86" s="1190"/>
      <c r="BD86" s="1190"/>
      <c r="BE86" s="1194"/>
      <c r="CK86" s="1188"/>
      <c r="CL86" s="1188"/>
      <c r="CM86" s="1188"/>
      <c r="CN86" s="1188"/>
      <c r="CO86" s="1188"/>
      <c r="CP86" s="1188"/>
    </row>
    <row r="87" spans="1:94" ht="15.75" customHeight="1">
      <c r="A87" s="1190"/>
      <c r="B87" s="2012" t="s">
        <v>2367</v>
      </c>
      <c r="C87" s="2013"/>
      <c r="D87" s="2013"/>
      <c r="E87" s="2013"/>
      <c r="F87" s="2013"/>
      <c r="G87" s="2013"/>
      <c r="H87" s="2013"/>
      <c r="I87" s="2089">
        <v>0</v>
      </c>
      <c r="J87" s="2089"/>
      <c r="K87" s="2089"/>
      <c r="L87" s="2089"/>
      <c r="M87" s="2089"/>
      <c r="N87" s="2089"/>
      <c r="O87" s="2089">
        <v>0</v>
      </c>
      <c r="P87" s="2089"/>
      <c r="Q87" s="2089"/>
      <c r="R87" s="2089"/>
      <c r="S87" s="2089"/>
      <c r="T87" s="2089"/>
      <c r="U87" s="2089"/>
      <c r="V87" s="2089">
        <v>0</v>
      </c>
      <c r="W87" s="2089"/>
      <c r="X87" s="2089"/>
      <c r="Y87" s="2089"/>
      <c r="Z87" s="2089"/>
      <c r="AA87" s="2089"/>
      <c r="AB87" s="2089">
        <v>0</v>
      </c>
      <c r="AC87" s="2089"/>
      <c r="AD87" s="2089"/>
      <c r="AE87" s="2089"/>
      <c r="AF87" s="2089"/>
      <c r="AG87" s="2089"/>
      <c r="AH87" s="2090"/>
      <c r="AI87" s="1190"/>
      <c r="AJ87" s="2078" t="s">
        <v>2374</v>
      </c>
      <c r="AK87" s="2079"/>
      <c r="AL87" s="2079"/>
      <c r="AM87" s="2079"/>
      <c r="AN87" s="2079"/>
      <c r="AO87" s="2079"/>
      <c r="AP87" s="2079"/>
      <c r="AQ87" s="2079"/>
      <c r="AR87" s="2079"/>
      <c r="AS87" s="2079"/>
      <c r="AT87" s="2079"/>
      <c r="AU87" s="2079"/>
      <c r="AV87" s="2079"/>
      <c r="AW87" s="2079"/>
      <c r="AX87" s="2079"/>
      <c r="AY87" s="2079"/>
      <c r="AZ87" s="2079"/>
      <c r="BA87" s="2079"/>
      <c r="BB87" s="2080"/>
      <c r="BC87" s="1190"/>
      <c r="BD87" s="1190"/>
      <c r="BE87" s="1194"/>
      <c r="CK87" s="1188"/>
      <c r="CL87" s="1188"/>
      <c r="CM87" s="1188"/>
      <c r="CN87" s="1188"/>
      <c r="CO87" s="1188"/>
      <c r="CP87" s="1188"/>
    </row>
    <row r="88" spans="1:94" ht="15.75" customHeight="1" thickBot="1">
      <c r="A88" s="1190"/>
      <c r="B88" s="2030" t="s">
        <v>2366</v>
      </c>
      <c r="C88" s="2031"/>
      <c r="D88" s="2031"/>
      <c r="E88" s="2031"/>
      <c r="F88" s="2031"/>
      <c r="G88" s="2031"/>
      <c r="H88" s="2031"/>
      <c r="I88" s="2104">
        <v>0</v>
      </c>
      <c r="J88" s="2104"/>
      <c r="K88" s="2104"/>
      <c r="L88" s="2104"/>
      <c r="M88" s="2104"/>
      <c r="N88" s="2104"/>
      <c r="O88" s="2104">
        <v>0</v>
      </c>
      <c r="P88" s="2104"/>
      <c r="Q88" s="2104"/>
      <c r="R88" s="2104"/>
      <c r="S88" s="2104"/>
      <c r="T88" s="2104"/>
      <c r="U88" s="2104"/>
      <c r="V88" s="2104">
        <v>0</v>
      </c>
      <c r="W88" s="2104"/>
      <c r="X88" s="2104"/>
      <c r="Y88" s="2104"/>
      <c r="Z88" s="2104"/>
      <c r="AA88" s="2104"/>
      <c r="AB88" s="2104">
        <v>0</v>
      </c>
      <c r="AC88" s="2104"/>
      <c r="AD88" s="2104"/>
      <c r="AE88" s="2104"/>
      <c r="AF88" s="2104"/>
      <c r="AG88" s="2104"/>
      <c r="AH88" s="2105"/>
      <c r="AI88" s="1190"/>
      <c r="AJ88" s="2081"/>
      <c r="AK88" s="2082"/>
      <c r="AL88" s="2082"/>
      <c r="AM88" s="2082"/>
      <c r="AN88" s="2082"/>
      <c r="AO88" s="2082"/>
      <c r="AP88" s="2082"/>
      <c r="AQ88" s="2082"/>
      <c r="AR88" s="2082"/>
      <c r="AS88" s="2082"/>
      <c r="AT88" s="2082"/>
      <c r="AU88" s="2082"/>
      <c r="AV88" s="2082"/>
      <c r="AW88" s="2082"/>
      <c r="AX88" s="2082"/>
      <c r="AY88" s="2082"/>
      <c r="AZ88" s="2082"/>
      <c r="BA88" s="2082"/>
      <c r="BB88" s="2083"/>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2379</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2283</v>
      </c>
      <c r="C92" s="1212"/>
      <c r="D92" s="1213"/>
      <c r="E92" s="1214"/>
      <c r="F92" s="2060"/>
      <c r="G92" s="2061"/>
      <c r="H92" s="2061"/>
      <c r="I92" s="2061"/>
      <c r="J92" s="2061"/>
      <c r="K92" s="2061"/>
      <c r="L92" s="2061"/>
      <c r="M92" s="2061"/>
      <c r="N92" s="2061"/>
      <c r="O92" s="2061"/>
      <c r="P92" s="2061"/>
      <c r="Q92" s="2061"/>
      <c r="R92" s="2061"/>
      <c r="S92" s="2061"/>
      <c r="T92" s="2062"/>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63" t="s">
        <v>2378</v>
      </c>
      <c r="C93" s="2064"/>
      <c r="D93" s="2064"/>
      <c r="E93" s="2064"/>
      <c r="F93" s="2064"/>
      <c r="G93" s="2064"/>
      <c r="H93" s="2064"/>
      <c r="I93" s="2064"/>
      <c r="J93" s="2064"/>
      <c r="K93" s="2064"/>
      <c r="L93" s="2064"/>
      <c r="M93" s="2064"/>
      <c r="N93" s="2064"/>
      <c r="O93" s="2064"/>
      <c r="P93" s="2064"/>
      <c r="Q93" s="2102"/>
      <c r="R93" s="2065" t="str">
        <f>IFERROR(INDEX(BR96:BR98,MATCH(F92,$BQ$96:$BQ$98,0))/SUM($BR$96:$BR$98),"")</f>
        <v/>
      </c>
      <c r="S93" s="2066"/>
      <c r="T93" s="2067"/>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8" t="s">
        <v>2377</v>
      </c>
      <c r="C94" s="2069"/>
      <c r="D94" s="2069"/>
      <c r="E94" s="2069"/>
      <c r="F94" s="2069"/>
      <c r="G94" s="2069"/>
      <c r="H94" s="2069"/>
      <c r="I94" s="2069"/>
      <c r="J94" s="2069"/>
      <c r="K94" s="2069"/>
      <c r="L94" s="2069"/>
      <c r="M94" s="2069"/>
      <c r="N94" s="2069"/>
      <c r="O94" s="2069"/>
      <c r="P94" s="2069"/>
      <c r="Q94" s="2103"/>
      <c r="R94" s="2070" t="s">
        <v>2188</v>
      </c>
      <c r="S94" s="2071"/>
      <c r="T94" s="2072"/>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73" t="s">
        <v>2376</v>
      </c>
      <c r="C96" s="2074"/>
      <c r="D96" s="2074"/>
      <c r="E96" s="2074"/>
      <c r="F96" s="2074"/>
      <c r="G96" s="2074"/>
      <c r="H96" s="2074"/>
      <c r="I96" s="2074"/>
      <c r="J96" s="2074"/>
      <c r="K96" s="2074"/>
      <c r="L96" s="2074"/>
      <c r="M96" s="2074"/>
      <c r="N96" s="2074"/>
      <c r="O96" s="2074"/>
      <c r="P96" s="2074"/>
      <c r="Q96" s="2074"/>
      <c r="R96" s="2074"/>
      <c r="S96" s="2074"/>
      <c r="T96" s="2074"/>
      <c r="U96" s="2074"/>
      <c r="V96" s="2074"/>
      <c r="W96" s="2074"/>
      <c r="X96" s="2074"/>
      <c r="Y96" s="2074"/>
      <c r="Z96" s="2074"/>
      <c r="AA96" s="2074"/>
      <c r="AB96" s="2074"/>
      <c r="AC96" s="2074"/>
      <c r="AD96" s="2074"/>
      <c r="AE96" s="2074"/>
      <c r="AF96" s="2074"/>
      <c r="AG96" s="2074"/>
      <c r="AH96" s="2075"/>
      <c r="AI96" s="1190"/>
      <c r="AJ96" s="2091" t="s">
        <v>2375</v>
      </c>
      <c r="AK96" s="2092"/>
      <c r="AL96" s="2092"/>
      <c r="AM96" s="2092"/>
      <c r="AN96" s="2092"/>
      <c r="AO96" s="2092"/>
      <c r="AP96" s="2092"/>
      <c r="AQ96" s="2092"/>
      <c r="AR96" s="2092"/>
      <c r="AS96" s="2092"/>
      <c r="AT96" s="2092"/>
      <c r="AU96" s="2092"/>
      <c r="AV96" s="2092"/>
      <c r="AW96" s="2092"/>
      <c r="AX96" s="2092"/>
      <c r="AY96" s="2095" t="s">
        <v>544</v>
      </c>
      <c r="AZ96" s="2095"/>
      <c r="BA96" s="2095"/>
      <c r="BB96" s="2096"/>
      <c r="BC96" s="1190"/>
      <c r="BD96" s="1190"/>
      <c r="BE96" s="1194"/>
      <c r="BQ96" s="1256" t="str">
        <f>Application!M243&amp;IF(TRIM(Application!AA249)&lt;&gt;""," ("&amp;Application!AA249&amp;")","")</f>
        <v xml:space="preserve">LIHTC Advisors, LLC </v>
      </c>
      <c r="BR96" s="1259">
        <f>Application!AH246</f>
        <v>8.9999999999999993E-3</v>
      </c>
      <c r="CM96" s="1188"/>
      <c r="CN96" s="1188"/>
      <c r="CO96" s="1188"/>
      <c r="CP96" s="1188"/>
    </row>
    <row r="97" spans="1:94" ht="15.75" customHeight="1">
      <c r="A97" s="1190"/>
      <c r="B97" s="2012"/>
      <c r="C97" s="2013"/>
      <c r="D97" s="2013"/>
      <c r="E97" s="2013"/>
      <c r="F97" s="2013"/>
      <c r="G97" s="2013"/>
      <c r="H97" s="2013"/>
      <c r="I97" s="2013" t="s">
        <v>2370</v>
      </c>
      <c r="J97" s="2013"/>
      <c r="K97" s="2013"/>
      <c r="L97" s="2013"/>
      <c r="M97" s="2013"/>
      <c r="N97" s="2013"/>
      <c r="O97" s="2013" t="s">
        <v>2346</v>
      </c>
      <c r="P97" s="2013"/>
      <c r="Q97" s="2013"/>
      <c r="R97" s="2013"/>
      <c r="S97" s="2013"/>
      <c r="T97" s="2013"/>
      <c r="U97" s="2013"/>
      <c r="V97" s="2099" t="s">
        <v>2345</v>
      </c>
      <c r="W97" s="2099"/>
      <c r="X97" s="2099"/>
      <c r="Y97" s="2099"/>
      <c r="Z97" s="2099"/>
      <c r="AA97" s="2099"/>
      <c r="AB97" s="2100" t="s">
        <v>2369</v>
      </c>
      <c r="AC97" s="2100"/>
      <c r="AD97" s="2100"/>
      <c r="AE97" s="2100"/>
      <c r="AF97" s="2100"/>
      <c r="AG97" s="2100"/>
      <c r="AH97" s="2101"/>
      <c r="AI97" s="1190"/>
      <c r="AJ97" s="2093"/>
      <c r="AK97" s="2094"/>
      <c r="AL97" s="2094"/>
      <c r="AM97" s="2094"/>
      <c r="AN97" s="2094"/>
      <c r="AO97" s="2094"/>
      <c r="AP97" s="2094"/>
      <c r="AQ97" s="2094"/>
      <c r="AR97" s="2094"/>
      <c r="AS97" s="2094"/>
      <c r="AT97" s="2094"/>
      <c r="AU97" s="2094"/>
      <c r="AV97" s="2094"/>
      <c r="AW97" s="2094"/>
      <c r="AX97" s="2094"/>
      <c r="AY97" s="2097"/>
      <c r="AZ97" s="2097"/>
      <c r="BA97" s="2097"/>
      <c r="BB97" s="2098"/>
      <c r="BC97" s="1190"/>
      <c r="BD97" s="1190"/>
      <c r="BE97" s="1194"/>
      <c r="BQ97" s="1256" t="str">
        <f>Application!M251&amp;IF(TRIM(Application!AA257)&lt;&gt;""," ("&amp;Application!AA257&amp;")","")</f>
        <v>Central Valley Coalition for Affordable Housing</v>
      </c>
      <c r="BR97" s="1259">
        <f>Application!AH254</f>
        <v>1E-3</v>
      </c>
      <c r="CM97" s="1188"/>
      <c r="CN97" s="1188"/>
      <c r="CO97" s="1188"/>
      <c r="CP97" s="1188"/>
    </row>
    <row r="98" spans="1:94" ht="15.75" customHeight="1">
      <c r="A98" s="1190"/>
      <c r="B98" s="2012"/>
      <c r="C98" s="2013"/>
      <c r="D98" s="2013"/>
      <c r="E98" s="2013"/>
      <c r="F98" s="2013"/>
      <c r="G98" s="2013"/>
      <c r="H98" s="2013"/>
      <c r="I98" s="2013"/>
      <c r="J98" s="2013"/>
      <c r="K98" s="2013"/>
      <c r="L98" s="2013"/>
      <c r="M98" s="2013"/>
      <c r="N98" s="2013"/>
      <c r="O98" s="2013"/>
      <c r="P98" s="2013"/>
      <c r="Q98" s="2013"/>
      <c r="R98" s="2013"/>
      <c r="S98" s="2013"/>
      <c r="T98" s="2013"/>
      <c r="U98" s="2013"/>
      <c r="V98" s="2099"/>
      <c r="W98" s="2099"/>
      <c r="X98" s="2099"/>
      <c r="Y98" s="2099"/>
      <c r="Z98" s="2099"/>
      <c r="AA98" s="2099"/>
      <c r="AB98" s="2100"/>
      <c r="AC98" s="2100"/>
      <c r="AD98" s="2100"/>
      <c r="AE98" s="2100"/>
      <c r="AF98" s="2100"/>
      <c r="AG98" s="2100"/>
      <c r="AH98" s="2101"/>
      <c r="AI98" s="1190"/>
      <c r="AJ98" s="2093"/>
      <c r="AK98" s="2094"/>
      <c r="AL98" s="2094"/>
      <c r="AM98" s="2094"/>
      <c r="AN98" s="2094"/>
      <c r="AO98" s="2094"/>
      <c r="AP98" s="2094"/>
      <c r="AQ98" s="2094"/>
      <c r="AR98" s="2094"/>
      <c r="AS98" s="2094"/>
      <c r="AT98" s="2094"/>
      <c r="AU98" s="2094"/>
      <c r="AV98" s="2094"/>
      <c r="AW98" s="2094"/>
      <c r="AX98" s="2094"/>
      <c r="AY98" s="2097"/>
      <c r="AZ98" s="2097"/>
      <c r="BA98" s="2097"/>
      <c r="BB98" s="2098"/>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12" t="s">
        <v>2368</v>
      </c>
      <c r="C99" s="2013"/>
      <c r="D99" s="2013"/>
      <c r="E99" s="2013"/>
      <c r="F99" s="2013"/>
      <c r="G99" s="2013"/>
      <c r="H99" s="2013"/>
      <c r="I99" s="2089">
        <v>0</v>
      </c>
      <c r="J99" s="2089"/>
      <c r="K99" s="2089"/>
      <c r="L99" s="2089"/>
      <c r="M99" s="2089"/>
      <c r="N99" s="2089"/>
      <c r="O99" s="2089">
        <v>0</v>
      </c>
      <c r="P99" s="2089"/>
      <c r="Q99" s="2089"/>
      <c r="R99" s="2089"/>
      <c r="S99" s="2089"/>
      <c r="T99" s="2089"/>
      <c r="U99" s="2089"/>
      <c r="V99" s="2089">
        <v>0</v>
      </c>
      <c r="W99" s="2089"/>
      <c r="X99" s="2089"/>
      <c r="Y99" s="2089"/>
      <c r="Z99" s="2089"/>
      <c r="AA99" s="2089"/>
      <c r="AB99" s="2089">
        <v>0</v>
      </c>
      <c r="AC99" s="2089"/>
      <c r="AD99" s="2089"/>
      <c r="AE99" s="2089"/>
      <c r="AF99" s="2089"/>
      <c r="AG99" s="2089"/>
      <c r="AH99" s="2090"/>
      <c r="AI99" s="1190"/>
      <c r="AJ99" s="2093"/>
      <c r="AK99" s="2094"/>
      <c r="AL99" s="2094"/>
      <c r="AM99" s="2094"/>
      <c r="AN99" s="2094"/>
      <c r="AO99" s="2094"/>
      <c r="AP99" s="2094"/>
      <c r="AQ99" s="2094"/>
      <c r="AR99" s="2094"/>
      <c r="AS99" s="2094"/>
      <c r="AT99" s="2094"/>
      <c r="AU99" s="2094"/>
      <c r="AV99" s="2094"/>
      <c r="AW99" s="2094"/>
      <c r="AX99" s="2094"/>
      <c r="AY99" s="2097"/>
      <c r="AZ99" s="2097"/>
      <c r="BA99" s="2097"/>
      <c r="BB99" s="2098"/>
      <c r="BC99" s="1190"/>
      <c r="BD99" s="1190"/>
      <c r="BE99" s="1194"/>
      <c r="CM99" s="1188"/>
      <c r="CN99" s="1188"/>
      <c r="CO99" s="1188"/>
      <c r="CP99" s="1188"/>
    </row>
    <row r="100" spans="1:94" ht="15.75" customHeight="1">
      <c r="A100" s="1190"/>
      <c r="B100" s="2012" t="s">
        <v>2367</v>
      </c>
      <c r="C100" s="2013"/>
      <c r="D100" s="2013"/>
      <c r="E100" s="2013"/>
      <c r="F100" s="2013"/>
      <c r="G100" s="2013"/>
      <c r="H100" s="2013"/>
      <c r="I100" s="2089">
        <v>0</v>
      </c>
      <c r="J100" s="2089"/>
      <c r="K100" s="2089"/>
      <c r="L100" s="2089"/>
      <c r="M100" s="2089"/>
      <c r="N100" s="2089"/>
      <c r="O100" s="2089">
        <v>0</v>
      </c>
      <c r="P100" s="2089"/>
      <c r="Q100" s="2089"/>
      <c r="R100" s="2089"/>
      <c r="S100" s="2089"/>
      <c r="T100" s="2089"/>
      <c r="U100" s="2089"/>
      <c r="V100" s="2089">
        <v>0</v>
      </c>
      <c r="W100" s="2089"/>
      <c r="X100" s="2089"/>
      <c r="Y100" s="2089"/>
      <c r="Z100" s="2089"/>
      <c r="AA100" s="2089"/>
      <c r="AB100" s="2089">
        <v>0</v>
      </c>
      <c r="AC100" s="2089"/>
      <c r="AD100" s="2089"/>
      <c r="AE100" s="2089"/>
      <c r="AF100" s="2089"/>
      <c r="AG100" s="2089"/>
      <c r="AH100" s="2090"/>
      <c r="AI100" s="1190"/>
      <c r="AJ100" s="2078" t="s">
        <v>2374</v>
      </c>
      <c r="AK100" s="2079"/>
      <c r="AL100" s="2079"/>
      <c r="AM100" s="2079"/>
      <c r="AN100" s="2079"/>
      <c r="AO100" s="2079"/>
      <c r="AP100" s="2079"/>
      <c r="AQ100" s="2079"/>
      <c r="AR100" s="2079"/>
      <c r="AS100" s="2079"/>
      <c r="AT100" s="2079"/>
      <c r="AU100" s="2079"/>
      <c r="AV100" s="2079"/>
      <c r="AW100" s="2079"/>
      <c r="AX100" s="2079"/>
      <c r="AY100" s="2079"/>
      <c r="AZ100" s="2079"/>
      <c r="BA100" s="2079"/>
      <c r="BB100" s="2080"/>
      <c r="BC100" s="1190"/>
      <c r="BD100" s="1190"/>
      <c r="BE100" s="1194"/>
      <c r="CM100" s="1188"/>
      <c r="CN100" s="1188"/>
      <c r="CO100" s="1188"/>
      <c r="CP100" s="1188"/>
    </row>
    <row r="101" spans="1:94" ht="15.75" customHeight="1" thickBot="1">
      <c r="A101" s="1190"/>
      <c r="B101" s="2030" t="s">
        <v>2366</v>
      </c>
      <c r="C101" s="2031"/>
      <c r="D101" s="2031"/>
      <c r="E101" s="2031"/>
      <c r="F101" s="2031"/>
      <c r="G101" s="2031"/>
      <c r="H101" s="2031"/>
      <c r="I101" s="2104">
        <v>0</v>
      </c>
      <c r="J101" s="2104"/>
      <c r="K101" s="2104"/>
      <c r="L101" s="2104"/>
      <c r="M101" s="2104"/>
      <c r="N101" s="2104"/>
      <c r="O101" s="2104">
        <v>0</v>
      </c>
      <c r="P101" s="2104"/>
      <c r="Q101" s="2104"/>
      <c r="R101" s="2104"/>
      <c r="S101" s="2104"/>
      <c r="T101" s="2104"/>
      <c r="U101" s="2104"/>
      <c r="V101" s="2104">
        <v>0</v>
      </c>
      <c r="W101" s="2104"/>
      <c r="X101" s="2104"/>
      <c r="Y101" s="2104"/>
      <c r="Z101" s="2104"/>
      <c r="AA101" s="2104"/>
      <c r="AB101" s="2104">
        <v>0</v>
      </c>
      <c r="AC101" s="2104"/>
      <c r="AD101" s="2104"/>
      <c r="AE101" s="2104"/>
      <c r="AF101" s="2104"/>
      <c r="AG101" s="2104"/>
      <c r="AH101" s="2105"/>
      <c r="AI101" s="1190"/>
      <c r="AJ101" s="2081"/>
      <c r="AK101" s="2082"/>
      <c r="AL101" s="2082"/>
      <c r="AM101" s="2082"/>
      <c r="AN101" s="2082"/>
      <c r="AO101" s="2082"/>
      <c r="AP101" s="2082"/>
      <c r="AQ101" s="2082"/>
      <c r="AR101" s="2082"/>
      <c r="AS101" s="2082"/>
      <c r="AT101" s="2082"/>
      <c r="AU101" s="2082"/>
      <c r="AV101" s="2082"/>
      <c r="AW101" s="2082"/>
      <c r="AX101" s="2082"/>
      <c r="AY101" s="2082"/>
      <c r="AZ101" s="2082"/>
      <c r="BA101" s="2082"/>
      <c r="BB101" s="2083"/>
      <c r="BC101" s="1190"/>
      <c r="BD101" s="1190"/>
      <c r="BE101" s="1194"/>
      <c r="BQ101" s="1256" t="str">
        <f>Application!AA335</f>
        <v xml:space="preserve">CONAM Management Corporation </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N/A</v>
      </c>
      <c r="CM102" s="1188"/>
      <c r="CN102" s="1188"/>
      <c r="CO102" s="1188"/>
      <c r="CP102" s="1188"/>
    </row>
    <row r="103" spans="1:94" ht="15.75" customHeight="1" thickBot="1">
      <c r="A103" s="1190"/>
      <c r="B103" s="1209" t="s">
        <v>2373</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2283</v>
      </c>
      <c r="C104" s="1212"/>
      <c r="D104" s="1217"/>
      <c r="E104" s="1218"/>
      <c r="F104" s="2106"/>
      <c r="G104" s="2107"/>
      <c r="H104" s="2107"/>
      <c r="I104" s="2107"/>
      <c r="J104" s="2107"/>
      <c r="K104" s="2107"/>
      <c r="L104" s="2107"/>
      <c r="M104" s="2107"/>
      <c r="N104" s="2107"/>
      <c r="O104" s="2107"/>
      <c r="P104" s="2107"/>
      <c r="Q104" s="2107"/>
      <c r="R104" s="2108"/>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2372</v>
      </c>
      <c r="C105" s="1220"/>
      <c r="D105" s="1221"/>
      <c r="E105" s="1221"/>
      <c r="F105" s="1221"/>
      <c r="G105" s="1221"/>
      <c r="H105" s="1221"/>
      <c r="I105" s="1221"/>
      <c r="J105" s="1221"/>
      <c r="K105" s="1221"/>
      <c r="L105" s="1222"/>
      <c r="M105" s="1221"/>
      <c r="N105" s="1222"/>
      <c r="O105" s="2070" t="str">
        <f>IFERROR(INDEX(BR96:BR98,MATCH(F104,$BQ$96:$BQ$98,0))/SUM($BR$96:$BR$98),"")</f>
        <v/>
      </c>
      <c r="P105" s="2071"/>
      <c r="Q105" s="2071"/>
      <c r="R105" s="2072"/>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8" t="s">
        <v>2371</v>
      </c>
      <c r="C107" s="2059"/>
      <c r="D107" s="2059"/>
      <c r="E107" s="2059"/>
      <c r="F107" s="2059"/>
      <c r="G107" s="2059"/>
      <c r="H107" s="2059"/>
      <c r="I107" s="2059"/>
      <c r="J107" s="2059"/>
      <c r="K107" s="2059"/>
      <c r="L107" s="2059"/>
      <c r="M107" s="2059"/>
      <c r="N107" s="2059"/>
      <c r="O107" s="2059"/>
      <c r="P107" s="2059"/>
      <c r="Q107" s="2059"/>
      <c r="R107" s="2059"/>
      <c r="S107" s="2059"/>
      <c r="T107" s="2059"/>
      <c r="U107" s="2059"/>
      <c r="V107" s="2059"/>
      <c r="W107" s="2059"/>
      <c r="X107" s="2059"/>
      <c r="Y107" s="2059"/>
      <c r="Z107" s="2059"/>
      <c r="AA107" s="2059"/>
      <c r="AB107" s="2059"/>
      <c r="AC107" s="2059"/>
      <c r="AD107" s="2059"/>
      <c r="AE107" s="2059"/>
      <c r="AF107" s="2059"/>
      <c r="AG107" s="2059"/>
      <c r="AH107" s="2109"/>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12"/>
      <c r="C108" s="2013"/>
      <c r="D108" s="2013"/>
      <c r="E108" s="2013"/>
      <c r="F108" s="2013"/>
      <c r="G108" s="2013"/>
      <c r="H108" s="2013"/>
      <c r="I108" s="2013" t="s">
        <v>2370</v>
      </c>
      <c r="J108" s="2013"/>
      <c r="K108" s="2013"/>
      <c r="L108" s="2013"/>
      <c r="M108" s="2013"/>
      <c r="N108" s="2013"/>
      <c r="O108" s="2013" t="s">
        <v>2346</v>
      </c>
      <c r="P108" s="2013"/>
      <c r="Q108" s="2013"/>
      <c r="R108" s="2013"/>
      <c r="S108" s="2013"/>
      <c r="T108" s="2013"/>
      <c r="U108" s="2013"/>
      <c r="V108" s="2099" t="s">
        <v>2345</v>
      </c>
      <c r="W108" s="2099"/>
      <c r="X108" s="2099"/>
      <c r="Y108" s="2099"/>
      <c r="Z108" s="2099"/>
      <c r="AA108" s="2099"/>
      <c r="AB108" s="2100" t="s">
        <v>2369</v>
      </c>
      <c r="AC108" s="2100"/>
      <c r="AD108" s="2100"/>
      <c r="AE108" s="2100"/>
      <c r="AF108" s="2100"/>
      <c r="AG108" s="2100"/>
      <c r="AH108" s="2101"/>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12"/>
      <c r="C109" s="2013"/>
      <c r="D109" s="2013"/>
      <c r="E109" s="2013"/>
      <c r="F109" s="2013"/>
      <c r="G109" s="2013"/>
      <c r="H109" s="2013"/>
      <c r="I109" s="2013"/>
      <c r="J109" s="2013"/>
      <c r="K109" s="2013"/>
      <c r="L109" s="2013"/>
      <c r="M109" s="2013"/>
      <c r="N109" s="2013"/>
      <c r="O109" s="2013"/>
      <c r="P109" s="2013"/>
      <c r="Q109" s="2013"/>
      <c r="R109" s="2013"/>
      <c r="S109" s="2013"/>
      <c r="T109" s="2013"/>
      <c r="U109" s="2013"/>
      <c r="V109" s="2099"/>
      <c r="W109" s="2099"/>
      <c r="X109" s="2099"/>
      <c r="Y109" s="2099"/>
      <c r="Z109" s="2099"/>
      <c r="AA109" s="2099"/>
      <c r="AB109" s="2100"/>
      <c r="AC109" s="2100"/>
      <c r="AD109" s="2100"/>
      <c r="AE109" s="2100"/>
      <c r="AF109" s="2100"/>
      <c r="AG109" s="2100"/>
      <c r="AH109" s="2101"/>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12" t="s">
        <v>2368</v>
      </c>
      <c r="C110" s="2013"/>
      <c r="D110" s="2013"/>
      <c r="E110" s="2013"/>
      <c r="F110" s="2013"/>
      <c r="G110" s="2013"/>
      <c r="H110" s="2013"/>
      <c r="I110" s="2089">
        <v>0</v>
      </c>
      <c r="J110" s="2089"/>
      <c r="K110" s="2089"/>
      <c r="L110" s="2089"/>
      <c r="M110" s="2089"/>
      <c r="N110" s="2089"/>
      <c r="O110" s="2089">
        <v>0</v>
      </c>
      <c r="P110" s="2089"/>
      <c r="Q110" s="2089"/>
      <c r="R110" s="2089"/>
      <c r="S110" s="2089"/>
      <c r="T110" s="2089"/>
      <c r="U110" s="2089"/>
      <c r="V110" s="2089">
        <v>0</v>
      </c>
      <c r="W110" s="2089"/>
      <c r="X110" s="2089"/>
      <c r="Y110" s="2089"/>
      <c r="Z110" s="2089"/>
      <c r="AA110" s="2089"/>
      <c r="AB110" s="2089">
        <v>0</v>
      </c>
      <c r="AC110" s="2089"/>
      <c r="AD110" s="2089"/>
      <c r="AE110" s="2089"/>
      <c r="AF110" s="2089"/>
      <c r="AG110" s="2089"/>
      <c r="AH110" s="2090"/>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12" t="s">
        <v>2367</v>
      </c>
      <c r="C111" s="2013"/>
      <c r="D111" s="2013"/>
      <c r="E111" s="2013"/>
      <c r="F111" s="2013"/>
      <c r="G111" s="2013"/>
      <c r="H111" s="2013"/>
      <c r="I111" s="2089">
        <v>0</v>
      </c>
      <c r="J111" s="2089"/>
      <c r="K111" s="2089"/>
      <c r="L111" s="2089"/>
      <c r="M111" s="2089"/>
      <c r="N111" s="2089"/>
      <c r="O111" s="2089">
        <v>0</v>
      </c>
      <c r="P111" s="2089"/>
      <c r="Q111" s="2089"/>
      <c r="R111" s="2089"/>
      <c r="S111" s="2089"/>
      <c r="T111" s="2089"/>
      <c r="U111" s="2089"/>
      <c r="V111" s="2089">
        <v>0</v>
      </c>
      <c r="W111" s="2089"/>
      <c r="X111" s="2089"/>
      <c r="Y111" s="2089"/>
      <c r="Z111" s="2089"/>
      <c r="AA111" s="2089"/>
      <c r="AB111" s="2089">
        <v>0</v>
      </c>
      <c r="AC111" s="2089"/>
      <c r="AD111" s="2089"/>
      <c r="AE111" s="2089"/>
      <c r="AF111" s="2089"/>
      <c r="AG111" s="2089"/>
      <c r="AH111" s="2090"/>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30" t="s">
        <v>2366</v>
      </c>
      <c r="C112" s="2031"/>
      <c r="D112" s="2031"/>
      <c r="E112" s="2031"/>
      <c r="F112" s="2031"/>
      <c r="G112" s="2031"/>
      <c r="H112" s="2031"/>
      <c r="I112" s="2104">
        <v>0</v>
      </c>
      <c r="J112" s="2104"/>
      <c r="K112" s="2104"/>
      <c r="L112" s="2104"/>
      <c r="M112" s="2104"/>
      <c r="N112" s="2104"/>
      <c r="O112" s="2104">
        <v>0</v>
      </c>
      <c r="P112" s="2104"/>
      <c r="Q112" s="2104"/>
      <c r="R112" s="2104"/>
      <c r="S112" s="2104"/>
      <c r="T112" s="2104"/>
      <c r="U112" s="2104"/>
      <c r="V112" s="2104">
        <v>0</v>
      </c>
      <c r="W112" s="2104"/>
      <c r="X112" s="2104"/>
      <c r="Y112" s="2104"/>
      <c r="Z112" s="2104"/>
      <c r="AA112" s="2104"/>
      <c r="AB112" s="2104">
        <v>0</v>
      </c>
      <c r="AC112" s="2104"/>
      <c r="AD112" s="2104"/>
      <c r="AE112" s="2104"/>
      <c r="AF112" s="2104"/>
      <c r="AG112" s="2104"/>
      <c r="AH112" s="2105"/>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2365</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2283</v>
      </c>
      <c r="C115" s="1212"/>
      <c r="D115" s="1217"/>
      <c r="E115" s="1218"/>
      <c r="F115" s="2106"/>
      <c r="G115" s="2107"/>
      <c r="H115" s="2107"/>
      <c r="I115" s="2107"/>
      <c r="J115" s="2107"/>
      <c r="K115" s="2107"/>
      <c r="L115" s="2107"/>
      <c r="M115" s="2107"/>
      <c r="N115" s="2107"/>
      <c r="O115" s="2107"/>
      <c r="P115" s="2107"/>
      <c r="Q115" s="2107"/>
      <c r="R115" s="2108"/>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8" t="s">
        <v>2364</v>
      </c>
      <c r="C117" s="2119"/>
      <c r="D117" s="2119"/>
      <c r="E117" s="2119"/>
      <c r="F117" s="2119"/>
      <c r="G117" s="2119"/>
      <c r="H117" s="2119"/>
      <c r="I117" s="2119"/>
      <c r="J117" s="2119"/>
      <c r="K117" s="2119"/>
      <c r="L117" s="2119"/>
      <c r="M117" s="2119"/>
      <c r="N117" s="2119"/>
      <c r="O117" s="2119"/>
      <c r="P117" s="2119"/>
      <c r="Q117" s="2119"/>
      <c r="R117" s="2119"/>
      <c r="S117" s="2119"/>
      <c r="T117" s="2119"/>
      <c r="U117" s="2122" t="s">
        <v>544</v>
      </c>
      <c r="V117" s="2122"/>
      <c r="W117" s="2122"/>
      <c r="X117" s="2123"/>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20"/>
      <c r="C118" s="2121"/>
      <c r="D118" s="2121"/>
      <c r="E118" s="2121"/>
      <c r="F118" s="2121"/>
      <c r="G118" s="2121"/>
      <c r="H118" s="2121"/>
      <c r="I118" s="2121"/>
      <c r="J118" s="2121"/>
      <c r="K118" s="2121"/>
      <c r="L118" s="2121"/>
      <c r="M118" s="2121"/>
      <c r="N118" s="2121"/>
      <c r="O118" s="2121"/>
      <c r="P118" s="2121"/>
      <c r="Q118" s="2121"/>
      <c r="R118" s="2121"/>
      <c r="S118" s="2121"/>
      <c r="T118" s="2121"/>
      <c r="U118" s="2124"/>
      <c r="V118" s="2124"/>
      <c r="W118" s="2124"/>
      <c r="X118" s="2125"/>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20"/>
      <c r="C119" s="2121"/>
      <c r="D119" s="2121"/>
      <c r="E119" s="2121"/>
      <c r="F119" s="2121"/>
      <c r="G119" s="2121"/>
      <c r="H119" s="2121"/>
      <c r="I119" s="2121"/>
      <c r="J119" s="2121"/>
      <c r="K119" s="2121"/>
      <c r="L119" s="2121"/>
      <c r="M119" s="2121"/>
      <c r="N119" s="2121"/>
      <c r="O119" s="2121"/>
      <c r="P119" s="2121"/>
      <c r="Q119" s="2121"/>
      <c r="R119" s="2121"/>
      <c r="S119" s="2121"/>
      <c r="T119" s="2121"/>
      <c r="U119" s="2124"/>
      <c r="V119" s="2124"/>
      <c r="W119" s="2124"/>
      <c r="X119" s="2125"/>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20"/>
      <c r="C120" s="2121"/>
      <c r="D120" s="2121"/>
      <c r="E120" s="2121"/>
      <c r="F120" s="2121"/>
      <c r="G120" s="2121"/>
      <c r="H120" s="2121"/>
      <c r="I120" s="2121"/>
      <c r="J120" s="2121"/>
      <c r="K120" s="2121"/>
      <c r="L120" s="2121"/>
      <c r="M120" s="2121"/>
      <c r="N120" s="2121"/>
      <c r="O120" s="2121"/>
      <c r="P120" s="2121"/>
      <c r="Q120" s="2121"/>
      <c r="R120" s="2121"/>
      <c r="S120" s="2121"/>
      <c r="T120" s="2121"/>
      <c r="U120" s="2124"/>
      <c r="V120" s="2124"/>
      <c r="W120" s="2124"/>
      <c r="X120" s="2125"/>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6" t="s">
        <v>2364</v>
      </c>
      <c r="C121" s="2127"/>
      <c r="D121" s="2127"/>
      <c r="E121" s="2127"/>
      <c r="F121" s="2127"/>
      <c r="G121" s="2127"/>
      <c r="H121" s="2127"/>
      <c r="I121" s="2127"/>
      <c r="J121" s="2127"/>
      <c r="K121" s="2127"/>
      <c r="L121" s="2127"/>
      <c r="M121" s="2127"/>
      <c r="N121" s="2127"/>
      <c r="O121" s="2127"/>
      <c r="P121" s="2127"/>
      <c r="Q121" s="2127"/>
      <c r="R121" s="2127"/>
      <c r="S121" s="2127"/>
      <c r="T121" s="2127"/>
      <c r="U121" s="2130" t="s">
        <v>544</v>
      </c>
      <c r="V121" s="2130"/>
      <c r="W121" s="2130"/>
      <c r="X121" s="2131"/>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8"/>
      <c r="C122" s="2129"/>
      <c r="D122" s="2129"/>
      <c r="E122" s="2129"/>
      <c r="F122" s="2129"/>
      <c r="G122" s="2129"/>
      <c r="H122" s="2129"/>
      <c r="I122" s="2129"/>
      <c r="J122" s="2129"/>
      <c r="K122" s="2129"/>
      <c r="L122" s="2129"/>
      <c r="M122" s="2129"/>
      <c r="N122" s="2129"/>
      <c r="O122" s="2129"/>
      <c r="P122" s="2129"/>
      <c r="Q122" s="2129"/>
      <c r="R122" s="2129"/>
      <c r="S122" s="2129"/>
      <c r="T122" s="2129"/>
      <c r="U122" s="2132"/>
      <c r="V122" s="2132"/>
      <c r="W122" s="2132"/>
      <c r="X122" s="2133"/>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2363</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91" t="s">
        <v>2362</v>
      </c>
      <c r="Y125" s="2092"/>
      <c r="Z125" s="2092"/>
      <c r="AA125" s="2092"/>
      <c r="AB125" s="2092"/>
      <c r="AC125" s="2092"/>
      <c r="AD125" s="2092"/>
      <c r="AE125" s="2092"/>
      <c r="AF125" s="2092"/>
      <c r="AG125" s="2092"/>
      <c r="AH125" s="2092"/>
      <c r="AI125" s="2092"/>
      <c r="AJ125" s="2092"/>
      <c r="AK125" s="2092"/>
      <c r="AL125" s="2092"/>
      <c r="AM125" s="2092"/>
      <c r="AN125" s="2092"/>
      <c r="AO125" s="2092"/>
      <c r="AP125" s="2092"/>
      <c r="AQ125" s="2092"/>
      <c r="AR125" s="2092"/>
      <c r="AS125" s="2092"/>
      <c r="AT125" s="2092"/>
      <c r="AU125" s="2092"/>
      <c r="AV125" s="2092"/>
      <c r="AW125" s="2092"/>
      <c r="AX125" s="2092"/>
      <c r="AY125" s="2092"/>
      <c r="AZ125" s="2092"/>
      <c r="BA125" s="2092"/>
      <c r="BB125" s="2092"/>
      <c r="BC125" s="2092"/>
      <c r="BD125" s="2134"/>
      <c r="BE125" s="1194"/>
    </row>
    <row r="126" spans="1:57" ht="15.75" customHeight="1">
      <c r="A126" s="1190"/>
      <c r="B126" s="2136" t="s">
        <v>1576</v>
      </c>
      <c r="C126" s="2137"/>
      <c r="D126" s="2137"/>
      <c r="E126" s="2137"/>
      <c r="F126" s="2137"/>
      <c r="G126" s="2137"/>
      <c r="H126" s="2137"/>
      <c r="I126" s="2137"/>
      <c r="J126" s="2137"/>
      <c r="K126" s="2137"/>
      <c r="L126" s="2137"/>
      <c r="M126" s="2137"/>
      <c r="N126" s="2137"/>
      <c r="O126" s="2137"/>
      <c r="P126" s="2137"/>
      <c r="Q126" s="2137"/>
      <c r="R126" s="2137"/>
      <c r="S126" s="2137"/>
      <c r="T126" s="2137"/>
      <c r="U126" s="2138"/>
      <c r="V126" s="1190"/>
      <c r="W126" s="1190"/>
      <c r="X126" s="2093"/>
      <c r="Y126" s="2094"/>
      <c r="Z126" s="2094"/>
      <c r="AA126" s="2094"/>
      <c r="AB126" s="2094"/>
      <c r="AC126" s="2094"/>
      <c r="AD126" s="2094"/>
      <c r="AE126" s="2094"/>
      <c r="AF126" s="2094"/>
      <c r="AG126" s="2094"/>
      <c r="AH126" s="2094"/>
      <c r="AI126" s="2094"/>
      <c r="AJ126" s="2094"/>
      <c r="AK126" s="2094"/>
      <c r="AL126" s="2094"/>
      <c r="AM126" s="2094"/>
      <c r="AN126" s="2094"/>
      <c r="AO126" s="2094"/>
      <c r="AP126" s="2094"/>
      <c r="AQ126" s="2094"/>
      <c r="AR126" s="2094"/>
      <c r="AS126" s="2094"/>
      <c r="AT126" s="2094"/>
      <c r="AU126" s="2094"/>
      <c r="AV126" s="2094"/>
      <c r="AW126" s="2094"/>
      <c r="AX126" s="2094"/>
      <c r="AY126" s="2094"/>
      <c r="AZ126" s="2094"/>
      <c r="BA126" s="2094"/>
      <c r="BB126" s="2094"/>
      <c r="BC126" s="2094"/>
      <c r="BD126" s="2135"/>
      <c r="BE126" s="1194"/>
    </row>
    <row r="127" spans="1:57" ht="15.75" customHeight="1">
      <c r="A127" s="1190"/>
      <c r="B127" s="2154"/>
      <c r="C127" s="2155"/>
      <c r="D127" s="2155"/>
      <c r="E127" s="2155"/>
      <c r="F127" s="2155"/>
      <c r="G127" s="2155"/>
      <c r="H127" s="2155"/>
      <c r="I127" s="2013" t="s">
        <v>2361</v>
      </c>
      <c r="J127" s="2013"/>
      <c r="K127" s="2013"/>
      <c r="L127" s="2013"/>
      <c r="M127" s="2013"/>
      <c r="N127" s="2013"/>
      <c r="O127" s="2110" t="s">
        <v>2360</v>
      </c>
      <c r="P127" s="2110"/>
      <c r="Q127" s="2110"/>
      <c r="R127" s="2110"/>
      <c r="S127" s="2110"/>
      <c r="T127" s="2110"/>
      <c r="U127" s="2111"/>
      <c r="V127" s="1190"/>
      <c r="W127" s="1190"/>
      <c r="X127" s="2078" t="s">
        <v>2330</v>
      </c>
      <c r="Y127" s="2079"/>
      <c r="Z127" s="2079"/>
      <c r="AA127" s="2079"/>
      <c r="AB127" s="2079"/>
      <c r="AC127" s="2079"/>
      <c r="AD127" s="2079"/>
      <c r="AE127" s="2079"/>
      <c r="AF127" s="2079"/>
      <c r="AG127" s="2079"/>
      <c r="AH127" s="2079"/>
      <c r="AI127" s="2079"/>
      <c r="AJ127" s="2079"/>
      <c r="AK127" s="2079"/>
      <c r="AL127" s="2079"/>
      <c r="AM127" s="2079"/>
      <c r="AN127" s="2079"/>
      <c r="AO127" s="2079"/>
      <c r="AP127" s="2079"/>
      <c r="AQ127" s="2079"/>
      <c r="AR127" s="2079"/>
      <c r="AS127" s="2079"/>
      <c r="AT127" s="2079"/>
      <c r="AU127" s="2079"/>
      <c r="AV127" s="2079"/>
      <c r="AW127" s="2079"/>
      <c r="AX127" s="2079"/>
      <c r="AY127" s="2079"/>
      <c r="AZ127" s="2079"/>
      <c r="BA127" s="2079"/>
      <c r="BB127" s="2079"/>
      <c r="BC127" s="2079"/>
      <c r="BD127" s="2080"/>
      <c r="BE127" s="1194"/>
    </row>
    <row r="128" spans="1:57" ht="15.75" customHeight="1">
      <c r="A128" s="1190"/>
      <c r="B128" s="2112" t="s">
        <v>2344</v>
      </c>
      <c r="C128" s="2113"/>
      <c r="D128" s="2113"/>
      <c r="E128" s="2113"/>
      <c r="F128" s="2113"/>
      <c r="G128" s="2113"/>
      <c r="H128" s="2113"/>
      <c r="I128" s="2089">
        <v>0</v>
      </c>
      <c r="J128" s="2089"/>
      <c r="K128" s="2089"/>
      <c r="L128" s="2089"/>
      <c r="M128" s="2089"/>
      <c r="N128" s="2089"/>
      <c r="O128" s="2089">
        <v>0</v>
      </c>
      <c r="P128" s="2089"/>
      <c r="Q128" s="2089"/>
      <c r="R128" s="2089"/>
      <c r="S128" s="2089"/>
      <c r="T128" s="2089"/>
      <c r="U128" s="2090"/>
      <c r="V128" s="1190"/>
      <c r="W128" s="1190"/>
      <c r="X128" s="2078"/>
      <c r="Y128" s="2079"/>
      <c r="Z128" s="2079"/>
      <c r="AA128" s="2079"/>
      <c r="AB128" s="2079"/>
      <c r="AC128" s="2079"/>
      <c r="AD128" s="2079"/>
      <c r="AE128" s="2079"/>
      <c r="AF128" s="2079"/>
      <c r="AG128" s="2079"/>
      <c r="AH128" s="2079"/>
      <c r="AI128" s="2079"/>
      <c r="AJ128" s="2079"/>
      <c r="AK128" s="2079"/>
      <c r="AL128" s="2079"/>
      <c r="AM128" s="2079"/>
      <c r="AN128" s="2079"/>
      <c r="AO128" s="2079"/>
      <c r="AP128" s="2079"/>
      <c r="AQ128" s="2079"/>
      <c r="AR128" s="2079"/>
      <c r="AS128" s="2079"/>
      <c r="AT128" s="2079"/>
      <c r="AU128" s="2079"/>
      <c r="AV128" s="2079"/>
      <c r="AW128" s="2079"/>
      <c r="AX128" s="2079"/>
      <c r="AY128" s="2079"/>
      <c r="AZ128" s="2079"/>
      <c r="BA128" s="2079"/>
      <c r="BB128" s="2079"/>
      <c r="BC128" s="2079"/>
      <c r="BD128" s="2080"/>
      <c r="BE128" s="1194"/>
    </row>
    <row r="129" spans="1:57" ht="15.75" customHeight="1" thickBot="1">
      <c r="A129" s="1190"/>
      <c r="B129" s="2114" t="s">
        <v>2343</v>
      </c>
      <c r="C129" s="2115"/>
      <c r="D129" s="2115"/>
      <c r="E129" s="2115"/>
      <c r="F129" s="2115"/>
      <c r="G129" s="2115"/>
      <c r="H129" s="2115"/>
      <c r="I129" s="2104">
        <v>0</v>
      </c>
      <c r="J129" s="2104"/>
      <c r="K129" s="2104"/>
      <c r="L129" s="2104"/>
      <c r="M129" s="2104"/>
      <c r="N129" s="2104"/>
      <c r="O129" s="2116"/>
      <c r="P129" s="2116"/>
      <c r="Q129" s="2116"/>
      <c r="R129" s="2116"/>
      <c r="S129" s="2116"/>
      <c r="T129" s="2116"/>
      <c r="U129" s="2117"/>
      <c r="V129" s="1190"/>
      <c r="W129" s="1190"/>
      <c r="X129" s="2078"/>
      <c r="Y129" s="2079"/>
      <c r="Z129" s="2079"/>
      <c r="AA129" s="2079"/>
      <c r="AB129" s="2079"/>
      <c r="AC129" s="2079"/>
      <c r="AD129" s="2079"/>
      <c r="AE129" s="2079"/>
      <c r="AF129" s="2079"/>
      <c r="AG129" s="2079"/>
      <c r="AH129" s="2079"/>
      <c r="AI129" s="2079"/>
      <c r="AJ129" s="2079"/>
      <c r="AK129" s="2079"/>
      <c r="AL129" s="2079"/>
      <c r="AM129" s="2079"/>
      <c r="AN129" s="2079"/>
      <c r="AO129" s="2079"/>
      <c r="AP129" s="2079"/>
      <c r="AQ129" s="2079"/>
      <c r="AR129" s="2079"/>
      <c r="AS129" s="2079"/>
      <c r="AT129" s="2079"/>
      <c r="AU129" s="2079"/>
      <c r="AV129" s="2079"/>
      <c r="AW129" s="2079"/>
      <c r="AX129" s="2079"/>
      <c r="AY129" s="2079"/>
      <c r="AZ129" s="2079"/>
      <c r="BA129" s="2079"/>
      <c r="BB129" s="2079"/>
      <c r="BC129" s="2079"/>
      <c r="BD129" s="2080"/>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8"/>
      <c r="Y130" s="2079"/>
      <c r="Z130" s="2079"/>
      <c r="AA130" s="2079"/>
      <c r="AB130" s="2079"/>
      <c r="AC130" s="2079"/>
      <c r="AD130" s="2079"/>
      <c r="AE130" s="2079"/>
      <c r="AF130" s="2079"/>
      <c r="AG130" s="2079"/>
      <c r="AH130" s="2079"/>
      <c r="AI130" s="2079"/>
      <c r="AJ130" s="2079"/>
      <c r="AK130" s="2079"/>
      <c r="AL130" s="2079"/>
      <c r="AM130" s="2079"/>
      <c r="AN130" s="2079"/>
      <c r="AO130" s="2079"/>
      <c r="AP130" s="2079"/>
      <c r="AQ130" s="2079"/>
      <c r="AR130" s="2079"/>
      <c r="AS130" s="2079"/>
      <c r="AT130" s="2079"/>
      <c r="AU130" s="2079"/>
      <c r="AV130" s="2079"/>
      <c r="AW130" s="2079"/>
      <c r="AX130" s="2079"/>
      <c r="AY130" s="2079"/>
      <c r="AZ130" s="2079"/>
      <c r="BA130" s="2079"/>
      <c r="BB130" s="2079"/>
      <c r="BC130" s="2079"/>
      <c r="BD130" s="2080"/>
      <c r="BE130" s="1194"/>
    </row>
    <row r="131" spans="1:57" ht="15.75" customHeight="1" thickBot="1">
      <c r="A131" s="1190"/>
      <c r="B131" s="1209" t="s">
        <v>2359</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78"/>
      <c r="Y131" s="2079"/>
      <c r="Z131" s="2079"/>
      <c r="AA131" s="2079"/>
      <c r="AB131" s="2079"/>
      <c r="AC131" s="2079"/>
      <c r="AD131" s="2079"/>
      <c r="AE131" s="2079"/>
      <c r="AF131" s="2079"/>
      <c r="AG131" s="2079"/>
      <c r="AH131" s="2079"/>
      <c r="AI131" s="2079"/>
      <c r="AJ131" s="2079"/>
      <c r="AK131" s="2079"/>
      <c r="AL131" s="2079"/>
      <c r="AM131" s="2079"/>
      <c r="AN131" s="2079"/>
      <c r="AO131" s="2079"/>
      <c r="AP131" s="2079"/>
      <c r="AQ131" s="2079"/>
      <c r="AR131" s="2079"/>
      <c r="AS131" s="2079"/>
      <c r="AT131" s="2079"/>
      <c r="AU131" s="2079"/>
      <c r="AV131" s="2079"/>
      <c r="AW131" s="2079"/>
      <c r="AX131" s="2079"/>
      <c r="AY131" s="2079"/>
      <c r="AZ131" s="2079"/>
      <c r="BA131" s="2079"/>
      <c r="BB131" s="2079"/>
      <c r="BC131" s="2079"/>
      <c r="BD131" s="2080"/>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8"/>
      <c r="Y132" s="2079"/>
      <c r="Z132" s="2079"/>
      <c r="AA132" s="2079"/>
      <c r="AB132" s="2079"/>
      <c r="AC132" s="2079"/>
      <c r="AD132" s="2079"/>
      <c r="AE132" s="2079"/>
      <c r="AF132" s="2079"/>
      <c r="AG132" s="2079"/>
      <c r="AH132" s="2079"/>
      <c r="AI132" s="2079"/>
      <c r="AJ132" s="2079"/>
      <c r="AK132" s="2079"/>
      <c r="AL132" s="2079"/>
      <c r="AM132" s="2079"/>
      <c r="AN132" s="2079"/>
      <c r="AO132" s="2079"/>
      <c r="AP132" s="2079"/>
      <c r="AQ132" s="2079"/>
      <c r="AR132" s="2079"/>
      <c r="AS132" s="2079"/>
      <c r="AT132" s="2079"/>
      <c r="AU132" s="2079"/>
      <c r="AV132" s="2079"/>
      <c r="AW132" s="2079"/>
      <c r="AX132" s="2079"/>
      <c r="AY132" s="2079"/>
      <c r="AZ132" s="2079"/>
      <c r="BA132" s="2079"/>
      <c r="BB132" s="2079"/>
      <c r="BC132" s="2079"/>
      <c r="BD132" s="2080"/>
      <c r="BE132" s="1194"/>
    </row>
    <row r="133" spans="1:57" ht="15.75" customHeight="1">
      <c r="A133" s="1190"/>
      <c r="B133" s="1914" t="s">
        <v>2358</v>
      </c>
      <c r="C133" s="1915"/>
      <c r="D133" s="1915"/>
      <c r="E133" s="1915"/>
      <c r="F133" s="1915"/>
      <c r="G133" s="1915"/>
      <c r="H133" s="1915"/>
      <c r="I133" s="1915"/>
      <c r="J133" s="1915"/>
      <c r="K133" s="1915"/>
      <c r="L133" s="1915"/>
      <c r="M133" s="1915"/>
      <c r="N133" s="1915"/>
      <c r="O133" s="1915"/>
      <c r="P133" s="1915"/>
      <c r="Q133" s="1915"/>
      <c r="R133" s="1915"/>
      <c r="S133" s="1915"/>
      <c r="T133" s="1915"/>
      <c r="U133" s="1916"/>
      <c r="V133" s="1190"/>
      <c r="W133" s="1190"/>
      <c r="X133" s="2078"/>
      <c r="Y133" s="2079"/>
      <c r="Z133" s="2079"/>
      <c r="AA133" s="2079"/>
      <c r="AB133" s="2079"/>
      <c r="AC133" s="2079"/>
      <c r="AD133" s="2079"/>
      <c r="AE133" s="2079"/>
      <c r="AF133" s="2079"/>
      <c r="AG133" s="2079"/>
      <c r="AH133" s="2079"/>
      <c r="AI133" s="2079"/>
      <c r="AJ133" s="2079"/>
      <c r="AK133" s="2079"/>
      <c r="AL133" s="2079"/>
      <c r="AM133" s="2079"/>
      <c r="AN133" s="2079"/>
      <c r="AO133" s="2079"/>
      <c r="AP133" s="2079"/>
      <c r="AQ133" s="2079"/>
      <c r="AR133" s="2079"/>
      <c r="AS133" s="2079"/>
      <c r="AT133" s="2079"/>
      <c r="AU133" s="2079"/>
      <c r="AV133" s="2079"/>
      <c r="AW133" s="2079"/>
      <c r="AX133" s="2079"/>
      <c r="AY133" s="2079"/>
      <c r="AZ133" s="2079"/>
      <c r="BA133" s="2079"/>
      <c r="BB133" s="2079"/>
      <c r="BC133" s="2079"/>
      <c r="BD133" s="2080"/>
      <c r="BE133" s="1194"/>
    </row>
    <row r="134" spans="1:57" ht="15.75" customHeight="1">
      <c r="A134" s="1190"/>
      <c r="B134" s="2154"/>
      <c r="C134" s="2155"/>
      <c r="D134" s="2155"/>
      <c r="E134" s="2155"/>
      <c r="F134" s="2155"/>
      <c r="G134" s="2155"/>
      <c r="H134" s="2155"/>
      <c r="I134" s="2156" t="s">
        <v>2346</v>
      </c>
      <c r="J134" s="2156"/>
      <c r="K134" s="2156"/>
      <c r="L134" s="2156"/>
      <c r="M134" s="2156"/>
      <c r="N134" s="2156"/>
      <c r="O134" s="2156"/>
      <c r="P134" s="2156" t="s">
        <v>2345</v>
      </c>
      <c r="Q134" s="2156"/>
      <c r="R134" s="2156"/>
      <c r="S134" s="2156"/>
      <c r="T134" s="2156"/>
      <c r="U134" s="2157"/>
      <c r="V134" s="1190"/>
      <c r="W134" s="1190"/>
      <c r="X134" s="2078"/>
      <c r="Y134" s="2079"/>
      <c r="Z134" s="2079"/>
      <c r="AA134" s="2079"/>
      <c r="AB134" s="2079"/>
      <c r="AC134" s="2079"/>
      <c r="AD134" s="2079"/>
      <c r="AE134" s="2079"/>
      <c r="AF134" s="2079"/>
      <c r="AG134" s="2079"/>
      <c r="AH134" s="2079"/>
      <c r="AI134" s="2079"/>
      <c r="AJ134" s="2079"/>
      <c r="AK134" s="2079"/>
      <c r="AL134" s="2079"/>
      <c r="AM134" s="2079"/>
      <c r="AN134" s="2079"/>
      <c r="AO134" s="2079"/>
      <c r="AP134" s="2079"/>
      <c r="AQ134" s="2079"/>
      <c r="AR134" s="2079"/>
      <c r="AS134" s="2079"/>
      <c r="AT134" s="2079"/>
      <c r="AU134" s="2079"/>
      <c r="AV134" s="2079"/>
      <c r="AW134" s="2079"/>
      <c r="AX134" s="2079"/>
      <c r="AY134" s="2079"/>
      <c r="AZ134" s="2079"/>
      <c r="BA134" s="2079"/>
      <c r="BB134" s="2079"/>
      <c r="BC134" s="2079"/>
      <c r="BD134" s="2080"/>
      <c r="BE134" s="1194"/>
    </row>
    <row r="135" spans="1:57" ht="15.75" customHeight="1">
      <c r="A135" s="1190"/>
      <c r="B135" s="2154"/>
      <c r="C135" s="2155"/>
      <c r="D135" s="2155"/>
      <c r="E135" s="2155"/>
      <c r="F135" s="2155"/>
      <c r="G135" s="2155"/>
      <c r="H135" s="2155"/>
      <c r="I135" s="2156"/>
      <c r="J135" s="2156"/>
      <c r="K135" s="2156"/>
      <c r="L135" s="2156"/>
      <c r="M135" s="2156"/>
      <c r="N135" s="2156"/>
      <c r="O135" s="2156"/>
      <c r="P135" s="2156"/>
      <c r="Q135" s="2156"/>
      <c r="R135" s="2156"/>
      <c r="S135" s="2156"/>
      <c r="T135" s="2156"/>
      <c r="U135" s="2157"/>
      <c r="V135" s="1190"/>
      <c r="W135" s="1190"/>
      <c r="X135" s="2078"/>
      <c r="Y135" s="2079"/>
      <c r="Z135" s="2079"/>
      <c r="AA135" s="2079"/>
      <c r="AB135" s="2079"/>
      <c r="AC135" s="2079"/>
      <c r="AD135" s="2079"/>
      <c r="AE135" s="2079"/>
      <c r="AF135" s="2079"/>
      <c r="AG135" s="2079"/>
      <c r="AH135" s="2079"/>
      <c r="AI135" s="2079"/>
      <c r="AJ135" s="2079"/>
      <c r="AK135" s="2079"/>
      <c r="AL135" s="2079"/>
      <c r="AM135" s="2079"/>
      <c r="AN135" s="2079"/>
      <c r="AO135" s="2079"/>
      <c r="AP135" s="2079"/>
      <c r="AQ135" s="2079"/>
      <c r="AR135" s="2079"/>
      <c r="AS135" s="2079"/>
      <c r="AT135" s="2079"/>
      <c r="AU135" s="2079"/>
      <c r="AV135" s="2079"/>
      <c r="AW135" s="2079"/>
      <c r="AX135" s="2079"/>
      <c r="AY135" s="2079"/>
      <c r="AZ135" s="2079"/>
      <c r="BA135" s="2079"/>
      <c r="BB135" s="2079"/>
      <c r="BC135" s="2079"/>
      <c r="BD135" s="2080"/>
      <c r="BE135" s="1194"/>
    </row>
    <row r="136" spans="1:57" ht="15.75" customHeight="1">
      <c r="A136" s="1190"/>
      <c r="B136" s="2112" t="s">
        <v>2344</v>
      </c>
      <c r="C136" s="2113"/>
      <c r="D136" s="2113"/>
      <c r="E136" s="2113"/>
      <c r="F136" s="2113"/>
      <c r="G136" s="2113"/>
      <c r="H136" s="2113"/>
      <c r="I136" s="2089">
        <v>0</v>
      </c>
      <c r="J136" s="2089"/>
      <c r="K136" s="2089"/>
      <c r="L136" s="2089"/>
      <c r="M136" s="2089"/>
      <c r="N136" s="2089"/>
      <c r="O136" s="2089"/>
      <c r="P136" s="2089">
        <v>0</v>
      </c>
      <c r="Q136" s="2089"/>
      <c r="R136" s="2089"/>
      <c r="S136" s="2089"/>
      <c r="T136" s="2089"/>
      <c r="U136" s="2090"/>
      <c r="V136" s="1190"/>
      <c r="W136" s="1190"/>
      <c r="X136" s="2078"/>
      <c r="Y136" s="2079"/>
      <c r="Z136" s="2079"/>
      <c r="AA136" s="2079"/>
      <c r="AB136" s="2079"/>
      <c r="AC136" s="2079"/>
      <c r="AD136" s="2079"/>
      <c r="AE136" s="2079"/>
      <c r="AF136" s="2079"/>
      <c r="AG136" s="2079"/>
      <c r="AH136" s="2079"/>
      <c r="AI136" s="2079"/>
      <c r="AJ136" s="2079"/>
      <c r="AK136" s="2079"/>
      <c r="AL136" s="2079"/>
      <c r="AM136" s="2079"/>
      <c r="AN136" s="2079"/>
      <c r="AO136" s="2079"/>
      <c r="AP136" s="2079"/>
      <c r="AQ136" s="2079"/>
      <c r="AR136" s="2079"/>
      <c r="AS136" s="2079"/>
      <c r="AT136" s="2079"/>
      <c r="AU136" s="2079"/>
      <c r="AV136" s="2079"/>
      <c r="AW136" s="2079"/>
      <c r="AX136" s="2079"/>
      <c r="AY136" s="2079"/>
      <c r="AZ136" s="2079"/>
      <c r="BA136" s="2079"/>
      <c r="BB136" s="2079"/>
      <c r="BC136" s="2079"/>
      <c r="BD136" s="2080"/>
      <c r="BE136" s="1194"/>
    </row>
    <row r="137" spans="1:57" ht="15.75" customHeight="1" thickBot="1">
      <c r="A137" s="1190"/>
      <c r="B137" s="2114" t="s">
        <v>2343</v>
      </c>
      <c r="C137" s="2115"/>
      <c r="D137" s="2115"/>
      <c r="E137" s="2115"/>
      <c r="F137" s="2115"/>
      <c r="G137" s="2115"/>
      <c r="H137" s="2115"/>
      <c r="I137" s="2104">
        <v>0</v>
      </c>
      <c r="J137" s="2104"/>
      <c r="K137" s="2104"/>
      <c r="L137" s="2104"/>
      <c r="M137" s="2104"/>
      <c r="N137" s="2104"/>
      <c r="O137" s="2104"/>
      <c r="P137" s="2104">
        <v>0</v>
      </c>
      <c r="Q137" s="2104"/>
      <c r="R137" s="2104"/>
      <c r="S137" s="2104"/>
      <c r="T137" s="2104"/>
      <c r="U137" s="2105"/>
      <c r="V137" s="1190"/>
      <c r="W137" s="1190"/>
      <c r="X137" s="2081"/>
      <c r="Y137" s="2082"/>
      <c r="Z137" s="2082"/>
      <c r="AA137" s="2082"/>
      <c r="AB137" s="2082"/>
      <c r="AC137" s="2082"/>
      <c r="AD137" s="2082"/>
      <c r="AE137" s="2082"/>
      <c r="AF137" s="2082"/>
      <c r="AG137" s="2082"/>
      <c r="AH137" s="2082"/>
      <c r="AI137" s="2082"/>
      <c r="AJ137" s="2082"/>
      <c r="AK137" s="2082"/>
      <c r="AL137" s="2082"/>
      <c r="AM137" s="2082"/>
      <c r="AN137" s="2082"/>
      <c r="AO137" s="2082"/>
      <c r="AP137" s="2082"/>
      <c r="AQ137" s="2082"/>
      <c r="AR137" s="2082"/>
      <c r="AS137" s="2082"/>
      <c r="AT137" s="2082"/>
      <c r="AU137" s="2082"/>
      <c r="AV137" s="2082"/>
      <c r="AW137" s="2082"/>
      <c r="AX137" s="2082"/>
      <c r="AY137" s="2082"/>
      <c r="AZ137" s="2082"/>
      <c r="BA137" s="2082"/>
      <c r="BB137" s="2082"/>
      <c r="BC137" s="2082"/>
      <c r="BD137" s="2083"/>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52" t="s">
        <v>2357</v>
      </c>
      <c r="C139" s="2153"/>
      <c r="D139" s="2153"/>
      <c r="E139" s="2153"/>
      <c r="F139" s="2153"/>
      <c r="G139" s="2153"/>
      <c r="H139" s="2153"/>
      <c r="I139" s="2153"/>
      <c r="J139" s="2153"/>
      <c r="K139" s="2153"/>
      <c r="L139" s="2153"/>
      <c r="M139" s="2153"/>
      <c r="N139" s="2153"/>
      <c r="O139" s="2153"/>
      <c r="P139" s="2153"/>
      <c r="Q139" s="2153"/>
      <c r="R139" s="2153"/>
      <c r="S139" s="2153"/>
      <c r="T139" s="2153"/>
      <c r="U139" s="2153"/>
      <c r="V139" s="2153"/>
      <c r="W139" s="2153"/>
      <c r="X139" s="2153"/>
      <c r="Y139" s="2153"/>
      <c r="Z139" s="2153"/>
      <c r="AA139" s="2153"/>
      <c r="AB139" s="2153"/>
      <c r="AC139" s="2153"/>
      <c r="AD139" s="2153"/>
      <c r="AE139" s="2153"/>
      <c r="AF139" s="2153"/>
      <c r="AG139" s="2153"/>
      <c r="AH139" s="2037" t="s">
        <v>544</v>
      </c>
      <c r="AI139" s="2037"/>
      <c r="AJ139" s="2037"/>
      <c r="AK139" s="2037"/>
      <c r="AL139" s="2037"/>
      <c r="AM139" s="2037"/>
      <c r="AN139" s="2037"/>
      <c r="AO139" s="2037"/>
      <c r="AP139" s="2037"/>
      <c r="AQ139" s="2037"/>
      <c r="AR139" s="2037"/>
      <c r="AS139" s="2037"/>
      <c r="AT139" s="2037"/>
      <c r="AU139" s="2037"/>
      <c r="AV139" s="2037"/>
      <c r="AW139" s="2037"/>
      <c r="AX139" s="2038"/>
      <c r="AY139" s="1190"/>
      <c r="AZ139" s="1190"/>
      <c r="BA139" s="1190"/>
      <c r="BB139" s="1190"/>
      <c r="BC139" s="1190"/>
      <c r="BD139" s="1190"/>
      <c r="BE139" s="1194"/>
    </row>
    <row r="140" spans="1:57" ht="15.75" customHeight="1" thickBot="1">
      <c r="A140" s="1190"/>
      <c r="B140" s="2139" t="s">
        <v>2356</v>
      </c>
      <c r="C140" s="2140"/>
      <c r="D140" s="2140"/>
      <c r="E140" s="2140"/>
      <c r="F140" s="2140"/>
      <c r="G140" s="2140"/>
      <c r="H140" s="2140"/>
      <c r="I140" s="2140"/>
      <c r="J140" s="2140"/>
      <c r="K140" s="2140"/>
      <c r="L140" s="2140"/>
      <c r="M140" s="2140"/>
      <c r="N140" s="2140"/>
      <c r="O140" s="2140"/>
      <c r="P140" s="2140"/>
      <c r="Q140" s="2140"/>
      <c r="R140" s="2140"/>
      <c r="S140" s="2140"/>
      <c r="T140" s="2140"/>
      <c r="U140" s="2140"/>
      <c r="V140" s="2140"/>
      <c r="W140" s="2140"/>
      <c r="X140" s="2140"/>
      <c r="Y140" s="2140"/>
      <c r="Z140" s="2140"/>
      <c r="AA140" s="2140"/>
      <c r="AB140" s="2140"/>
      <c r="AC140" s="2140"/>
      <c r="AD140" s="2140"/>
      <c r="AE140" s="2140"/>
      <c r="AF140" s="2140"/>
      <c r="AG140" s="2141"/>
      <c r="AH140" s="2106"/>
      <c r="AI140" s="2107"/>
      <c r="AJ140" s="2107"/>
      <c r="AK140" s="2107"/>
      <c r="AL140" s="2107"/>
      <c r="AM140" s="2107"/>
      <c r="AN140" s="2107"/>
      <c r="AO140" s="2107"/>
      <c r="AP140" s="2107"/>
      <c r="AQ140" s="2107"/>
      <c r="AR140" s="2107"/>
      <c r="AS140" s="2107"/>
      <c r="AT140" s="2107"/>
      <c r="AU140" s="2107"/>
      <c r="AV140" s="2107"/>
      <c r="AW140" s="2107"/>
      <c r="AX140" s="2108"/>
      <c r="AY140" s="1190"/>
      <c r="AZ140" s="1190"/>
      <c r="BA140" s="1190"/>
      <c r="BB140" s="1190"/>
      <c r="BC140" s="1190"/>
      <c r="BD140" s="1190"/>
      <c r="BE140" s="1194"/>
    </row>
    <row r="141" spans="1:57" ht="15.75" customHeight="1">
      <c r="A141" s="1190"/>
      <c r="B141" s="2139" t="s">
        <v>2355</v>
      </c>
      <c r="C141" s="2140"/>
      <c r="D141" s="2140"/>
      <c r="E141" s="2140"/>
      <c r="F141" s="2140"/>
      <c r="G141" s="2140"/>
      <c r="H141" s="2140"/>
      <c r="I141" s="2140"/>
      <c r="J141" s="2140"/>
      <c r="K141" s="2140"/>
      <c r="L141" s="2140"/>
      <c r="M141" s="2140"/>
      <c r="N141" s="2140"/>
      <c r="O141" s="2140"/>
      <c r="P141" s="2140"/>
      <c r="Q141" s="2140"/>
      <c r="R141" s="2140"/>
      <c r="S141" s="2140"/>
      <c r="T141" s="2140"/>
      <c r="U141" s="2140"/>
      <c r="V141" s="2140"/>
      <c r="W141" s="2140"/>
      <c r="X141" s="2140"/>
      <c r="Y141" s="2140"/>
      <c r="Z141" s="2140"/>
      <c r="AA141" s="2140"/>
      <c r="AB141" s="2140"/>
      <c r="AC141" s="2140"/>
      <c r="AD141" s="2140"/>
      <c r="AE141" s="2140"/>
      <c r="AF141" s="2140"/>
      <c r="AG141" s="2141"/>
      <c r="AH141" s="2037" t="s">
        <v>544</v>
      </c>
      <c r="AI141" s="2037"/>
      <c r="AJ141" s="2037"/>
      <c r="AK141" s="2037"/>
      <c r="AL141" s="2037"/>
      <c r="AM141" s="2037"/>
      <c r="AN141" s="2037"/>
      <c r="AO141" s="2037"/>
      <c r="AP141" s="2037"/>
      <c r="AQ141" s="2037"/>
      <c r="AR141" s="2037"/>
      <c r="AS141" s="2037"/>
      <c r="AT141" s="2037"/>
      <c r="AU141" s="2037"/>
      <c r="AV141" s="2037"/>
      <c r="AW141" s="2037"/>
      <c r="AX141" s="2038"/>
      <c r="AY141" s="1190"/>
      <c r="AZ141" s="1190"/>
      <c r="BA141" s="1190"/>
      <c r="BB141" s="1190"/>
      <c r="BC141" s="1190"/>
      <c r="BD141" s="1190"/>
      <c r="BE141" s="1194"/>
    </row>
    <row r="142" spans="1:57" ht="15.75" customHeight="1">
      <c r="A142" s="1190"/>
      <c r="B142" s="2142" t="s">
        <v>2354</v>
      </c>
      <c r="C142" s="2143"/>
      <c r="D142" s="2143"/>
      <c r="E142" s="2143"/>
      <c r="F142" s="2143"/>
      <c r="G142" s="2143"/>
      <c r="H142" s="2143"/>
      <c r="I142" s="2143"/>
      <c r="J142" s="2143"/>
      <c r="K142" s="2143"/>
      <c r="L142" s="2143"/>
      <c r="M142" s="2143"/>
      <c r="N142" s="2143"/>
      <c r="O142" s="2143"/>
      <c r="P142" s="2143"/>
      <c r="Q142" s="2143"/>
      <c r="R142" s="2144" t="s">
        <v>2353</v>
      </c>
      <c r="S142" s="2144"/>
      <c r="T142" s="2144"/>
      <c r="U142" s="2144"/>
      <c r="V142" s="2144"/>
      <c r="W142" s="2144"/>
      <c r="X142" s="2144"/>
      <c r="Y142" s="2144"/>
      <c r="Z142" s="2144"/>
      <c r="AA142" s="2144"/>
      <c r="AB142" s="2144"/>
      <c r="AC142" s="2144"/>
      <c r="AD142" s="2144"/>
      <c r="AE142" s="2144"/>
      <c r="AF142" s="2144"/>
      <c r="AG142" s="2144"/>
      <c r="AH142" s="2144"/>
      <c r="AI142" s="2144"/>
      <c r="AJ142" s="2144"/>
      <c r="AK142" s="2144"/>
      <c r="AL142" s="2144"/>
      <c r="AM142" s="2144"/>
      <c r="AN142" s="2144"/>
      <c r="AO142" s="2144"/>
      <c r="AP142" s="2144"/>
      <c r="AQ142" s="2144"/>
      <c r="AR142" s="2144"/>
      <c r="AS142" s="2144"/>
      <c r="AT142" s="2144"/>
      <c r="AU142" s="2144"/>
      <c r="AV142" s="2144"/>
      <c r="AW142" s="2144"/>
      <c r="AX142" s="2145"/>
      <c r="AY142" s="1190"/>
      <c r="AZ142" s="1190"/>
      <c r="BA142" s="1190"/>
      <c r="BB142" s="1190"/>
      <c r="BC142" s="1190" t="s">
        <v>249</v>
      </c>
      <c r="BD142" s="1190"/>
      <c r="BE142" s="1194"/>
    </row>
    <row r="143" spans="1:57" ht="15.75" customHeight="1">
      <c r="A143" s="1190"/>
      <c r="B143" s="2146" t="s">
        <v>2352</v>
      </c>
      <c r="C143" s="2147"/>
      <c r="D143" s="2147"/>
      <c r="E143" s="2147"/>
      <c r="F143" s="2147"/>
      <c r="G143" s="2147"/>
      <c r="H143" s="2147"/>
      <c r="I143" s="2147"/>
      <c r="J143" s="2147"/>
      <c r="K143" s="2147"/>
      <c r="L143" s="2147"/>
      <c r="M143" s="2147"/>
      <c r="N143" s="2147"/>
      <c r="O143" s="2147"/>
      <c r="P143" s="2147"/>
      <c r="Q143" s="2147"/>
      <c r="R143" s="2147"/>
      <c r="S143" s="2147"/>
      <c r="T143" s="2147"/>
      <c r="U143" s="2147"/>
      <c r="V143" s="2147"/>
      <c r="W143" s="2147"/>
      <c r="X143" s="2147"/>
      <c r="Y143" s="2147"/>
      <c r="Z143" s="2147"/>
      <c r="AA143" s="2147"/>
      <c r="AB143" s="2147"/>
      <c r="AC143" s="2147"/>
      <c r="AD143" s="2147"/>
      <c r="AE143" s="2147"/>
      <c r="AF143" s="2147"/>
      <c r="AG143" s="2147"/>
      <c r="AH143" s="2147"/>
      <c r="AI143" s="2147"/>
      <c r="AJ143" s="2147"/>
      <c r="AK143" s="2147"/>
      <c r="AL143" s="2147"/>
      <c r="AM143" s="2147"/>
      <c r="AN143" s="2147"/>
      <c r="AO143" s="2147"/>
      <c r="AP143" s="2147"/>
      <c r="AQ143" s="2147"/>
      <c r="AR143" s="2147"/>
      <c r="AS143" s="2147"/>
      <c r="AT143" s="2147"/>
      <c r="AU143" s="2147"/>
      <c r="AV143" s="2147"/>
      <c r="AW143" s="2147"/>
      <c r="AX143" s="2148"/>
      <c r="AY143" s="1190"/>
      <c r="AZ143" s="1190"/>
      <c r="BA143" s="1190"/>
      <c r="BB143" s="1190"/>
      <c r="BC143" s="1190"/>
      <c r="BD143" s="1190"/>
      <c r="BE143" s="1194"/>
    </row>
    <row r="144" spans="1:57" ht="15.75" customHeight="1">
      <c r="A144" s="1190"/>
      <c r="B144" s="2146"/>
      <c r="C144" s="2147"/>
      <c r="D144" s="2147"/>
      <c r="E144" s="2147"/>
      <c r="F144" s="2147"/>
      <c r="G144" s="2147"/>
      <c r="H144" s="2147"/>
      <c r="I144" s="2147"/>
      <c r="J144" s="2147"/>
      <c r="K144" s="2147"/>
      <c r="L144" s="2147"/>
      <c r="M144" s="2147"/>
      <c r="N144" s="2147"/>
      <c r="O144" s="2147"/>
      <c r="P144" s="2147"/>
      <c r="Q144" s="2147"/>
      <c r="R144" s="2147"/>
      <c r="S144" s="2147"/>
      <c r="T144" s="2147"/>
      <c r="U144" s="2147"/>
      <c r="V144" s="2147"/>
      <c r="W144" s="2147"/>
      <c r="X144" s="2147"/>
      <c r="Y144" s="2147"/>
      <c r="Z144" s="2147"/>
      <c r="AA144" s="2147"/>
      <c r="AB144" s="2147"/>
      <c r="AC144" s="2147"/>
      <c r="AD144" s="2147"/>
      <c r="AE144" s="2147"/>
      <c r="AF144" s="2147"/>
      <c r="AG144" s="2147"/>
      <c r="AH144" s="2147"/>
      <c r="AI144" s="2147"/>
      <c r="AJ144" s="2147"/>
      <c r="AK144" s="2147"/>
      <c r="AL144" s="2147"/>
      <c r="AM144" s="2147"/>
      <c r="AN144" s="2147"/>
      <c r="AO144" s="2147"/>
      <c r="AP144" s="2147"/>
      <c r="AQ144" s="2147"/>
      <c r="AR144" s="2147"/>
      <c r="AS144" s="2147"/>
      <c r="AT144" s="2147"/>
      <c r="AU144" s="2147"/>
      <c r="AV144" s="2147"/>
      <c r="AW144" s="2147"/>
      <c r="AX144" s="2148"/>
      <c r="AY144" s="1190"/>
      <c r="AZ144" s="1190"/>
      <c r="BA144" s="1190"/>
      <c r="BB144" s="1190"/>
      <c r="BC144" s="1190"/>
      <c r="BD144" s="1190"/>
      <c r="BE144" s="1194"/>
    </row>
    <row r="145" spans="1:57" ht="15.75" customHeight="1">
      <c r="A145" s="1190"/>
      <c r="B145" s="2146"/>
      <c r="C145" s="2147"/>
      <c r="D145" s="2147"/>
      <c r="E145" s="2147"/>
      <c r="F145" s="2147"/>
      <c r="G145" s="2147"/>
      <c r="H145" s="2147"/>
      <c r="I145" s="2147"/>
      <c r="J145" s="2147"/>
      <c r="K145" s="2147"/>
      <c r="L145" s="2147"/>
      <c r="M145" s="2147"/>
      <c r="N145" s="2147"/>
      <c r="O145" s="2147"/>
      <c r="P145" s="2147"/>
      <c r="Q145" s="2147"/>
      <c r="R145" s="2147"/>
      <c r="S145" s="2147"/>
      <c r="T145" s="2147"/>
      <c r="U145" s="2147"/>
      <c r="V145" s="2147"/>
      <c r="W145" s="2147"/>
      <c r="X145" s="2147"/>
      <c r="Y145" s="2147"/>
      <c r="Z145" s="2147"/>
      <c r="AA145" s="2147"/>
      <c r="AB145" s="2147"/>
      <c r="AC145" s="2147"/>
      <c r="AD145" s="2147"/>
      <c r="AE145" s="2147"/>
      <c r="AF145" s="2147"/>
      <c r="AG145" s="2147"/>
      <c r="AH145" s="2147"/>
      <c r="AI145" s="2147"/>
      <c r="AJ145" s="2147"/>
      <c r="AK145" s="2147"/>
      <c r="AL145" s="2147"/>
      <c r="AM145" s="2147"/>
      <c r="AN145" s="2147"/>
      <c r="AO145" s="2147"/>
      <c r="AP145" s="2147"/>
      <c r="AQ145" s="2147"/>
      <c r="AR145" s="2147"/>
      <c r="AS145" s="2147"/>
      <c r="AT145" s="2147"/>
      <c r="AU145" s="2147"/>
      <c r="AV145" s="2147"/>
      <c r="AW145" s="2147"/>
      <c r="AX145" s="2148"/>
      <c r="AY145" s="1190"/>
      <c r="AZ145" s="1190"/>
      <c r="BA145" s="1190"/>
      <c r="BB145" s="1190"/>
      <c r="BC145" s="1190"/>
      <c r="BD145" s="1190"/>
      <c r="BE145" s="1194"/>
    </row>
    <row r="146" spans="1:57" ht="15.75" customHeight="1">
      <c r="A146" s="1190"/>
      <c r="B146" s="2146"/>
      <c r="C146" s="2147"/>
      <c r="D146" s="2147"/>
      <c r="E146" s="2147"/>
      <c r="F146" s="2147"/>
      <c r="G146" s="2147"/>
      <c r="H146" s="2147"/>
      <c r="I146" s="2147"/>
      <c r="J146" s="2147"/>
      <c r="K146" s="2147"/>
      <c r="L146" s="2147"/>
      <c r="M146" s="2147"/>
      <c r="N146" s="2147"/>
      <c r="O146" s="2147"/>
      <c r="P146" s="2147"/>
      <c r="Q146" s="2147"/>
      <c r="R146" s="2147"/>
      <c r="S146" s="2147"/>
      <c r="T146" s="2147"/>
      <c r="U146" s="2147"/>
      <c r="V146" s="2147"/>
      <c r="W146" s="2147"/>
      <c r="X146" s="2147"/>
      <c r="Y146" s="2147"/>
      <c r="Z146" s="2147"/>
      <c r="AA146" s="2147"/>
      <c r="AB146" s="2147"/>
      <c r="AC146" s="2147"/>
      <c r="AD146" s="2147"/>
      <c r="AE146" s="2147"/>
      <c r="AF146" s="2147"/>
      <c r="AG146" s="2147"/>
      <c r="AH146" s="2147"/>
      <c r="AI146" s="2147"/>
      <c r="AJ146" s="2147"/>
      <c r="AK146" s="2147"/>
      <c r="AL146" s="2147"/>
      <c r="AM146" s="2147"/>
      <c r="AN146" s="2147"/>
      <c r="AO146" s="2147"/>
      <c r="AP146" s="2147"/>
      <c r="AQ146" s="2147"/>
      <c r="AR146" s="2147"/>
      <c r="AS146" s="2147"/>
      <c r="AT146" s="2147"/>
      <c r="AU146" s="2147"/>
      <c r="AV146" s="2147"/>
      <c r="AW146" s="2147"/>
      <c r="AX146" s="2148"/>
      <c r="AY146" s="1190"/>
      <c r="AZ146" s="1190"/>
      <c r="BA146" s="1190"/>
      <c r="BB146" s="1190"/>
      <c r="BC146" s="1190"/>
      <c r="BD146" s="1190"/>
      <c r="BE146" s="1194"/>
    </row>
    <row r="147" spans="1:57" ht="15.75" customHeight="1">
      <c r="A147" s="1190"/>
      <c r="B147" s="2146"/>
      <c r="C147" s="2147"/>
      <c r="D147" s="2147"/>
      <c r="E147" s="2147"/>
      <c r="F147" s="2147"/>
      <c r="G147" s="2147"/>
      <c r="H147" s="2147"/>
      <c r="I147" s="2147"/>
      <c r="J147" s="2147"/>
      <c r="K147" s="2147"/>
      <c r="L147" s="2147"/>
      <c r="M147" s="2147"/>
      <c r="N147" s="2147"/>
      <c r="O147" s="2147"/>
      <c r="P147" s="2147"/>
      <c r="Q147" s="2147"/>
      <c r="R147" s="2147"/>
      <c r="S147" s="2147"/>
      <c r="T147" s="2147"/>
      <c r="U147" s="2147"/>
      <c r="V147" s="2147"/>
      <c r="W147" s="2147"/>
      <c r="X147" s="2147"/>
      <c r="Y147" s="2147"/>
      <c r="Z147" s="2147"/>
      <c r="AA147" s="2147"/>
      <c r="AB147" s="2147"/>
      <c r="AC147" s="2147"/>
      <c r="AD147" s="2147"/>
      <c r="AE147" s="2147"/>
      <c r="AF147" s="2147"/>
      <c r="AG147" s="2147"/>
      <c r="AH147" s="2147"/>
      <c r="AI147" s="2147"/>
      <c r="AJ147" s="2147"/>
      <c r="AK147" s="2147"/>
      <c r="AL147" s="2147"/>
      <c r="AM147" s="2147"/>
      <c r="AN147" s="2147"/>
      <c r="AO147" s="2147"/>
      <c r="AP147" s="2147"/>
      <c r="AQ147" s="2147"/>
      <c r="AR147" s="2147"/>
      <c r="AS147" s="2147"/>
      <c r="AT147" s="2147"/>
      <c r="AU147" s="2147"/>
      <c r="AV147" s="2147"/>
      <c r="AW147" s="2147"/>
      <c r="AX147" s="2148"/>
      <c r="AY147" s="1190"/>
      <c r="AZ147" s="1190"/>
      <c r="BA147" s="1190"/>
      <c r="BB147" s="1190"/>
      <c r="BC147" s="1190"/>
      <c r="BD147" s="1190"/>
      <c r="BE147" s="1194"/>
    </row>
    <row r="148" spans="1:57" ht="15.75" customHeight="1">
      <c r="A148" s="1190"/>
      <c r="B148" s="2146"/>
      <c r="C148" s="2147"/>
      <c r="D148" s="2147"/>
      <c r="E148" s="2147"/>
      <c r="F148" s="2147"/>
      <c r="G148" s="2147"/>
      <c r="H148" s="2147"/>
      <c r="I148" s="2147"/>
      <c r="J148" s="2147"/>
      <c r="K148" s="2147"/>
      <c r="L148" s="2147"/>
      <c r="M148" s="2147"/>
      <c r="N148" s="2147"/>
      <c r="O148" s="2147"/>
      <c r="P148" s="2147"/>
      <c r="Q148" s="2147"/>
      <c r="R148" s="2147"/>
      <c r="S148" s="2147"/>
      <c r="T148" s="2147"/>
      <c r="U148" s="2147"/>
      <c r="V148" s="2147"/>
      <c r="W148" s="2147"/>
      <c r="X148" s="2147"/>
      <c r="Y148" s="2147"/>
      <c r="Z148" s="2147"/>
      <c r="AA148" s="2147"/>
      <c r="AB148" s="2147"/>
      <c r="AC148" s="2147"/>
      <c r="AD148" s="2147"/>
      <c r="AE148" s="2147"/>
      <c r="AF148" s="2147"/>
      <c r="AG148" s="2147"/>
      <c r="AH148" s="2147"/>
      <c r="AI148" s="2147"/>
      <c r="AJ148" s="2147"/>
      <c r="AK148" s="2147"/>
      <c r="AL148" s="2147"/>
      <c r="AM148" s="2147"/>
      <c r="AN148" s="2147"/>
      <c r="AO148" s="2147"/>
      <c r="AP148" s="2147"/>
      <c r="AQ148" s="2147"/>
      <c r="AR148" s="2147"/>
      <c r="AS148" s="2147"/>
      <c r="AT148" s="2147"/>
      <c r="AU148" s="2147"/>
      <c r="AV148" s="2147"/>
      <c r="AW148" s="2147"/>
      <c r="AX148" s="2148"/>
      <c r="AY148" s="1190"/>
      <c r="AZ148" s="1190"/>
      <c r="BA148" s="1190"/>
      <c r="BB148" s="1190"/>
      <c r="BC148" s="1190"/>
      <c r="BD148" s="1190"/>
      <c r="BE148" s="1194"/>
    </row>
    <row r="149" spans="1:57" ht="15.75" customHeight="1">
      <c r="A149" s="1190"/>
      <c r="B149" s="2146"/>
      <c r="C149" s="2147"/>
      <c r="D149" s="2147"/>
      <c r="E149" s="2147"/>
      <c r="F149" s="2147"/>
      <c r="G149" s="2147"/>
      <c r="H149" s="2147"/>
      <c r="I149" s="2147"/>
      <c r="J149" s="2147"/>
      <c r="K149" s="2147"/>
      <c r="L149" s="2147"/>
      <c r="M149" s="2147"/>
      <c r="N149" s="2147"/>
      <c r="O149" s="2147"/>
      <c r="P149" s="2147"/>
      <c r="Q149" s="2147"/>
      <c r="R149" s="2147"/>
      <c r="S149" s="2147"/>
      <c r="T149" s="2147"/>
      <c r="U149" s="2147"/>
      <c r="V149" s="2147"/>
      <c r="W149" s="2147"/>
      <c r="X149" s="2147"/>
      <c r="Y149" s="2147"/>
      <c r="Z149" s="2147"/>
      <c r="AA149" s="2147"/>
      <c r="AB149" s="2147"/>
      <c r="AC149" s="2147"/>
      <c r="AD149" s="2147"/>
      <c r="AE149" s="2147"/>
      <c r="AF149" s="2147"/>
      <c r="AG149" s="2147"/>
      <c r="AH149" s="2147"/>
      <c r="AI149" s="2147"/>
      <c r="AJ149" s="2147"/>
      <c r="AK149" s="2147"/>
      <c r="AL149" s="2147"/>
      <c r="AM149" s="2147"/>
      <c r="AN149" s="2147"/>
      <c r="AO149" s="2147"/>
      <c r="AP149" s="2147"/>
      <c r="AQ149" s="2147"/>
      <c r="AR149" s="2147"/>
      <c r="AS149" s="2147"/>
      <c r="AT149" s="2147"/>
      <c r="AU149" s="2147"/>
      <c r="AV149" s="2147"/>
      <c r="AW149" s="2147"/>
      <c r="AX149" s="2148"/>
      <c r="AY149" s="1190"/>
      <c r="AZ149" s="1190"/>
      <c r="BA149" s="1190"/>
      <c r="BB149" s="1190"/>
      <c r="BC149" s="1190"/>
      <c r="BD149" s="1190"/>
      <c r="BE149" s="1194"/>
    </row>
    <row r="150" spans="1:57" ht="15.75" customHeight="1">
      <c r="A150" s="1190"/>
      <c r="B150" s="2146"/>
      <c r="C150" s="2147"/>
      <c r="D150" s="2147"/>
      <c r="E150" s="2147"/>
      <c r="F150" s="2147"/>
      <c r="G150" s="2147"/>
      <c r="H150" s="2147"/>
      <c r="I150" s="2147"/>
      <c r="J150" s="2147"/>
      <c r="K150" s="2147"/>
      <c r="L150" s="2147"/>
      <c r="M150" s="2147"/>
      <c r="N150" s="2147"/>
      <c r="O150" s="2147"/>
      <c r="P150" s="2147"/>
      <c r="Q150" s="2147"/>
      <c r="R150" s="2147"/>
      <c r="S150" s="2147"/>
      <c r="T150" s="2147"/>
      <c r="U150" s="2147"/>
      <c r="V150" s="2147"/>
      <c r="W150" s="2147"/>
      <c r="X150" s="2147"/>
      <c r="Y150" s="2147"/>
      <c r="Z150" s="2147"/>
      <c r="AA150" s="2147"/>
      <c r="AB150" s="2147"/>
      <c r="AC150" s="2147"/>
      <c r="AD150" s="2147"/>
      <c r="AE150" s="2147"/>
      <c r="AF150" s="2147"/>
      <c r="AG150" s="2147"/>
      <c r="AH150" s="2147"/>
      <c r="AI150" s="2147"/>
      <c r="AJ150" s="2147"/>
      <c r="AK150" s="2147"/>
      <c r="AL150" s="2147"/>
      <c r="AM150" s="2147"/>
      <c r="AN150" s="2147"/>
      <c r="AO150" s="2147"/>
      <c r="AP150" s="2147"/>
      <c r="AQ150" s="2147"/>
      <c r="AR150" s="2147"/>
      <c r="AS150" s="2147"/>
      <c r="AT150" s="2147"/>
      <c r="AU150" s="2147"/>
      <c r="AV150" s="2147"/>
      <c r="AW150" s="2147"/>
      <c r="AX150" s="2148"/>
      <c r="AY150" s="1190"/>
      <c r="AZ150" s="1190"/>
      <c r="BA150" s="1190"/>
      <c r="BB150" s="1190"/>
      <c r="BC150" s="1190"/>
      <c r="BD150" s="1190"/>
      <c r="BE150" s="1194"/>
    </row>
    <row r="151" spans="1:57" ht="15.75" customHeight="1">
      <c r="A151" s="1190"/>
      <c r="B151" s="2146"/>
      <c r="C151" s="2147"/>
      <c r="D151" s="2147"/>
      <c r="E151" s="2147"/>
      <c r="F151" s="2147"/>
      <c r="G151" s="2147"/>
      <c r="H151" s="2147"/>
      <c r="I151" s="2147"/>
      <c r="J151" s="2147"/>
      <c r="K151" s="2147"/>
      <c r="L151" s="2147"/>
      <c r="M151" s="2147"/>
      <c r="N151" s="2147"/>
      <c r="O151" s="2147"/>
      <c r="P151" s="2147"/>
      <c r="Q151" s="2147"/>
      <c r="R151" s="2147"/>
      <c r="S151" s="2147"/>
      <c r="T151" s="2147"/>
      <c r="U151" s="2147"/>
      <c r="V151" s="2147"/>
      <c r="W151" s="2147"/>
      <c r="X151" s="2147"/>
      <c r="Y151" s="2147"/>
      <c r="Z151" s="2147"/>
      <c r="AA151" s="2147"/>
      <c r="AB151" s="2147"/>
      <c r="AC151" s="2147"/>
      <c r="AD151" s="2147"/>
      <c r="AE151" s="2147"/>
      <c r="AF151" s="2147"/>
      <c r="AG151" s="2147"/>
      <c r="AH151" s="2147"/>
      <c r="AI151" s="2147"/>
      <c r="AJ151" s="2147"/>
      <c r="AK151" s="2147"/>
      <c r="AL151" s="2147"/>
      <c r="AM151" s="2147"/>
      <c r="AN151" s="2147"/>
      <c r="AO151" s="2147"/>
      <c r="AP151" s="2147"/>
      <c r="AQ151" s="2147"/>
      <c r="AR151" s="2147"/>
      <c r="AS151" s="2147"/>
      <c r="AT151" s="2147"/>
      <c r="AU151" s="2147"/>
      <c r="AV151" s="2147"/>
      <c r="AW151" s="2147"/>
      <c r="AX151" s="2148"/>
      <c r="AY151" s="1190"/>
      <c r="AZ151" s="1190"/>
      <c r="BA151" s="1190"/>
      <c r="BB151" s="1190"/>
      <c r="BC151" s="1190"/>
      <c r="BD151" s="1190"/>
      <c r="BE151" s="1194"/>
    </row>
    <row r="152" spans="1:57" ht="15.75" customHeight="1" thickBot="1">
      <c r="A152" s="1190"/>
      <c r="B152" s="2149"/>
      <c r="C152" s="2150"/>
      <c r="D152" s="2150"/>
      <c r="E152" s="2150"/>
      <c r="F152" s="2150"/>
      <c r="G152" s="2150"/>
      <c r="H152" s="2150"/>
      <c r="I152" s="2150"/>
      <c r="J152" s="2150"/>
      <c r="K152" s="2150"/>
      <c r="L152" s="2150"/>
      <c r="M152" s="2150"/>
      <c r="N152" s="2150"/>
      <c r="O152" s="2150"/>
      <c r="P152" s="2150"/>
      <c r="Q152" s="2150"/>
      <c r="R152" s="2150"/>
      <c r="S152" s="2150"/>
      <c r="T152" s="2150"/>
      <c r="U152" s="2150"/>
      <c r="V152" s="2150"/>
      <c r="W152" s="2150"/>
      <c r="X152" s="2150"/>
      <c r="Y152" s="2150"/>
      <c r="Z152" s="2150"/>
      <c r="AA152" s="2150"/>
      <c r="AB152" s="2150"/>
      <c r="AC152" s="2150"/>
      <c r="AD152" s="2150"/>
      <c r="AE152" s="2150"/>
      <c r="AF152" s="2150"/>
      <c r="AG152" s="2150"/>
      <c r="AH152" s="2150"/>
      <c r="AI152" s="2150"/>
      <c r="AJ152" s="2150"/>
      <c r="AK152" s="2150"/>
      <c r="AL152" s="2150"/>
      <c r="AM152" s="2150"/>
      <c r="AN152" s="2150"/>
      <c r="AO152" s="2150"/>
      <c r="AP152" s="2150"/>
      <c r="AQ152" s="2150"/>
      <c r="AR152" s="2150"/>
      <c r="AS152" s="2150"/>
      <c r="AT152" s="2150"/>
      <c r="AU152" s="2150"/>
      <c r="AV152" s="2150"/>
      <c r="AW152" s="2150"/>
      <c r="AX152" s="2151"/>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2351</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2350</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9" t="s">
        <v>2349</v>
      </c>
      <c r="C156" s="2010"/>
      <c r="D156" s="2010"/>
      <c r="E156" s="2010"/>
      <c r="F156" s="2010"/>
      <c r="G156" s="2010"/>
      <c r="H156" s="2010"/>
      <c r="I156" s="2010"/>
      <c r="J156" s="2010"/>
      <c r="K156" s="2010"/>
      <c r="L156" s="2010"/>
      <c r="M156" s="2010"/>
      <c r="N156" s="2010"/>
      <c r="O156" s="2010"/>
      <c r="P156" s="2010"/>
      <c r="Q156" s="2010"/>
      <c r="R156" s="2010"/>
      <c r="S156" s="2010"/>
      <c r="T156" s="2010"/>
      <c r="U156" s="2011"/>
      <c r="V156" s="1190"/>
      <c r="W156" s="1192"/>
      <c r="X156" s="2009" t="s">
        <v>2348</v>
      </c>
      <c r="Y156" s="2010"/>
      <c r="Z156" s="2010"/>
      <c r="AA156" s="2010"/>
      <c r="AB156" s="2010"/>
      <c r="AC156" s="2010"/>
      <c r="AD156" s="2010"/>
      <c r="AE156" s="2010"/>
      <c r="AF156" s="2010"/>
      <c r="AG156" s="2010"/>
      <c r="AH156" s="2010"/>
      <c r="AI156" s="2010"/>
      <c r="AJ156" s="2010"/>
      <c r="AK156" s="2010"/>
      <c r="AL156" s="2010"/>
      <c r="AM156" s="2010"/>
      <c r="AN156" s="2010"/>
      <c r="AO156" s="2010"/>
      <c r="AP156" s="2010"/>
      <c r="AQ156" s="2011"/>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4"/>
      <c r="C157" s="2155"/>
      <c r="D157" s="2155"/>
      <c r="E157" s="2155"/>
      <c r="F157" s="2155"/>
      <c r="G157" s="2155"/>
      <c r="H157" s="2155"/>
      <c r="I157" s="2156" t="s">
        <v>2346</v>
      </c>
      <c r="J157" s="2156"/>
      <c r="K157" s="2156"/>
      <c r="L157" s="2156"/>
      <c r="M157" s="2156"/>
      <c r="N157" s="2156"/>
      <c r="O157" s="2156"/>
      <c r="P157" s="2156" t="s">
        <v>2347</v>
      </c>
      <c r="Q157" s="2156"/>
      <c r="R157" s="2156"/>
      <c r="S157" s="2156"/>
      <c r="T157" s="2156"/>
      <c r="U157" s="2157"/>
      <c r="V157" s="1190"/>
      <c r="W157" s="1190"/>
      <c r="X157" s="2154"/>
      <c r="Y157" s="2155"/>
      <c r="Z157" s="2155"/>
      <c r="AA157" s="2155"/>
      <c r="AB157" s="2155"/>
      <c r="AC157" s="2155"/>
      <c r="AD157" s="2155"/>
      <c r="AE157" s="2156" t="s">
        <v>2346</v>
      </c>
      <c r="AF157" s="2156"/>
      <c r="AG157" s="2156"/>
      <c r="AH157" s="2156"/>
      <c r="AI157" s="2156"/>
      <c r="AJ157" s="2156"/>
      <c r="AK157" s="2156"/>
      <c r="AL157" s="2156" t="s">
        <v>2345</v>
      </c>
      <c r="AM157" s="2156"/>
      <c r="AN157" s="2156"/>
      <c r="AO157" s="2156"/>
      <c r="AP157" s="2156"/>
      <c r="AQ157" s="2157"/>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4"/>
      <c r="C158" s="2155"/>
      <c r="D158" s="2155"/>
      <c r="E158" s="2155"/>
      <c r="F158" s="2155"/>
      <c r="G158" s="2155"/>
      <c r="H158" s="2155"/>
      <c r="I158" s="2156"/>
      <c r="J158" s="2156"/>
      <c r="K158" s="2156"/>
      <c r="L158" s="2156"/>
      <c r="M158" s="2156"/>
      <c r="N158" s="2156"/>
      <c r="O158" s="2156"/>
      <c r="P158" s="2156"/>
      <c r="Q158" s="2156"/>
      <c r="R158" s="2156"/>
      <c r="S158" s="2156"/>
      <c r="T158" s="2156"/>
      <c r="U158" s="2157"/>
      <c r="V158" s="1190"/>
      <c r="W158" s="1190"/>
      <c r="X158" s="2154"/>
      <c r="Y158" s="2155"/>
      <c r="Z158" s="2155"/>
      <c r="AA158" s="2155"/>
      <c r="AB158" s="2155"/>
      <c r="AC158" s="2155"/>
      <c r="AD158" s="2155"/>
      <c r="AE158" s="2156"/>
      <c r="AF158" s="2156"/>
      <c r="AG158" s="2156"/>
      <c r="AH158" s="2156"/>
      <c r="AI158" s="2156"/>
      <c r="AJ158" s="2156"/>
      <c r="AK158" s="2156"/>
      <c r="AL158" s="2156"/>
      <c r="AM158" s="2156"/>
      <c r="AN158" s="2156"/>
      <c r="AO158" s="2156"/>
      <c r="AP158" s="2156"/>
      <c r="AQ158" s="2157"/>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12" t="s">
        <v>2344</v>
      </c>
      <c r="C159" s="2113"/>
      <c r="D159" s="2113"/>
      <c r="E159" s="2113"/>
      <c r="F159" s="2113"/>
      <c r="G159" s="2113"/>
      <c r="H159" s="2113"/>
      <c r="I159" s="2089">
        <v>0</v>
      </c>
      <c r="J159" s="2089"/>
      <c r="K159" s="2089"/>
      <c r="L159" s="2089"/>
      <c r="M159" s="2089"/>
      <c r="N159" s="2089"/>
      <c r="O159" s="2089"/>
      <c r="P159" s="2089">
        <v>0</v>
      </c>
      <c r="Q159" s="2089"/>
      <c r="R159" s="2089"/>
      <c r="S159" s="2089"/>
      <c r="T159" s="2089"/>
      <c r="U159" s="2090"/>
      <c r="V159" s="1190"/>
      <c r="W159" s="1190"/>
      <c r="X159" s="2114" t="s">
        <v>2344</v>
      </c>
      <c r="Y159" s="2115"/>
      <c r="Z159" s="2115"/>
      <c r="AA159" s="2115"/>
      <c r="AB159" s="2115"/>
      <c r="AC159" s="2115"/>
      <c r="AD159" s="2115"/>
      <c r="AE159" s="2104">
        <v>0</v>
      </c>
      <c r="AF159" s="2104"/>
      <c r="AG159" s="2104"/>
      <c r="AH159" s="2104"/>
      <c r="AI159" s="2104"/>
      <c r="AJ159" s="2104"/>
      <c r="AK159" s="2104"/>
      <c r="AL159" s="2104">
        <v>0</v>
      </c>
      <c r="AM159" s="2104"/>
      <c r="AN159" s="2104"/>
      <c r="AO159" s="2104"/>
      <c r="AP159" s="2104"/>
      <c r="AQ159" s="2105"/>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4" t="s">
        <v>2343</v>
      </c>
      <c r="C160" s="2115"/>
      <c r="D160" s="2115"/>
      <c r="E160" s="2115"/>
      <c r="F160" s="2115"/>
      <c r="G160" s="2115"/>
      <c r="H160" s="2115"/>
      <c r="I160" s="2104">
        <v>0</v>
      </c>
      <c r="J160" s="2104"/>
      <c r="K160" s="2104"/>
      <c r="L160" s="2104"/>
      <c r="M160" s="2104"/>
      <c r="N160" s="2104"/>
      <c r="O160" s="2104"/>
      <c r="P160" s="2104">
        <v>0</v>
      </c>
      <c r="Q160" s="2104"/>
      <c r="R160" s="2104"/>
      <c r="S160" s="2104"/>
      <c r="T160" s="2104"/>
      <c r="U160" s="2105"/>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9" t="s">
        <v>2342</v>
      </c>
      <c r="D162" s="2010"/>
      <c r="E162" s="2010"/>
      <c r="F162" s="2010"/>
      <c r="G162" s="2010"/>
      <c r="H162" s="2010"/>
      <c r="I162" s="2010"/>
      <c r="J162" s="2010"/>
      <c r="K162" s="2010"/>
      <c r="L162" s="2010"/>
      <c r="M162" s="2010"/>
      <c r="N162" s="2010"/>
      <c r="O162" s="2010"/>
      <c r="P162" s="2010"/>
      <c r="Q162" s="2010"/>
      <c r="R162" s="2010"/>
      <c r="S162" s="2010"/>
      <c r="T162" s="2010"/>
      <c r="U162" s="2010"/>
      <c r="V162" s="2010"/>
      <c r="W162" s="2010"/>
      <c r="X162" s="2010"/>
      <c r="Y162" s="2010"/>
      <c r="Z162" s="2010"/>
      <c r="AA162" s="2010"/>
      <c r="AB162" s="2010"/>
      <c r="AC162" s="2010"/>
      <c r="AD162" s="2010"/>
      <c r="AE162" s="2010"/>
      <c r="AF162" s="2010"/>
      <c r="AG162" s="2011"/>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4" t="s">
        <v>2327</v>
      </c>
      <c r="D163" s="2155"/>
      <c r="E163" s="2155"/>
      <c r="F163" s="2155"/>
      <c r="G163" s="2155"/>
      <c r="H163" s="2155"/>
      <c r="I163" s="2155"/>
      <c r="J163" s="2155"/>
      <c r="K163" s="2155"/>
      <c r="L163" s="2155"/>
      <c r="M163" s="2155"/>
      <c r="N163" s="2155"/>
      <c r="O163" s="2155"/>
      <c r="P163" s="2155"/>
      <c r="Q163" s="2155" t="s">
        <v>2341</v>
      </c>
      <c r="R163" s="2155"/>
      <c r="S163" s="2155"/>
      <c r="T163" s="2100" t="s">
        <v>2340</v>
      </c>
      <c r="U163" s="2100"/>
      <c r="V163" s="2100"/>
      <c r="W163" s="2100"/>
      <c r="X163" s="2100"/>
      <c r="Y163" s="2100"/>
      <c r="Z163" s="2100"/>
      <c r="AA163" s="2100"/>
      <c r="AB163" s="2155" t="s">
        <v>2339</v>
      </c>
      <c r="AC163" s="2155"/>
      <c r="AD163" s="2155"/>
      <c r="AE163" s="2155"/>
      <c r="AF163" s="2155"/>
      <c r="AG163" s="2163"/>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8" t="s">
        <v>2338</v>
      </c>
      <c r="D164" s="2159"/>
      <c r="E164" s="2159"/>
      <c r="F164" s="2159"/>
      <c r="G164" s="2159"/>
      <c r="H164" s="2159"/>
      <c r="I164" s="2159"/>
      <c r="J164" s="2159"/>
      <c r="K164" s="2159"/>
      <c r="L164" s="2159"/>
      <c r="M164" s="2159"/>
      <c r="N164" s="2159"/>
      <c r="O164" s="2159"/>
      <c r="P164" s="2159"/>
      <c r="Q164" s="2160">
        <v>55</v>
      </c>
      <c r="R164" s="2160"/>
      <c r="S164" s="2160"/>
      <c r="T164" s="2161"/>
      <c r="U164" s="2161"/>
      <c r="V164" s="2161"/>
      <c r="W164" s="2161"/>
      <c r="X164" s="2161"/>
      <c r="Y164" s="2161"/>
      <c r="Z164" s="2161"/>
      <c r="AA164" s="2161"/>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8" t="s">
        <v>2337</v>
      </c>
      <c r="D165" s="2159"/>
      <c r="E165" s="2159"/>
      <c r="F165" s="2159"/>
      <c r="G165" s="2159"/>
      <c r="H165" s="2159"/>
      <c r="I165" s="2159"/>
      <c r="J165" s="2159"/>
      <c r="K165" s="2159"/>
      <c r="L165" s="2159"/>
      <c r="M165" s="2159"/>
      <c r="N165" s="2159"/>
      <c r="O165" s="2159"/>
      <c r="P165" s="2159"/>
      <c r="Q165" s="2160">
        <v>55</v>
      </c>
      <c r="R165" s="2160"/>
      <c r="S165" s="2160"/>
      <c r="T165" s="2162"/>
      <c r="U165" s="2162"/>
      <c r="V165" s="2162"/>
      <c r="W165" s="2162"/>
      <c r="X165" s="2162"/>
      <c r="Y165" s="2162"/>
      <c r="Z165" s="2162"/>
      <c r="AA165" s="2162"/>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8" t="s">
        <v>2336</v>
      </c>
      <c r="D166" s="2159"/>
      <c r="E166" s="2159"/>
      <c r="F166" s="2159"/>
      <c r="G166" s="2159"/>
      <c r="H166" s="2159"/>
      <c r="I166" s="2159"/>
      <c r="J166" s="2159"/>
      <c r="K166" s="2159"/>
      <c r="L166" s="2159"/>
      <c r="M166" s="2159"/>
      <c r="N166" s="2159"/>
      <c r="O166" s="2159"/>
      <c r="P166" s="2159"/>
      <c r="Q166" s="2160">
        <v>55</v>
      </c>
      <c r="R166" s="2160"/>
      <c r="S166" s="2160"/>
      <c r="T166" s="2161"/>
      <c r="U166" s="2161"/>
      <c r="V166" s="2161"/>
      <c r="W166" s="2161"/>
      <c r="X166" s="2161"/>
      <c r="Y166" s="2161"/>
      <c r="Z166" s="2161"/>
      <c r="AA166" s="2161"/>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8" t="s">
        <v>2335</v>
      </c>
      <c r="D167" s="2159"/>
      <c r="E167" s="2159"/>
      <c r="F167" s="2159"/>
      <c r="G167" s="2159"/>
      <c r="H167" s="2159"/>
      <c r="I167" s="2159"/>
      <c r="J167" s="2159"/>
      <c r="K167" s="2159"/>
      <c r="L167" s="2159"/>
      <c r="M167" s="2159"/>
      <c r="N167" s="2159"/>
      <c r="O167" s="2159"/>
      <c r="P167" s="2159"/>
      <c r="Q167" s="2160">
        <v>55</v>
      </c>
      <c r="R167" s="2160"/>
      <c r="S167" s="2160"/>
      <c r="T167" s="2161"/>
      <c r="U167" s="2161"/>
      <c r="V167" s="2161"/>
      <c r="W167" s="2161"/>
      <c r="X167" s="2161"/>
      <c r="Y167" s="2161"/>
      <c r="Z167" s="2161"/>
      <c r="AA167" s="2161"/>
      <c r="AB167" s="2164">
        <v>0</v>
      </c>
      <c r="AC167" s="2164"/>
      <c r="AD167" s="2164"/>
      <c r="AE167" s="2164"/>
      <c r="AF167" s="2164"/>
      <c r="AG167" s="2165"/>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8" t="s">
        <v>169</v>
      </c>
      <c r="D168" s="2159"/>
      <c r="E168" s="2159"/>
      <c r="F168" s="2166" t="s">
        <v>2316</v>
      </c>
      <c r="G168" s="2166"/>
      <c r="H168" s="2166"/>
      <c r="I168" s="2166"/>
      <c r="J168" s="2166"/>
      <c r="K168" s="2166"/>
      <c r="L168" s="2166"/>
      <c r="M168" s="2166"/>
      <c r="N168" s="2166"/>
      <c r="O168" s="2166"/>
      <c r="P168" s="2166"/>
      <c r="Q168" s="2160">
        <v>55</v>
      </c>
      <c r="R168" s="2160"/>
      <c r="S168" s="2160"/>
      <c r="T168" s="2162"/>
      <c r="U168" s="2162"/>
      <c r="V168" s="2162"/>
      <c r="W168" s="2162"/>
      <c r="X168" s="2162"/>
      <c r="Y168" s="2162"/>
      <c r="Z168" s="2162"/>
      <c r="AA168" s="2162"/>
      <c r="AB168" s="2164">
        <v>0</v>
      </c>
      <c r="AC168" s="2164"/>
      <c r="AD168" s="2164"/>
      <c r="AE168" s="2164"/>
      <c r="AF168" s="2164"/>
      <c r="AG168" s="2165"/>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8" t="s">
        <v>169</v>
      </c>
      <c r="D169" s="2159"/>
      <c r="E169" s="2159"/>
      <c r="F169" s="2166" t="s">
        <v>2316</v>
      </c>
      <c r="G169" s="2166"/>
      <c r="H169" s="2166"/>
      <c r="I169" s="2166"/>
      <c r="J169" s="2166"/>
      <c r="K169" s="2166"/>
      <c r="L169" s="2166"/>
      <c r="M169" s="2166"/>
      <c r="N169" s="2166"/>
      <c r="O169" s="2166"/>
      <c r="P169" s="2166"/>
      <c r="Q169" s="2160">
        <v>55</v>
      </c>
      <c r="R169" s="2160"/>
      <c r="S169" s="2160"/>
      <c r="T169" s="2162"/>
      <c r="U169" s="2162"/>
      <c r="V169" s="2162"/>
      <c r="W169" s="2162"/>
      <c r="X169" s="2162"/>
      <c r="Y169" s="2162"/>
      <c r="Z169" s="2162"/>
      <c r="AA169" s="2162"/>
      <c r="AB169" s="2164">
        <v>0</v>
      </c>
      <c r="AC169" s="2164"/>
      <c r="AD169" s="2164"/>
      <c r="AE169" s="2164"/>
      <c r="AF169" s="2164"/>
      <c r="AG169" s="2165"/>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7" t="s">
        <v>169</v>
      </c>
      <c r="D170" s="2168"/>
      <c r="E170" s="2168"/>
      <c r="F170" s="2169" t="s">
        <v>2316</v>
      </c>
      <c r="G170" s="2169"/>
      <c r="H170" s="2169"/>
      <c r="I170" s="2169"/>
      <c r="J170" s="2169"/>
      <c r="K170" s="2169"/>
      <c r="L170" s="2169"/>
      <c r="M170" s="2169"/>
      <c r="N170" s="2169"/>
      <c r="O170" s="2169"/>
      <c r="P170" s="2169"/>
      <c r="Q170" s="2170">
        <v>55</v>
      </c>
      <c r="R170" s="2170"/>
      <c r="S170" s="2170"/>
      <c r="T170" s="2171"/>
      <c r="U170" s="2171"/>
      <c r="V170" s="2171"/>
      <c r="W170" s="2171"/>
      <c r="X170" s="2171"/>
      <c r="Y170" s="2171"/>
      <c r="Z170" s="2171"/>
      <c r="AA170" s="2171"/>
      <c r="AB170" s="2172">
        <v>0</v>
      </c>
      <c r="AC170" s="2172"/>
      <c r="AD170" s="2172"/>
      <c r="AE170" s="2172"/>
      <c r="AF170" s="2172"/>
      <c r="AG170" s="2173"/>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8" t="s">
        <v>2334</v>
      </c>
      <c r="D172" s="2059"/>
      <c r="E172" s="2059"/>
      <c r="F172" s="2059"/>
      <c r="G172" s="2059"/>
      <c r="H172" s="2059"/>
      <c r="I172" s="2059"/>
      <c r="J172" s="2059"/>
      <c r="K172" s="2059"/>
      <c r="L172" s="2059"/>
      <c r="M172" s="2059"/>
      <c r="N172" s="2109"/>
      <c r="O172" s="1190"/>
      <c r="P172" s="2174" t="s">
        <v>2333</v>
      </c>
      <c r="Q172" s="2175"/>
      <c r="R172" s="2175"/>
      <c r="S172" s="2175"/>
      <c r="T172" s="2175"/>
      <c r="U172" s="2175"/>
      <c r="V172" s="2175"/>
      <c r="W172" s="2175"/>
      <c r="X172" s="2175"/>
      <c r="Y172" s="2175"/>
      <c r="Z172" s="2175"/>
      <c r="AA172" s="2175"/>
      <c r="AB172" s="2175"/>
      <c r="AC172" s="2175"/>
      <c r="AD172" s="2175"/>
      <c r="AE172" s="2175"/>
      <c r="AF172" s="2175"/>
      <c r="AG172" s="2175"/>
      <c r="AH172" s="2175"/>
      <c r="AI172" s="2175"/>
      <c r="AJ172" s="2175"/>
      <c r="AK172" s="2175"/>
      <c r="AL172" s="2175"/>
      <c r="AM172" s="2175"/>
      <c r="AN172" s="2175"/>
      <c r="AO172" s="2176"/>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4" t="s">
        <v>2332</v>
      </c>
      <c r="D173" s="2155"/>
      <c r="E173" s="2155"/>
      <c r="F173" s="2155"/>
      <c r="G173" s="2155"/>
      <c r="H173" s="2155"/>
      <c r="I173" s="2155" t="s">
        <v>2331</v>
      </c>
      <c r="J173" s="2155"/>
      <c r="K173" s="2155"/>
      <c r="L173" s="2155"/>
      <c r="M173" s="2155"/>
      <c r="N173" s="2163"/>
      <c r="O173" s="1190"/>
      <c r="P173" s="2078" t="s">
        <v>2330</v>
      </c>
      <c r="Q173" s="2079"/>
      <c r="R173" s="2079"/>
      <c r="S173" s="2079"/>
      <c r="T173" s="2079"/>
      <c r="U173" s="2079"/>
      <c r="V173" s="2079"/>
      <c r="W173" s="2079"/>
      <c r="X173" s="2079"/>
      <c r="Y173" s="2079"/>
      <c r="Z173" s="2079"/>
      <c r="AA173" s="2079"/>
      <c r="AB173" s="2079"/>
      <c r="AC173" s="2079"/>
      <c r="AD173" s="2079"/>
      <c r="AE173" s="2079"/>
      <c r="AF173" s="2079"/>
      <c r="AG173" s="2079"/>
      <c r="AH173" s="2079"/>
      <c r="AI173" s="2079"/>
      <c r="AJ173" s="2079"/>
      <c r="AK173" s="2079"/>
      <c r="AL173" s="2079"/>
      <c r="AM173" s="2079"/>
      <c r="AN173" s="2079"/>
      <c r="AO173" s="2080"/>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4"/>
      <c r="D174" s="2016"/>
      <c r="E174" s="2016"/>
      <c r="F174" s="2016"/>
      <c r="G174" s="2016"/>
      <c r="H174" s="2016"/>
      <c r="I174" s="2161"/>
      <c r="J174" s="2161"/>
      <c r="K174" s="2161"/>
      <c r="L174" s="2161"/>
      <c r="M174" s="2161"/>
      <c r="N174" s="2177"/>
      <c r="O174" s="1190"/>
      <c r="P174" s="2078"/>
      <c r="Q174" s="2079"/>
      <c r="R174" s="2079"/>
      <c r="S174" s="2079"/>
      <c r="T174" s="2079"/>
      <c r="U174" s="2079"/>
      <c r="V174" s="2079"/>
      <c r="W174" s="2079"/>
      <c r="X174" s="2079"/>
      <c r="Y174" s="2079"/>
      <c r="Z174" s="2079"/>
      <c r="AA174" s="2079"/>
      <c r="AB174" s="2079"/>
      <c r="AC174" s="2079"/>
      <c r="AD174" s="2079"/>
      <c r="AE174" s="2079"/>
      <c r="AF174" s="2079"/>
      <c r="AG174" s="2079"/>
      <c r="AH174" s="2079"/>
      <c r="AI174" s="2079"/>
      <c r="AJ174" s="2079"/>
      <c r="AK174" s="2079"/>
      <c r="AL174" s="2079"/>
      <c r="AM174" s="2079"/>
      <c r="AN174" s="2079"/>
      <c r="AO174" s="2080"/>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4"/>
      <c r="D175" s="2016"/>
      <c r="E175" s="2016"/>
      <c r="F175" s="2016"/>
      <c r="G175" s="2016"/>
      <c r="H175" s="2016"/>
      <c r="I175" s="2161"/>
      <c r="J175" s="2161"/>
      <c r="K175" s="2161"/>
      <c r="L175" s="2161"/>
      <c r="M175" s="2161"/>
      <c r="N175" s="2177"/>
      <c r="O175" s="1190"/>
      <c r="P175" s="2078"/>
      <c r="Q175" s="2079"/>
      <c r="R175" s="2079"/>
      <c r="S175" s="2079"/>
      <c r="T175" s="2079"/>
      <c r="U175" s="2079"/>
      <c r="V175" s="2079"/>
      <c r="W175" s="2079"/>
      <c r="X175" s="2079"/>
      <c r="Y175" s="2079"/>
      <c r="Z175" s="2079"/>
      <c r="AA175" s="2079"/>
      <c r="AB175" s="2079"/>
      <c r="AC175" s="2079"/>
      <c r="AD175" s="2079"/>
      <c r="AE175" s="2079"/>
      <c r="AF175" s="2079"/>
      <c r="AG175" s="2079"/>
      <c r="AH175" s="2079"/>
      <c r="AI175" s="2079"/>
      <c r="AJ175" s="2079"/>
      <c r="AK175" s="2079"/>
      <c r="AL175" s="2079"/>
      <c r="AM175" s="2079"/>
      <c r="AN175" s="2079"/>
      <c r="AO175" s="2080"/>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4"/>
      <c r="D176" s="2016"/>
      <c r="E176" s="2016"/>
      <c r="F176" s="2016"/>
      <c r="G176" s="2016"/>
      <c r="H176" s="2016"/>
      <c r="I176" s="2161"/>
      <c r="J176" s="2161"/>
      <c r="K176" s="2161"/>
      <c r="L176" s="2161"/>
      <c r="M176" s="2161"/>
      <c r="N176" s="2177"/>
      <c r="O176" s="1190"/>
      <c r="P176" s="2078"/>
      <c r="Q176" s="2079"/>
      <c r="R176" s="2079"/>
      <c r="S176" s="2079"/>
      <c r="T176" s="2079"/>
      <c r="U176" s="2079"/>
      <c r="V176" s="2079"/>
      <c r="W176" s="2079"/>
      <c r="X176" s="2079"/>
      <c r="Y176" s="2079"/>
      <c r="Z176" s="2079"/>
      <c r="AA176" s="2079"/>
      <c r="AB176" s="2079"/>
      <c r="AC176" s="2079"/>
      <c r="AD176" s="2079"/>
      <c r="AE176" s="2079"/>
      <c r="AF176" s="2079"/>
      <c r="AG176" s="2079"/>
      <c r="AH176" s="2079"/>
      <c r="AI176" s="2079"/>
      <c r="AJ176" s="2079"/>
      <c r="AK176" s="2079"/>
      <c r="AL176" s="2079"/>
      <c r="AM176" s="2079"/>
      <c r="AN176" s="2079"/>
      <c r="AO176" s="2080"/>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4"/>
      <c r="D177" s="2016"/>
      <c r="E177" s="2016"/>
      <c r="F177" s="2016"/>
      <c r="G177" s="2016"/>
      <c r="H177" s="2016"/>
      <c r="I177" s="2161"/>
      <c r="J177" s="2161"/>
      <c r="K177" s="2161"/>
      <c r="L177" s="2161"/>
      <c r="M177" s="2161"/>
      <c r="N177" s="2177"/>
      <c r="O177" s="1190"/>
      <c r="P177" s="2078"/>
      <c r="Q177" s="2079"/>
      <c r="R177" s="2079"/>
      <c r="S177" s="2079"/>
      <c r="T177" s="2079"/>
      <c r="U177" s="2079"/>
      <c r="V177" s="2079"/>
      <c r="W177" s="2079"/>
      <c r="X177" s="2079"/>
      <c r="Y177" s="2079"/>
      <c r="Z177" s="2079"/>
      <c r="AA177" s="2079"/>
      <c r="AB177" s="2079"/>
      <c r="AC177" s="2079"/>
      <c r="AD177" s="2079"/>
      <c r="AE177" s="2079"/>
      <c r="AF177" s="2079"/>
      <c r="AG177" s="2079"/>
      <c r="AH177" s="2079"/>
      <c r="AI177" s="2079"/>
      <c r="AJ177" s="2079"/>
      <c r="AK177" s="2079"/>
      <c r="AL177" s="2079"/>
      <c r="AM177" s="2079"/>
      <c r="AN177" s="2079"/>
      <c r="AO177" s="2080"/>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4"/>
      <c r="D178" s="2016"/>
      <c r="E178" s="2016"/>
      <c r="F178" s="2016"/>
      <c r="G178" s="2016"/>
      <c r="H178" s="2016"/>
      <c r="I178" s="2161"/>
      <c r="J178" s="2161"/>
      <c r="K178" s="2161"/>
      <c r="L178" s="2161"/>
      <c r="M178" s="2161"/>
      <c r="N178" s="2177"/>
      <c r="O178" s="1190"/>
      <c r="P178" s="2078"/>
      <c r="Q178" s="2079"/>
      <c r="R178" s="2079"/>
      <c r="S178" s="2079"/>
      <c r="T178" s="2079"/>
      <c r="U178" s="2079"/>
      <c r="V178" s="2079"/>
      <c r="W178" s="2079"/>
      <c r="X178" s="2079"/>
      <c r="Y178" s="2079"/>
      <c r="Z178" s="2079"/>
      <c r="AA178" s="2079"/>
      <c r="AB178" s="2079"/>
      <c r="AC178" s="2079"/>
      <c r="AD178" s="2079"/>
      <c r="AE178" s="2079"/>
      <c r="AF178" s="2079"/>
      <c r="AG178" s="2079"/>
      <c r="AH178" s="2079"/>
      <c r="AI178" s="2079"/>
      <c r="AJ178" s="2079"/>
      <c r="AK178" s="2079"/>
      <c r="AL178" s="2079"/>
      <c r="AM178" s="2079"/>
      <c r="AN178" s="2079"/>
      <c r="AO178" s="2080"/>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4"/>
      <c r="D179" s="2016"/>
      <c r="E179" s="2016"/>
      <c r="F179" s="2016"/>
      <c r="G179" s="2016"/>
      <c r="H179" s="2016"/>
      <c r="I179" s="2161"/>
      <c r="J179" s="2161"/>
      <c r="K179" s="2161"/>
      <c r="L179" s="2161"/>
      <c r="M179" s="2161"/>
      <c r="N179" s="2177"/>
      <c r="O179" s="1190"/>
      <c r="P179" s="2078"/>
      <c r="Q179" s="2079"/>
      <c r="R179" s="2079"/>
      <c r="S179" s="2079"/>
      <c r="T179" s="2079"/>
      <c r="U179" s="2079"/>
      <c r="V179" s="2079"/>
      <c r="W179" s="2079"/>
      <c r="X179" s="2079"/>
      <c r="Y179" s="2079"/>
      <c r="Z179" s="2079"/>
      <c r="AA179" s="2079"/>
      <c r="AB179" s="2079"/>
      <c r="AC179" s="2079"/>
      <c r="AD179" s="2079"/>
      <c r="AE179" s="2079"/>
      <c r="AF179" s="2079"/>
      <c r="AG179" s="2079"/>
      <c r="AH179" s="2079"/>
      <c r="AI179" s="2079"/>
      <c r="AJ179" s="2079"/>
      <c r="AK179" s="2079"/>
      <c r="AL179" s="2079"/>
      <c r="AM179" s="2079"/>
      <c r="AN179" s="2079"/>
      <c r="AO179" s="2080"/>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8"/>
      <c r="D180" s="2179"/>
      <c r="E180" s="2179"/>
      <c r="F180" s="2179"/>
      <c r="G180" s="2179"/>
      <c r="H180" s="2179"/>
      <c r="I180" s="2180"/>
      <c r="J180" s="2180"/>
      <c r="K180" s="2180"/>
      <c r="L180" s="2180"/>
      <c r="M180" s="2180"/>
      <c r="N180" s="2181"/>
      <c r="O180" s="1190"/>
      <c r="P180" s="2081"/>
      <c r="Q180" s="2082"/>
      <c r="R180" s="2082"/>
      <c r="S180" s="2082"/>
      <c r="T180" s="2082"/>
      <c r="U180" s="2082"/>
      <c r="V180" s="2082"/>
      <c r="W180" s="2082"/>
      <c r="X180" s="2082"/>
      <c r="Y180" s="2082"/>
      <c r="Z180" s="2082"/>
      <c r="AA180" s="2082"/>
      <c r="AB180" s="2082"/>
      <c r="AC180" s="2082"/>
      <c r="AD180" s="2082"/>
      <c r="AE180" s="2082"/>
      <c r="AF180" s="2082"/>
      <c r="AG180" s="2082"/>
      <c r="AH180" s="2082"/>
      <c r="AI180" s="2082"/>
      <c r="AJ180" s="2082"/>
      <c r="AK180" s="2082"/>
      <c r="AL180" s="2082"/>
      <c r="AM180" s="2082"/>
      <c r="AN180" s="2082"/>
      <c r="AO180" s="2083"/>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5" t="s">
        <v>2329</v>
      </c>
      <c r="D182" s="2186"/>
      <c r="E182" s="2186"/>
      <c r="F182" s="2186"/>
      <c r="G182" s="2186"/>
      <c r="H182" s="2186"/>
      <c r="I182" s="2186"/>
      <c r="J182" s="2186"/>
      <c r="K182" s="2186"/>
      <c r="L182" s="2186"/>
      <c r="M182" s="2186"/>
      <c r="N182" s="2186"/>
      <c r="O182" s="2186"/>
      <c r="P182" s="2186"/>
      <c r="Q182" s="2186"/>
      <c r="R182" s="2186"/>
      <c r="S182" s="2186"/>
      <c r="T182" s="2186"/>
      <c r="U182" s="2186"/>
      <c r="V182" s="2186"/>
      <c r="W182" s="2186"/>
      <c r="X182" s="2186"/>
      <c r="Y182" s="2186"/>
      <c r="Z182" s="2186"/>
      <c r="AA182" s="2186"/>
      <c r="AB182" s="2186"/>
      <c r="AC182" s="2186"/>
      <c r="AD182" s="2186"/>
      <c r="AE182" s="2187"/>
      <c r="AF182" s="1190"/>
      <c r="AG182" s="1190"/>
      <c r="AH182" s="2195"/>
      <c r="AI182" s="2195"/>
      <c r="AJ182" s="2195"/>
      <c r="AK182" s="2195"/>
      <c r="AL182" s="2195"/>
      <c r="AM182" s="2195"/>
      <c r="AN182" s="2195"/>
      <c r="AO182" s="2195"/>
      <c r="AP182" s="2195"/>
      <c r="AQ182" s="2195"/>
      <c r="AR182" s="2195"/>
      <c r="AS182" s="2195"/>
      <c r="AT182" s="2195"/>
      <c r="AU182" s="2195"/>
      <c r="AV182" s="2195"/>
      <c r="AW182" s="2195"/>
      <c r="AX182" s="2195"/>
      <c r="AY182" s="2195"/>
      <c r="AZ182" s="2195"/>
      <c r="BA182" s="2195"/>
      <c r="BB182" s="2195"/>
      <c r="BC182" s="2195"/>
      <c r="BD182" s="2195"/>
      <c r="BE182" s="2195"/>
    </row>
    <row r="183" spans="1:57" ht="15.75" customHeight="1" thickBot="1">
      <c r="A183" s="1190"/>
      <c r="B183" s="1190"/>
      <c r="C183" s="2188"/>
      <c r="D183" s="2189"/>
      <c r="E183" s="2189"/>
      <c r="F183" s="2189"/>
      <c r="G183" s="2189"/>
      <c r="H183" s="2189"/>
      <c r="I183" s="2189"/>
      <c r="J183" s="2189"/>
      <c r="K183" s="2189"/>
      <c r="L183" s="2189"/>
      <c r="M183" s="2189"/>
      <c r="N183" s="2189"/>
      <c r="O183" s="2189"/>
      <c r="P183" s="2189"/>
      <c r="Q183" s="2189"/>
      <c r="R183" s="2189"/>
      <c r="S183" s="2189"/>
      <c r="T183" s="2189"/>
      <c r="U183" s="2189"/>
      <c r="V183" s="2189"/>
      <c r="W183" s="2189"/>
      <c r="X183" s="2189"/>
      <c r="Y183" s="2189"/>
      <c r="Z183" s="2189"/>
      <c r="AA183" s="2189"/>
      <c r="AB183" s="2189"/>
      <c r="AC183" s="2189"/>
      <c r="AD183" s="2189"/>
      <c r="AE183" s="2190"/>
      <c r="AF183" s="1190"/>
      <c r="AG183" s="1190"/>
      <c r="AH183" s="2195"/>
      <c r="AI183" s="2195"/>
      <c r="AJ183" s="2195"/>
      <c r="AK183" s="2195"/>
      <c r="AL183" s="2195"/>
      <c r="AM183" s="2195"/>
      <c r="AN183" s="2195"/>
      <c r="AO183" s="2195"/>
      <c r="AP183" s="2195"/>
      <c r="AQ183" s="2195"/>
      <c r="AR183" s="2195"/>
      <c r="AS183" s="2195"/>
      <c r="AT183" s="2195"/>
      <c r="AU183" s="2195"/>
      <c r="AV183" s="2195"/>
      <c r="AW183" s="2195"/>
      <c r="AX183" s="2195"/>
      <c r="AY183" s="2195"/>
      <c r="AZ183" s="2195"/>
      <c r="BA183" s="2195"/>
      <c r="BB183" s="2195"/>
      <c r="BC183" s="2195"/>
      <c r="BD183" s="2195"/>
      <c r="BE183" s="2195"/>
    </row>
    <row r="184" spans="1:57" ht="15.75" customHeight="1">
      <c r="A184" s="1190"/>
      <c r="B184" s="1190"/>
      <c r="C184" s="2058" t="s">
        <v>2327</v>
      </c>
      <c r="D184" s="2059"/>
      <c r="E184" s="2059"/>
      <c r="F184" s="2059"/>
      <c r="G184" s="2059"/>
      <c r="H184" s="2059"/>
      <c r="I184" s="2059"/>
      <c r="J184" s="2059"/>
      <c r="K184" s="2059"/>
      <c r="L184" s="2059"/>
      <c r="M184" s="2059"/>
      <c r="N184" s="2059" t="s">
        <v>2328</v>
      </c>
      <c r="O184" s="2059"/>
      <c r="P184" s="2059"/>
      <c r="Q184" s="2059"/>
      <c r="R184" s="2059"/>
      <c r="S184" s="2059"/>
      <c r="T184" s="2059"/>
      <c r="U184" s="2010" t="s">
        <v>2327</v>
      </c>
      <c r="V184" s="2010"/>
      <c r="W184" s="2010"/>
      <c r="X184" s="2010"/>
      <c r="Y184" s="2010"/>
      <c r="Z184" s="2010"/>
      <c r="AA184" s="2010"/>
      <c r="AB184" s="2010"/>
      <c r="AC184" s="2010"/>
      <c r="AD184" s="2010"/>
      <c r="AE184" s="2011"/>
      <c r="AF184" s="1190"/>
      <c r="AG184" s="1190"/>
      <c r="AH184" s="2195"/>
      <c r="AI184" s="2195"/>
      <c r="AJ184" s="2195"/>
      <c r="AK184" s="2195"/>
      <c r="AL184" s="2195"/>
      <c r="AM184" s="2195"/>
      <c r="AN184" s="2195"/>
      <c r="AO184" s="2195"/>
      <c r="AP184" s="2195"/>
      <c r="AQ184" s="2195"/>
      <c r="AR184" s="2195"/>
      <c r="AS184" s="2195"/>
      <c r="AT184" s="2195"/>
      <c r="AU184" s="2195"/>
      <c r="AV184" s="2195"/>
      <c r="AW184" s="2195"/>
      <c r="AX184" s="2195"/>
      <c r="AY184" s="2195"/>
      <c r="AZ184" s="2195"/>
      <c r="BA184" s="2195"/>
      <c r="BB184" s="2195"/>
      <c r="BC184" s="2195"/>
      <c r="BD184" s="2195"/>
      <c r="BE184" s="2195"/>
    </row>
    <row r="185" spans="1:57" ht="15.75" customHeight="1">
      <c r="A185" s="1190"/>
      <c r="B185" s="1190"/>
      <c r="C185" s="2182" t="s">
        <v>2326</v>
      </c>
      <c r="D185" s="2183"/>
      <c r="E185" s="2183"/>
      <c r="F185" s="2183"/>
      <c r="G185" s="2183"/>
      <c r="H185" s="2183"/>
      <c r="I185" s="2183"/>
      <c r="J185" s="2183"/>
      <c r="K185" s="2183"/>
      <c r="L185" s="2183"/>
      <c r="M185" s="2183"/>
      <c r="N185" s="2184">
        <f>'Sources and Uses Budget'!B105</f>
        <v>68611339</v>
      </c>
      <c r="O185" s="2184"/>
      <c r="P185" s="2184"/>
      <c r="Q185" s="2184"/>
      <c r="R185" s="2184"/>
      <c r="S185" s="2184"/>
      <c r="T185" s="2184"/>
      <c r="U185" s="2196"/>
      <c r="V185" s="2196"/>
      <c r="W185" s="2196"/>
      <c r="X185" s="2196"/>
      <c r="Y185" s="2196"/>
      <c r="Z185" s="2196"/>
      <c r="AA185" s="2196"/>
      <c r="AB185" s="2196"/>
      <c r="AC185" s="2196"/>
      <c r="AD185" s="2196"/>
      <c r="AE185" s="2197"/>
      <c r="AF185" s="1190"/>
      <c r="AG185" s="1190"/>
      <c r="AH185" s="2195"/>
      <c r="AI185" s="2195"/>
      <c r="AJ185" s="2195"/>
      <c r="AK185" s="2195"/>
      <c r="AL185" s="2195"/>
      <c r="AM185" s="2195"/>
      <c r="AN185" s="2195"/>
      <c r="AO185" s="2195"/>
      <c r="AP185" s="2195"/>
      <c r="AQ185" s="2195"/>
      <c r="AR185" s="2195"/>
      <c r="AS185" s="2195"/>
      <c r="AT185" s="2195"/>
      <c r="AU185" s="2195"/>
      <c r="AV185" s="2195"/>
      <c r="AW185" s="2195"/>
      <c r="AX185" s="2195"/>
      <c r="AY185" s="2195"/>
      <c r="AZ185" s="2195"/>
      <c r="BA185" s="2195"/>
      <c r="BB185" s="2195"/>
      <c r="BC185" s="2195"/>
      <c r="BD185" s="2195"/>
      <c r="BE185" s="2195"/>
    </row>
    <row r="186" spans="1:57" ht="15.75" customHeight="1">
      <c r="A186" s="1190"/>
      <c r="B186" s="1190"/>
      <c r="C186" s="2182" t="s">
        <v>2325</v>
      </c>
      <c r="D186" s="2183"/>
      <c r="E186" s="2183"/>
      <c r="F186" s="2183"/>
      <c r="G186" s="2183"/>
      <c r="H186" s="2183"/>
      <c r="I186" s="2183"/>
      <c r="J186" s="2183"/>
      <c r="K186" s="2183"/>
      <c r="L186" s="2183"/>
      <c r="M186" s="2183"/>
      <c r="N186" s="2184">
        <f>N185/J29</f>
        <v>523750.67938931298</v>
      </c>
      <c r="O186" s="2184"/>
      <c r="P186" s="2184"/>
      <c r="Q186" s="2184"/>
      <c r="R186" s="2184"/>
      <c r="S186" s="2184"/>
      <c r="T186" s="2184"/>
      <c r="U186" s="1228"/>
      <c r="V186" s="1228"/>
      <c r="W186" s="1228"/>
      <c r="X186" s="1228"/>
      <c r="Y186" s="1228"/>
      <c r="Z186" s="1228"/>
      <c r="AA186" s="1228"/>
      <c r="AB186" s="1228"/>
      <c r="AC186" s="1228"/>
      <c r="AD186" s="1228"/>
      <c r="AE186" s="1229"/>
      <c r="AF186" s="1190"/>
      <c r="AG186" s="1190"/>
      <c r="AH186" s="2195"/>
      <c r="AI186" s="2195"/>
      <c r="AJ186" s="2195"/>
      <c r="AK186" s="2195"/>
      <c r="AL186" s="2195"/>
      <c r="AM186" s="2195"/>
      <c r="AN186" s="2195"/>
      <c r="AO186" s="2195"/>
      <c r="AP186" s="2195"/>
      <c r="AQ186" s="2195"/>
      <c r="AR186" s="2195"/>
      <c r="AS186" s="2195"/>
      <c r="AT186" s="2195"/>
      <c r="AU186" s="2195"/>
      <c r="AV186" s="2195"/>
      <c r="AW186" s="2195"/>
      <c r="AX186" s="2195"/>
      <c r="AY186" s="2195"/>
      <c r="AZ186" s="2195"/>
      <c r="BA186" s="2195"/>
      <c r="BB186" s="2195"/>
      <c r="BC186" s="2195"/>
      <c r="BD186" s="2195"/>
      <c r="BE186" s="2195"/>
    </row>
    <row r="187" spans="1:57" ht="15.75" customHeight="1">
      <c r="A187" s="1190"/>
      <c r="B187" s="1190"/>
      <c r="C187" s="2198" t="s">
        <v>2324</v>
      </c>
      <c r="D187" s="2199"/>
      <c r="E187" s="2199"/>
      <c r="F187" s="2199"/>
      <c r="G187" s="2199"/>
      <c r="H187" s="2199"/>
      <c r="I187" s="2199"/>
      <c r="J187" s="2199"/>
      <c r="K187" s="2199"/>
      <c r="L187" s="2199"/>
      <c r="M187" s="2199"/>
      <c r="N187" s="2052">
        <v>0</v>
      </c>
      <c r="O187" s="2052"/>
      <c r="P187" s="2052"/>
      <c r="Q187" s="2052"/>
      <c r="R187" s="2052"/>
      <c r="S187" s="2052"/>
      <c r="T187" s="2052"/>
      <c r="U187" s="2028"/>
      <c r="V187" s="2028"/>
      <c r="W187" s="2028"/>
      <c r="X187" s="2028"/>
      <c r="Y187" s="2028"/>
      <c r="Z187" s="2028"/>
      <c r="AA187" s="2028"/>
      <c r="AB187" s="2028"/>
      <c r="AC187" s="2028"/>
      <c r="AD187" s="2028"/>
      <c r="AE187" s="2029"/>
      <c r="AF187" s="1190"/>
      <c r="AG187" s="1190"/>
      <c r="AH187" s="2195"/>
      <c r="AI187" s="2195"/>
      <c r="AJ187" s="2195"/>
      <c r="AK187" s="2195"/>
      <c r="AL187" s="2195"/>
      <c r="AM187" s="2195"/>
      <c r="AN187" s="2195"/>
      <c r="AO187" s="2195"/>
      <c r="AP187" s="2195"/>
      <c r="AQ187" s="2195"/>
      <c r="AR187" s="2195"/>
      <c r="AS187" s="2195"/>
      <c r="AT187" s="2195"/>
      <c r="AU187" s="2195"/>
      <c r="AV187" s="2195"/>
      <c r="AW187" s="2195"/>
      <c r="AX187" s="2195"/>
      <c r="AY187" s="2195"/>
      <c r="AZ187" s="2195"/>
      <c r="BA187" s="2195"/>
      <c r="BB187" s="2195"/>
      <c r="BC187" s="2195"/>
      <c r="BD187" s="2195"/>
      <c r="BE187" s="2195"/>
    </row>
    <row r="188" spans="1:57" ht="15.75" customHeight="1" thickBot="1">
      <c r="A188" s="1190"/>
      <c r="B188" s="1190"/>
      <c r="C188" s="2182" t="s">
        <v>2323</v>
      </c>
      <c r="D188" s="2183"/>
      <c r="E188" s="2183"/>
      <c r="F188" s="2183"/>
      <c r="G188" s="2183"/>
      <c r="H188" s="2183"/>
      <c r="I188" s="2183"/>
      <c r="J188" s="2183"/>
      <c r="K188" s="2183"/>
      <c r="L188" s="2183"/>
      <c r="M188" s="2183"/>
      <c r="N188" s="2200">
        <f>SUM('Sources and Uses Budget'!B85:B86)</f>
        <v>5143500</v>
      </c>
      <c r="O188" s="2200"/>
      <c r="P188" s="2200"/>
      <c r="Q188" s="2200"/>
      <c r="R188" s="2200"/>
      <c r="S188" s="2200"/>
      <c r="T188" s="2200"/>
      <c r="U188" s="2028"/>
      <c r="V188" s="2028"/>
      <c r="W188" s="2028"/>
      <c r="X188" s="2028"/>
      <c r="Y188" s="2028"/>
      <c r="Z188" s="2028"/>
      <c r="AA188" s="2028"/>
      <c r="AB188" s="2028"/>
      <c r="AC188" s="2028"/>
      <c r="AD188" s="2028"/>
      <c r="AE188" s="2029"/>
      <c r="AF188" s="1190"/>
      <c r="AG188" s="1190"/>
      <c r="AH188" s="2195"/>
      <c r="AI188" s="2195"/>
      <c r="AJ188" s="2195"/>
      <c r="AK188" s="2195"/>
      <c r="AL188" s="2195"/>
      <c r="AM188" s="2195"/>
      <c r="AN188" s="2195"/>
      <c r="AO188" s="2195"/>
      <c r="AP188" s="2195"/>
      <c r="AQ188" s="2195"/>
      <c r="AR188" s="2195"/>
      <c r="AS188" s="2195"/>
      <c r="AT188" s="2195"/>
      <c r="AU188" s="2195"/>
      <c r="AV188" s="2195"/>
      <c r="AW188" s="2195"/>
      <c r="AX188" s="2195"/>
      <c r="AY188" s="2195"/>
      <c r="AZ188" s="2195"/>
      <c r="BA188" s="2195"/>
      <c r="BB188" s="2195"/>
      <c r="BC188" s="2195"/>
      <c r="BD188" s="2195"/>
      <c r="BE188" s="2195"/>
    </row>
    <row r="189" spans="1:57" ht="15.75" customHeight="1" thickBot="1">
      <c r="A189" s="1190"/>
      <c r="B189" s="1190"/>
      <c r="C189" s="2182" t="s">
        <v>2322</v>
      </c>
      <c r="D189" s="2183"/>
      <c r="E189" s="2183"/>
      <c r="F189" s="2183"/>
      <c r="G189" s="2183"/>
      <c r="H189" s="2183"/>
      <c r="I189" s="2183"/>
      <c r="J189" s="2183"/>
      <c r="K189" s="2183"/>
      <c r="L189" s="2183"/>
      <c r="M189" s="2183"/>
      <c r="N189" s="2200">
        <f>'Sources and Uses Budget'!B8</f>
        <v>8650000</v>
      </c>
      <c r="O189" s="2200"/>
      <c r="P189" s="2200"/>
      <c r="Q189" s="2200"/>
      <c r="R189" s="2200"/>
      <c r="S189" s="2200"/>
      <c r="T189" s="2200"/>
      <c r="U189" s="2028"/>
      <c r="V189" s="2028"/>
      <c r="W189" s="2028"/>
      <c r="X189" s="2028"/>
      <c r="Y189" s="2028"/>
      <c r="Z189" s="2028"/>
      <c r="AA189" s="2028"/>
      <c r="AB189" s="2028"/>
      <c r="AC189" s="2028"/>
      <c r="AD189" s="2028"/>
      <c r="AE189" s="2029"/>
      <c r="AF189" s="1190"/>
      <c r="AG189" s="1190"/>
      <c r="AH189" s="2204" t="s">
        <v>2320</v>
      </c>
      <c r="AI189" s="2205"/>
      <c r="AJ189" s="2205"/>
      <c r="AK189" s="2205"/>
      <c r="AL189" s="2205"/>
      <c r="AM189" s="2205"/>
      <c r="AN189" s="2205"/>
      <c r="AO189" s="2205"/>
      <c r="AP189" s="2205"/>
      <c r="AQ189" s="2205"/>
      <c r="AR189" s="2205"/>
      <c r="AS189" s="2205"/>
      <c r="AT189" s="2205"/>
      <c r="AU189" s="2205"/>
      <c r="AV189" s="2205"/>
      <c r="AW189" s="2205"/>
      <c r="AX189" s="2205"/>
      <c r="AY189" s="2205"/>
      <c r="AZ189" s="2205"/>
      <c r="BA189" s="2205"/>
      <c r="BB189" s="2205"/>
      <c r="BC189" s="2205"/>
      <c r="BD189" s="2205"/>
      <c r="BE189" s="2206"/>
    </row>
    <row r="190" spans="1:57" ht="15.75" customHeight="1">
      <c r="A190" s="1190"/>
      <c r="B190" s="1190"/>
      <c r="C190" s="2182" t="s">
        <v>2321</v>
      </c>
      <c r="D190" s="2183"/>
      <c r="E190" s="2183"/>
      <c r="F190" s="2183"/>
      <c r="G190" s="2183"/>
      <c r="H190" s="2183"/>
      <c r="I190" s="2183"/>
      <c r="J190" s="2183"/>
      <c r="K190" s="2183"/>
      <c r="L190" s="2183"/>
      <c r="M190" s="2183"/>
      <c r="N190" s="2191">
        <v>0</v>
      </c>
      <c r="O190" s="2191"/>
      <c r="P190" s="2191"/>
      <c r="Q190" s="2191"/>
      <c r="R190" s="2191"/>
      <c r="S190" s="2191"/>
      <c r="T190" s="2191"/>
      <c r="U190" s="2028"/>
      <c r="V190" s="2028"/>
      <c r="W190" s="2028"/>
      <c r="X190" s="2028"/>
      <c r="Y190" s="2028"/>
      <c r="Z190" s="2028"/>
      <c r="AA190" s="2028"/>
      <c r="AB190" s="2028"/>
      <c r="AC190" s="2028"/>
      <c r="AD190" s="2028"/>
      <c r="AE190" s="2029"/>
      <c r="AF190" s="1190"/>
      <c r="AG190" s="1190"/>
      <c r="AH190" s="2207" t="s">
        <v>2320</v>
      </c>
      <c r="AI190" s="2208"/>
      <c r="AJ190" s="2208"/>
      <c r="AK190" s="2208"/>
      <c r="AL190" s="2208"/>
      <c r="AM190" s="2208"/>
      <c r="AN190" s="2208"/>
      <c r="AO190" s="2208"/>
      <c r="AP190" s="2208"/>
      <c r="AQ190" s="2208"/>
      <c r="AR190" s="2208"/>
      <c r="AS190" s="2208"/>
      <c r="AT190" s="2208"/>
      <c r="AU190" s="2209">
        <v>0</v>
      </c>
      <c r="AV190" s="2209"/>
      <c r="AW190" s="2209"/>
      <c r="AX190" s="2209"/>
      <c r="AY190" s="2209"/>
      <c r="AZ190" s="2209"/>
      <c r="BA190" s="2209"/>
      <c r="BB190" s="2209"/>
      <c r="BC190" s="2210"/>
      <c r="BD190" s="2211"/>
      <c r="BE190" s="2212"/>
    </row>
    <row r="191" spans="1:57" ht="15.75" customHeight="1">
      <c r="A191" s="1190"/>
      <c r="B191" s="1190"/>
      <c r="C191" s="2182" t="s">
        <v>2319</v>
      </c>
      <c r="D191" s="2183"/>
      <c r="E191" s="2183"/>
      <c r="F191" s="2183"/>
      <c r="G191" s="2183"/>
      <c r="H191" s="2183"/>
      <c r="I191" s="2183"/>
      <c r="J191" s="2183"/>
      <c r="K191" s="2183"/>
      <c r="L191" s="2183"/>
      <c r="M191" s="2183"/>
      <c r="N191" s="2191">
        <v>0</v>
      </c>
      <c r="O191" s="2191"/>
      <c r="P191" s="2191"/>
      <c r="Q191" s="2191"/>
      <c r="R191" s="2191"/>
      <c r="S191" s="2191"/>
      <c r="T191" s="2191"/>
      <c r="U191" s="2028"/>
      <c r="V191" s="2028"/>
      <c r="W191" s="2028"/>
      <c r="X191" s="2028"/>
      <c r="Y191" s="2028"/>
      <c r="Z191" s="2028"/>
      <c r="AA191" s="2028"/>
      <c r="AB191" s="2028"/>
      <c r="AC191" s="2028"/>
      <c r="AD191" s="2028"/>
      <c r="AE191" s="2029"/>
      <c r="AF191" s="1190"/>
      <c r="AG191" s="1190"/>
      <c r="AH191" s="2192" t="s">
        <v>2318</v>
      </c>
      <c r="AI191" s="2193"/>
      <c r="AJ191" s="2193"/>
      <c r="AK191" s="2193"/>
      <c r="AL191" s="2193"/>
      <c r="AM191" s="2193"/>
      <c r="AN191" s="2193"/>
      <c r="AO191" s="2193"/>
      <c r="AP191" s="2193"/>
      <c r="AQ191" s="2193"/>
      <c r="AR191" s="2193"/>
      <c r="AS191" s="2193"/>
      <c r="AT191" s="2193"/>
      <c r="AU191" s="2194"/>
      <c r="AV191" s="2194"/>
      <c r="AW191" s="2194"/>
      <c r="AX191" s="2194"/>
      <c r="AY191" s="2194"/>
      <c r="AZ191" s="2194"/>
      <c r="BA191" s="2194"/>
      <c r="BB191" s="2194"/>
      <c r="BC191" s="2201"/>
      <c r="BD191" s="2202"/>
      <c r="BE191" s="2203"/>
    </row>
    <row r="192" spans="1:57" ht="15.75" customHeight="1">
      <c r="A192" s="1190"/>
      <c r="B192" s="1190"/>
      <c r="C192" s="2217" t="s">
        <v>299</v>
      </c>
      <c r="D192" s="2160"/>
      <c r="E192" s="2213" t="s">
        <v>2316</v>
      </c>
      <c r="F192" s="2213"/>
      <c r="G192" s="2213"/>
      <c r="H192" s="2213"/>
      <c r="I192" s="2213"/>
      <c r="J192" s="2213"/>
      <c r="K192" s="2213"/>
      <c r="L192" s="2213"/>
      <c r="M192" s="2213"/>
      <c r="N192" s="2191">
        <v>0</v>
      </c>
      <c r="O192" s="2191"/>
      <c r="P192" s="2191"/>
      <c r="Q192" s="2191"/>
      <c r="R192" s="2191"/>
      <c r="S192" s="2191"/>
      <c r="T192" s="2191"/>
      <c r="U192" s="2028"/>
      <c r="V192" s="2028"/>
      <c r="W192" s="2028"/>
      <c r="X192" s="2028"/>
      <c r="Y192" s="2028"/>
      <c r="Z192" s="2028"/>
      <c r="AA192" s="2028"/>
      <c r="AB192" s="2028"/>
      <c r="AC192" s="2028"/>
      <c r="AD192" s="2028"/>
      <c r="AE192" s="2029"/>
      <c r="AF192" s="1190"/>
      <c r="AG192" s="1190"/>
      <c r="AH192" s="2218" t="s">
        <v>2317</v>
      </c>
      <c r="AI192" s="2219"/>
      <c r="AJ192" s="2219"/>
      <c r="AK192" s="2219"/>
      <c r="AL192" s="2219"/>
      <c r="AM192" s="2219"/>
      <c r="AN192" s="2219"/>
      <c r="AO192" s="2219"/>
      <c r="AP192" s="2219"/>
      <c r="AQ192" s="2219"/>
      <c r="AR192" s="2219"/>
      <c r="AS192" s="2219"/>
      <c r="AT192" s="2219"/>
      <c r="AU192" s="2220">
        <f>SUM(AU190:BB191)</f>
        <v>0</v>
      </c>
      <c r="AV192" s="2220"/>
      <c r="AW192" s="2220"/>
      <c r="AX192" s="2220"/>
      <c r="AY192" s="2220"/>
      <c r="AZ192" s="2220"/>
      <c r="BA192" s="2220"/>
      <c r="BB192" s="2220"/>
      <c r="BC192" s="2201"/>
      <c r="BD192" s="2202"/>
      <c r="BE192" s="2203"/>
    </row>
    <row r="193" spans="1:57" ht="15.75" customHeight="1" thickBot="1">
      <c r="A193" s="1190"/>
      <c r="B193" s="1190"/>
      <c r="C193" s="2084" t="s">
        <v>299</v>
      </c>
      <c r="D193" s="2016"/>
      <c r="E193" s="2213" t="s">
        <v>2316</v>
      </c>
      <c r="F193" s="2213"/>
      <c r="G193" s="2213"/>
      <c r="H193" s="2213"/>
      <c r="I193" s="2213"/>
      <c r="J193" s="2213"/>
      <c r="K193" s="2213"/>
      <c r="L193" s="2213"/>
      <c r="M193" s="2213"/>
      <c r="N193" s="2191">
        <v>0</v>
      </c>
      <c r="O193" s="2191"/>
      <c r="P193" s="2191"/>
      <c r="Q193" s="2191"/>
      <c r="R193" s="2191"/>
      <c r="S193" s="2191"/>
      <c r="T193" s="2191"/>
      <c r="U193" s="2028"/>
      <c r="V193" s="2028"/>
      <c r="W193" s="2028"/>
      <c r="X193" s="2028"/>
      <c r="Y193" s="2028"/>
      <c r="Z193" s="2028"/>
      <c r="AA193" s="2028"/>
      <c r="AB193" s="2028"/>
      <c r="AC193" s="2028"/>
      <c r="AD193" s="2028"/>
      <c r="AE193" s="2029"/>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4"/>
      <c r="BD193" s="2215"/>
      <c r="BE193" s="2216"/>
    </row>
    <row r="194" spans="1:57" ht="15.75" customHeight="1" thickBot="1">
      <c r="A194" s="1190"/>
      <c r="B194" s="1190"/>
      <c r="C194" s="2238" t="s">
        <v>299</v>
      </c>
      <c r="D194" s="2239"/>
      <c r="E194" s="2240" t="s">
        <v>2316</v>
      </c>
      <c r="F194" s="2240"/>
      <c r="G194" s="2240"/>
      <c r="H194" s="2240"/>
      <c r="I194" s="2240"/>
      <c r="J194" s="2240"/>
      <c r="K194" s="2240"/>
      <c r="L194" s="2240"/>
      <c r="M194" s="2241"/>
      <c r="N194" s="2242">
        <v>0</v>
      </c>
      <c r="O194" s="2242"/>
      <c r="P194" s="2242"/>
      <c r="Q194" s="2242"/>
      <c r="R194" s="2242"/>
      <c r="S194" s="2242"/>
      <c r="T194" s="2243"/>
      <c r="U194" s="2244"/>
      <c r="V194" s="2245"/>
      <c r="W194" s="2245"/>
      <c r="X194" s="2245"/>
      <c r="Y194" s="2245"/>
      <c r="Z194" s="2245"/>
      <c r="AA194" s="2245"/>
      <c r="AB194" s="2245"/>
      <c r="AC194" s="2245"/>
      <c r="AD194" s="2245"/>
      <c r="AE194" s="2246"/>
      <c r="AF194" s="1190"/>
      <c r="AG194" s="1190"/>
      <c r="AH194" s="2247" t="s">
        <v>2315</v>
      </c>
      <c r="AI194" s="2248"/>
      <c r="AJ194" s="2248"/>
      <c r="AK194" s="2248"/>
      <c r="AL194" s="2248"/>
      <c r="AM194" s="2248"/>
      <c r="AN194" s="2248"/>
      <c r="AO194" s="2248"/>
      <c r="AP194" s="2248"/>
      <c r="AQ194" s="2248"/>
      <c r="AR194" s="2248"/>
      <c r="AS194" s="2248"/>
      <c r="AT194" s="2248"/>
      <c r="AU194" s="2249"/>
      <c r="AV194" s="2249"/>
      <c r="AW194" s="2249"/>
      <c r="AX194" s="2249"/>
      <c r="AY194" s="2249"/>
      <c r="AZ194" s="2249"/>
      <c r="BA194" s="2249"/>
      <c r="BB194" s="2249"/>
      <c r="BC194" s="1171"/>
      <c r="BD194" s="1171"/>
      <c r="BE194" s="1232"/>
    </row>
    <row r="195" spans="1:57" ht="15.75" customHeight="1">
      <c r="A195" s="1190"/>
      <c r="B195" s="1190"/>
      <c r="C195" s="2221" t="s">
        <v>2314</v>
      </c>
      <c r="D195" s="2222"/>
      <c r="E195" s="2222"/>
      <c r="F195" s="2222"/>
      <c r="G195" s="2222"/>
      <c r="H195" s="2222"/>
      <c r="I195" s="2222"/>
      <c r="J195" s="2222"/>
      <c r="K195" s="2222"/>
      <c r="L195" s="2222"/>
      <c r="M195" s="2222"/>
      <c r="N195" s="2223">
        <f>SUM(N187:T194)</f>
        <v>13793500</v>
      </c>
      <c r="O195" s="2223"/>
      <c r="P195" s="2223"/>
      <c r="Q195" s="2223"/>
      <c r="R195" s="2223"/>
      <c r="S195" s="2223"/>
      <c r="T195" s="2224"/>
      <c r="U195" s="1190"/>
      <c r="V195" s="1190"/>
      <c r="W195" s="1190"/>
      <c r="X195" s="1190"/>
      <c r="Y195" s="1190"/>
      <c r="Z195" s="1190"/>
      <c r="AA195" s="1190"/>
      <c r="AB195" s="1190"/>
      <c r="AC195" s="1190"/>
      <c r="AD195" s="1190"/>
      <c r="AE195" s="1190"/>
      <c r="AF195" s="1190"/>
      <c r="AG195" s="1190"/>
      <c r="AH195" s="2225" t="s">
        <v>2313</v>
      </c>
      <c r="AI195" s="2226"/>
      <c r="AJ195" s="2226"/>
      <c r="AK195" s="2226"/>
      <c r="AL195" s="2226"/>
      <c r="AM195" s="2226"/>
      <c r="AN195" s="2226"/>
      <c r="AO195" s="2226"/>
      <c r="AP195" s="2226"/>
      <c r="AQ195" s="2226"/>
      <c r="AR195" s="2226"/>
      <c r="AS195" s="2226"/>
      <c r="AT195" s="2226"/>
      <c r="AU195" s="2226"/>
      <c r="AV195" s="2226"/>
      <c r="AW195" s="2226"/>
      <c r="AX195" s="2226"/>
      <c r="AY195" s="2226"/>
      <c r="AZ195" s="2226"/>
      <c r="BA195" s="2226"/>
      <c r="BB195" s="2226"/>
      <c r="BC195" s="2226"/>
      <c r="BD195" s="2226"/>
      <c r="BE195" s="2227"/>
    </row>
    <row r="196" spans="1:57" ht="15.75" customHeight="1" thickBot="1">
      <c r="A196" s="1190"/>
      <c r="B196" s="1190"/>
      <c r="C196" s="2231" t="s">
        <v>2312</v>
      </c>
      <c r="D196" s="2232"/>
      <c r="E196" s="2232"/>
      <c r="F196" s="2232"/>
      <c r="G196" s="2232"/>
      <c r="H196" s="2232"/>
      <c r="I196" s="2232"/>
      <c r="J196" s="2232"/>
      <c r="K196" s="2232"/>
      <c r="L196" s="2232"/>
      <c r="M196" s="2232"/>
      <c r="N196" s="2233">
        <f>(N185-N195)/J29</f>
        <v>418456.78625954199</v>
      </c>
      <c r="O196" s="2234"/>
      <c r="P196" s="2234"/>
      <c r="Q196" s="2234"/>
      <c r="R196" s="2234"/>
      <c r="S196" s="2234"/>
      <c r="T196" s="2235"/>
      <c r="U196" s="1195"/>
      <c r="V196" s="1190"/>
      <c r="W196" s="1190"/>
      <c r="X196" s="1190"/>
      <c r="Y196" s="1190"/>
      <c r="Z196" s="1190"/>
      <c r="AA196" s="1190"/>
      <c r="AB196" s="1190"/>
      <c r="AC196" s="1190"/>
      <c r="AD196" s="1190"/>
      <c r="AE196" s="1190"/>
      <c r="AF196" s="1190"/>
      <c r="AG196" s="1190"/>
      <c r="AH196" s="2228"/>
      <c r="AI196" s="2229"/>
      <c r="AJ196" s="2229"/>
      <c r="AK196" s="2229"/>
      <c r="AL196" s="2229"/>
      <c r="AM196" s="2229"/>
      <c r="AN196" s="2229"/>
      <c r="AO196" s="2229"/>
      <c r="AP196" s="2229"/>
      <c r="AQ196" s="2229"/>
      <c r="AR196" s="2229"/>
      <c r="AS196" s="2229"/>
      <c r="AT196" s="2229"/>
      <c r="AU196" s="2229"/>
      <c r="AV196" s="2229"/>
      <c r="AW196" s="2229"/>
      <c r="AX196" s="2229"/>
      <c r="AY196" s="2229"/>
      <c r="AZ196" s="2229"/>
      <c r="BA196" s="2229"/>
      <c r="BB196" s="2229"/>
      <c r="BC196" s="2229"/>
      <c r="BD196" s="2229"/>
      <c r="BE196" s="2230"/>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6"/>
      <c r="AI197" s="2236"/>
      <c r="AJ197" s="2236"/>
      <c r="AK197" s="2236"/>
      <c r="AL197" s="2236"/>
      <c r="AM197" s="2236"/>
      <c r="AN197" s="2236"/>
      <c r="AO197" s="2236"/>
      <c r="AP197" s="2236"/>
      <c r="AQ197" s="2236"/>
      <c r="AR197" s="2236"/>
      <c r="AS197" s="2237"/>
      <c r="AT197" s="2237"/>
      <c r="AU197" s="2237"/>
      <c r="AV197" s="2237"/>
      <c r="AW197" s="2237"/>
      <c r="AX197" s="2237"/>
      <c r="AY197" s="2237"/>
      <c r="AZ197" s="2237"/>
      <c r="BA197" s="2237"/>
      <c r="BB197" s="2237"/>
      <c r="BC197" s="2237"/>
      <c r="BD197" s="2237"/>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5" t="s">
        <v>2311</v>
      </c>
      <c r="D199" s="2256"/>
      <c r="E199" s="2256"/>
      <c r="F199" s="2256"/>
      <c r="G199" s="2256"/>
      <c r="H199" s="2256"/>
      <c r="I199" s="2256"/>
      <c r="J199" s="2256"/>
      <c r="K199" s="2256"/>
      <c r="L199" s="2256"/>
      <c r="M199" s="2256"/>
      <c r="N199" s="2256"/>
      <c r="O199" s="2256"/>
      <c r="P199" s="2256"/>
      <c r="Q199" s="2256"/>
      <c r="R199" s="2256"/>
      <c r="S199" s="2256"/>
      <c r="T199" s="2256"/>
      <c r="U199" s="2256"/>
      <c r="V199" s="2256"/>
      <c r="W199" s="2256"/>
      <c r="X199" s="2256"/>
      <c r="Y199" s="2256"/>
      <c r="Z199" s="2256"/>
      <c r="AA199" s="2256"/>
      <c r="AB199" s="2256"/>
      <c r="AC199" s="2256"/>
      <c r="AD199" s="2256"/>
      <c r="AE199" s="2257"/>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8" t="s">
        <v>2310</v>
      </c>
      <c r="D200" s="2258"/>
      <c r="E200" s="2258"/>
      <c r="F200" s="2258"/>
      <c r="G200" s="2258"/>
      <c r="H200" s="2258"/>
      <c r="I200" s="2258"/>
      <c r="J200" s="2258"/>
      <c r="K200" s="2258"/>
      <c r="L200" s="2258"/>
      <c r="M200" s="2258"/>
      <c r="N200" s="2258"/>
      <c r="O200" s="2259" t="s">
        <v>2309</v>
      </c>
      <c r="P200" s="2259"/>
      <c r="Q200" s="2259"/>
      <c r="R200" s="2259"/>
      <c r="S200" s="2259"/>
      <c r="T200" s="2259"/>
      <c r="U200" s="2259"/>
      <c r="V200" s="2259"/>
      <c r="W200" s="2259"/>
      <c r="X200" s="2259" t="s">
        <v>2308</v>
      </c>
      <c r="Y200" s="2259"/>
      <c r="Z200" s="2259"/>
      <c r="AA200" s="2259"/>
      <c r="AB200" s="2259"/>
      <c r="AC200" s="2259"/>
      <c r="AD200" s="2259"/>
      <c r="AE200" s="2259"/>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50" t="s">
        <v>2307</v>
      </c>
      <c r="D201" s="2250"/>
      <c r="E201" s="2250"/>
      <c r="F201" s="2250"/>
      <c r="G201" s="2250"/>
      <c r="H201" s="2250"/>
      <c r="I201" s="2250"/>
      <c r="J201" s="2250"/>
      <c r="K201" s="2250"/>
      <c r="L201" s="2250"/>
      <c r="M201" s="2250"/>
      <c r="N201" s="2250"/>
      <c r="O201" s="2251" t="s">
        <v>2306</v>
      </c>
      <c r="P201" s="2251"/>
      <c r="Q201" s="2251"/>
      <c r="R201" s="2251"/>
      <c r="S201" s="2251"/>
      <c r="T201" s="2251"/>
      <c r="U201" s="2251"/>
      <c r="V201" s="2251"/>
      <c r="W201" s="2251"/>
      <c r="X201" s="2252">
        <v>0.03</v>
      </c>
      <c r="Y201" s="2252"/>
      <c r="Z201" s="2252"/>
      <c r="AA201" s="2252"/>
      <c r="AB201" s="2252"/>
      <c r="AC201" s="2252"/>
      <c r="AD201" s="2252"/>
      <c r="AE201" s="2252"/>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50" t="s">
        <v>853</v>
      </c>
      <c r="D202" s="2250"/>
      <c r="E202" s="2250"/>
      <c r="F202" s="2250"/>
      <c r="G202" s="2250"/>
      <c r="H202" s="2250"/>
      <c r="I202" s="2250"/>
      <c r="J202" s="2250"/>
      <c r="K202" s="2250"/>
      <c r="L202" s="2250"/>
      <c r="M202" s="2250"/>
      <c r="N202" s="2250"/>
      <c r="O202" s="2251" t="s">
        <v>2306</v>
      </c>
      <c r="P202" s="2251"/>
      <c r="Q202" s="2251"/>
      <c r="R202" s="2251"/>
      <c r="S202" s="2251"/>
      <c r="T202" s="2251"/>
      <c r="U202" s="2251"/>
      <c r="V202" s="2251"/>
      <c r="W202" s="2251"/>
      <c r="X202" s="2252">
        <v>0.03</v>
      </c>
      <c r="Y202" s="2252"/>
      <c r="Z202" s="2252"/>
      <c r="AA202" s="2252"/>
      <c r="AB202" s="2252"/>
      <c r="AC202" s="2252"/>
      <c r="AD202" s="2252"/>
      <c r="AE202" s="2252"/>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50" t="s">
        <v>2305</v>
      </c>
      <c r="D203" s="2250"/>
      <c r="E203" s="2250"/>
      <c r="F203" s="2250"/>
      <c r="G203" s="2250"/>
      <c r="H203" s="2250"/>
      <c r="I203" s="2250"/>
      <c r="J203" s="2250"/>
      <c r="K203" s="2250"/>
      <c r="L203" s="2250"/>
      <c r="M203" s="2250"/>
      <c r="N203" s="2250"/>
      <c r="O203" s="2253">
        <f>SUM(O201:W202)</f>
        <v>0</v>
      </c>
      <c r="P203" s="2254"/>
      <c r="Q203" s="2254"/>
      <c r="R203" s="2254"/>
      <c r="S203" s="2254"/>
      <c r="T203" s="2254"/>
      <c r="U203" s="2254"/>
      <c r="V203" s="2254"/>
      <c r="W203" s="2254"/>
      <c r="X203" s="2254" t="s">
        <v>2304</v>
      </c>
      <c r="Y203" s="2254"/>
      <c r="Z203" s="2254"/>
      <c r="AA203" s="2254"/>
      <c r="AB203" s="2254"/>
      <c r="AC203" s="2254"/>
      <c r="AD203" s="2254"/>
      <c r="AE203" s="2254"/>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60" t="s">
        <v>2303</v>
      </c>
      <c r="D204" s="2260"/>
      <c r="E204" s="2260"/>
      <c r="F204" s="2260"/>
      <c r="G204" s="2260"/>
      <c r="H204" s="2260"/>
      <c r="I204" s="2260"/>
      <c r="J204" s="2260"/>
      <c r="K204" s="2260"/>
      <c r="L204" s="2260"/>
      <c r="M204" s="2260"/>
      <c r="N204" s="2260"/>
      <c r="O204" s="2260"/>
      <c r="P204" s="2260"/>
      <c r="Q204" s="2260"/>
      <c r="R204" s="2260"/>
      <c r="S204" s="2260"/>
      <c r="T204" s="2260"/>
      <c r="U204" s="2260"/>
      <c r="V204" s="2260"/>
      <c r="W204" s="2260"/>
      <c r="X204" s="2260"/>
      <c r="Y204" s="2260"/>
      <c r="Z204" s="2260"/>
      <c r="AA204" s="2260"/>
      <c r="AB204" s="2260"/>
      <c r="AC204" s="2260"/>
      <c r="AD204" s="2260"/>
      <c r="AE204" s="2260"/>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61" t="s">
        <v>2302</v>
      </c>
      <c r="D206" s="2262"/>
      <c r="E206" s="2262"/>
      <c r="F206" s="2262"/>
      <c r="G206" s="2262"/>
      <c r="H206" s="2262"/>
      <c r="I206" s="2262"/>
      <c r="J206" s="2262"/>
      <c r="K206" s="2262"/>
      <c r="L206" s="2262"/>
      <c r="M206" s="2262"/>
      <c r="N206" s="2262"/>
      <c r="O206" s="2262"/>
      <c r="P206" s="2262"/>
      <c r="Q206" s="2262"/>
      <c r="R206" s="2262"/>
      <c r="S206" s="2262"/>
      <c r="T206" s="2262"/>
      <c r="U206" s="2262"/>
      <c r="V206" s="2262"/>
      <c r="W206" s="2262"/>
      <c r="X206" s="2262"/>
      <c r="Y206" s="2262"/>
      <c r="Z206" s="2262"/>
      <c r="AA206" s="2262"/>
      <c r="AB206" s="2262"/>
      <c r="AC206" s="2262"/>
      <c r="AD206" s="2262"/>
      <c r="AE206" s="2262"/>
      <c r="AF206" s="2262"/>
      <c r="AG206" s="2262"/>
      <c r="AH206" s="2262"/>
      <c r="AI206" s="2262"/>
      <c r="AJ206" s="2262"/>
      <c r="AK206" s="2263"/>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4" t="s">
        <v>2301</v>
      </c>
      <c r="D207" s="2265"/>
      <c r="E207" s="2265"/>
      <c r="F207" s="2266"/>
      <c r="G207" s="2270" t="s">
        <v>2300</v>
      </c>
      <c r="H207" s="2265"/>
      <c r="I207" s="2265"/>
      <c r="J207" s="2265"/>
      <c r="K207" s="2265"/>
      <c r="L207" s="2265"/>
      <c r="M207" s="2265"/>
      <c r="N207" s="2265"/>
      <c r="O207" s="2266"/>
      <c r="P207" s="2272" t="s">
        <v>2299</v>
      </c>
      <c r="Q207" s="2273"/>
      <c r="R207" s="2273"/>
      <c r="S207" s="2273"/>
      <c r="T207" s="2274"/>
      <c r="U207" s="2278" t="s">
        <v>2298</v>
      </c>
      <c r="V207" s="2279"/>
      <c r="W207" s="2279"/>
      <c r="X207" s="2280"/>
      <c r="Y207" s="2278" t="s">
        <v>2297</v>
      </c>
      <c r="Z207" s="2279"/>
      <c r="AA207" s="2279"/>
      <c r="AB207" s="2280"/>
      <c r="AC207" s="2278" t="s">
        <v>2296</v>
      </c>
      <c r="AD207" s="2279"/>
      <c r="AE207" s="2279"/>
      <c r="AF207" s="2280"/>
      <c r="AG207" s="2270" t="s">
        <v>2295</v>
      </c>
      <c r="AH207" s="2265"/>
      <c r="AI207" s="2265"/>
      <c r="AJ207" s="2265"/>
      <c r="AK207" s="2284"/>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7"/>
      <c r="D208" s="2268"/>
      <c r="E208" s="2268"/>
      <c r="F208" s="2269"/>
      <c r="G208" s="2271"/>
      <c r="H208" s="2268"/>
      <c r="I208" s="2268"/>
      <c r="J208" s="2268"/>
      <c r="K208" s="2268"/>
      <c r="L208" s="2268"/>
      <c r="M208" s="2268"/>
      <c r="N208" s="2268"/>
      <c r="O208" s="2269"/>
      <c r="P208" s="2275"/>
      <c r="Q208" s="2276"/>
      <c r="R208" s="2276"/>
      <c r="S208" s="2276"/>
      <c r="T208" s="2277"/>
      <c r="U208" s="2281"/>
      <c r="V208" s="2282"/>
      <c r="W208" s="2282"/>
      <c r="X208" s="2283"/>
      <c r="Y208" s="2281"/>
      <c r="Z208" s="2282"/>
      <c r="AA208" s="2282"/>
      <c r="AB208" s="2283"/>
      <c r="AC208" s="2281"/>
      <c r="AD208" s="2282"/>
      <c r="AE208" s="2282"/>
      <c r="AF208" s="2283"/>
      <c r="AG208" s="2271"/>
      <c r="AH208" s="2268"/>
      <c r="AI208" s="2268"/>
      <c r="AJ208" s="2268"/>
      <c r="AK208" s="2285"/>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9">
        <v>1</v>
      </c>
      <c r="D209" s="2290"/>
      <c r="E209" s="2290"/>
      <c r="F209" s="2290"/>
      <c r="G209" s="2291" t="s">
        <v>1884</v>
      </c>
      <c r="H209" s="2291"/>
      <c r="I209" s="2291"/>
      <c r="J209" s="2291"/>
      <c r="K209" s="2291"/>
      <c r="L209" s="2291"/>
      <c r="M209" s="2291"/>
      <c r="N209" s="2291"/>
      <c r="O209" s="2291"/>
      <c r="P209" s="2292"/>
      <c r="Q209" s="2295"/>
      <c r="R209" s="2295"/>
      <c r="S209" s="2295"/>
      <c r="T209" s="2295"/>
      <c r="U209" s="2293" t="s">
        <v>1884</v>
      </c>
      <c r="V209" s="2293"/>
      <c r="W209" s="2293"/>
      <c r="X209" s="2293"/>
      <c r="Y209" s="2293" t="s">
        <v>1884</v>
      </c>
      <c r="Z209" s="2293"/>
      <c r="AA209" s="2293"/>
      <c r="AB209" s="2293"/>
      <c r="AC209" s="2294" t="s">
        <v>1884</v>
      </c>
      <c r="AD209" s="2294"/>
      <c r="AE209" s="2294"/>
      <c r="AF209" s="2294"/>
      <c r="AG209" s="2286"/>
      <c r="AH209" s="2287"/>
      <c r="AI209" s="2287"/>
      <c r="AJ209" s="2287"/>
      <c r="AK209" s="2288"/>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9">
        <v>2</v>
      </c>
      <c r="D210" s="2290"/>
      <c r="E210" s="2290"/>
      <c r="F210" s="2290"/>
      <c r="G210" s="2291" t="s">
        <v>1884</v>
      </c>
      <c r="H210" s="2291"/>
      <c r="I210" s="2291"/>
      <c r="J210" s="2291"/>
      <c r="K210" s="2291"/>
      <c r="L210" s="2291"/>
      <c r="M210" s="2291"/>
      <c r="N210" s="2291"/>
      <c r="O210" s="2291"/>
      <c r="P210" s="2292"/>
      <c r="Q210" s="2292"/>
      <c r="R210" s="2292"/>
      <c r="S210" s="2292"/>
      <c r="T210" s="2292"/>
      <c r="U210" s="2293" t="s">
        <v>1884</v>
      </c>
      <c r="V210" s="2293"/>
      <c r="W210" s="2293"/>
      <c r="X210" s="2293"/>
      <c r="Y210" s="2293" t="s">
        <v>1884</v>
      </c>
      <c r="Z210" s="2293"/>
      <c r="AA210" s="2293"/>
      <c r="AB210" s="2293"/>
      <c r="AC210" s="2294" t="s">
        <v>1884</v>
      </c>
      <c r="AD210" s="2294"/>
      <c r="AE210" s="2294"/>
      <c r="AF210" s="2294"/>
      <c r="AG210" s="2286"/>
      <c r="AH210" s="2287"/>
      <c r="AI210" s="2287"/>
      <c r="AJ210" s="2287"/>
      <c r="AK210" s="2288"/>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9">
        <v>3</v>
      </c>
      <c r="D211" s="2290"/>
      <c r="E211" s="2290"/>
      <c r="F211" s="2290"/>
      <c r="G211" s="2291" t="s">
        <v>1884</v>
      </c>
      <c r="H211" s="2291"/>
      <c r="I211" s="2291"/>
      <c r="J211" s="2291"/>
      <c r="K211" s="2291"/>
      <c r="L211" s="2291"/>
      <c r="M211" s="2291"/>
      <c r="N211" s="2291"/>
      <c r="O211" s="2291"/>
      <c r="P211" s="2292"/>
      <c r="Q211" s="2292"/>
      <c r="R211" s="2292"/>
      <c r="S211" s="2292"/>
      <c r="T211" s="2292"/>
      <c r="U211" s="2293" t="s">
        <v>1884</v>
      </c>
      <c r="V211" s="2293"/>
      <c r="W211" s="2293"/>
      <c r="X211" s="2293"/>
      <c r="Y211" s="2293" t="s">
        <v>1884</v>
      </c>
      <c r="Z211" s="2293"/>
      <c r="AA211" s="2293"/>
      <c r="AB211" s="2293"/>
      <c r="AC211" s="2294" t="s">
        <v>1884</v>
      </c>
      <c r="AD211" s="2294"/>
      <c r="AE211" s="2294"/>
      <c r="AF211" s="2294"/>
      <c r="AG211" s="2286"/>
      <c r="AH211" s="2287"/>
      <c r="AI211" s="2287"/>
      <c r="AJ211" s="2287"/>
      <c r="AK211" s="2288"/>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9">
        <v>4</v>
      </c>
      <c r="D212" s="2290"/>
      <c r="E212" s="2290"/>
      <c r="F212" s="2290"/>
      <c r="G212" s="2291" t="s">
        <v>1884</v>
      </c>
      <c r="H212" s="2291"/>
      <c r="I212" s="2291"/>
      <c r="J212" s="2291"/>
      <c r="K212" s="2291"/>
      <c r="L212" s="2291"/>
      <c r="M212" s="2291"/>
      <c r="N212" s="2291"/>
      <c r="O212" s="2291"/>
      <c r="P212" s="2292"/>
      <c r="Q212" s="2292"/>
      <c r="R212" s="2292"/>
      <c r="S212" s="2292"/>
      <c r="T212" s="2292"/>
      <c r="U212" s="2293" t="s">
        <v>1884</v>
      </c>
      <c r="V212" s="2293"/>
      <c r="W212" s="2293"/>
      <c r="X212" s="2293"/>
      <c r="Y212" s="2293" t="s">
        <v>1884</v>
      </c>
      <c r="Z212" s="2293"/>
      <c r="AA212" s="2293"/>
      <c r="AB212" s="2293"/>
      <c r="AC212" s="2294" t="s">
        <v>1884</v>
      </c>
      <c r="AD212" s="2294"/>
      <c r="AE212" s="2294"/>
      <c r="AF212" s="2294"/>
      <c r="AG212" s="2286"/>
      <c r="AH212" s="2287"/>
      <c r="AI212" s="2287"/>
      <c r="AJ212" s="2287"/>
      <c r="AK212" s="2288"/>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9">
        <v>5</v>
      </c>
      <c r="D213" s="2290"/>
      <c r="E213" s="2290"/>
      <c r="F213" s="2290"/>
      <c r="G213" s="2291" t="s">
        <v>1884</v>
      </c>
      <c r="H213" s="2291"/>
      <c r="I213" s="2291"/>
      <c r="J213" s="2291"/>
      <c r="K213" s="2291"/>
      <c r="L213" s="2291"/>
      <c r="M213" s="2291"/>
      <c r="N213" s="2291"/>
      <c r="O213" s="2291"/>
      <c r="P213" s="2292"/>
      <c r="Q213" s="2292"/>
      <c r="R213" s="2292"/>
      <c r="S213" s="2292"/>
      <c r="T213" s="2292"/>
      <c r="U213" s="2293" t="s">
        <v>1884</v>
      </c>
      <c r="V213" s="2293"/>
      <c r="W213" s="2293"/>
      <c r="X213" s="2293"/>
      <c r="Y213" s="2293" t="s">
        <v>1884</v>
      </c>
      <c r="Z213" s="2293"/>
      <c r="AA213" s="2293"/>
      <c r="AB213" s="2293"/>
      <c r="AC213" s="2294" t="s">
        <v>1884</v>
      </c>
      <c r="AD213" s="2294"/>
      <c r="AE213" s="2294"/>
      <c r="AF213" s="2294"/>
      <c r="AG213" s="2286"/>
      <c r="AH213" s="2287"/>
      <c r="AI213" s="2287"/>
      <c r="AJ213" s="2287"/>
      <c r="AK213" s="2288"/>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9">
        <v>6</v>
      </c>
      <c r="D214" s="2290"/>
      <c r="E214" s="2290"/>
      <c r="F214" s="2290"/>
      <c r="G214" s="2291" t="s">
        <v>1884</v>
      </c>
      <c r="H214" s="2291"/>
      <c r="I214" s="2291"/>
      <c r="J214" s="2291"/>
      <c r="K214" s="2291"/>
      <c r="L214" s="2291"/>
      <c r="M214" s="2291"/>
      <c r="N214" s="2291"/>
      <c r="O214" s="2291"/>
      <c r="P214" s="2292"/>
      <c r="Q214" s="2292"/>
      <c r="R214" s="2292"/>
      <c r="S214" s="2292"/>
      <c r="T214" s="2292"/>
      <c r="U214" s="2293"/>
      <c r="V214" s="2293"/>
      <c r="W214" s="2293"/>
      <c r="X214" s="2293"/>
      <c r="Y214" s="2293"/>
      <c r="Z214" s="2293"/>
      <c r="AA214" s="2293"/>
      <c r="AB214" s="2293"/>
      <c r="AC214" s="2294" t="s">
        <v>1884</v>
      </c>
      <c r="AD214" s="2294"/>
      <c r="AE214" s="2294"/>
      <c r="AF214" s="2294"/>
      <c r="AG214" s="2286"/>
      <c r="AH214" s="2287"/>
      <c r="AI214" s="2287"/>
      <c r="AJ214" s="2287"/>
      <c r="AK214" s="2288"/>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9">
        <v>7</v>
      </c>
      <c r="D215" s="2290"/>
      <c r="E215" s="2290"/>
      <c r="F215" s="2290"/>
      <c r="G215" s="2291"/>
      <c r="H215" s="2291"/>
      <c r="I215" s="2291"/>
      <c r="J215" s="2291"/>
      <c r="K215" s="2291"/>
      <c r="L215" s="2291"/>
      <c r="M215" s="2291"/>
      <c r="N215" s="2291"/>
      <c r="O215" s="2291"/>
      <c r="P215" s="2292"/>
      <c r="Q215" s="2292"/>
      <c r="R215" s="2292"/>
      <c r="S215" s="2292"/>
      <c r="T215" s="2292"/>
      <c r="U215" s="2293"/>
      <c r="V215" s="2293"/>
      <c r="W215" s="2293"/>
      <c r="X215" s="2293"/>
      <c r="Y215" s="2293"/>
      <c r="Z215" s="2293"/>
      <c r="AA215" s="2293"/>
      <c r="AB215" s="2293"/>
      <c r="AC215" s="2294" t="s">
        <v>1884</v>
      </c>
      <c r="AD215" s="2294"/>
      <c r="AE215" s="2294"/>
      <c r="AF215" s="2294"/>
      <c r="AG215" s="2286"/>
      <c r="AH215" s="2287"/>
      <c r="AI215" s="2287"/>
      <c r="AJ215" s="2287"/>
      <c r="AK215" s="2288"/>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8" t="s">
        <v>2294</v>
      </c>
      <c r="D216" s="2309"/>
      <c r="E216" s="2309"/>
      <c r="F216" s="2309"/>
      <c r="G216" s="2309"/>
      <c r="H216" s="2309"/>
      <c r="I216" s="2309"/>
      <c r="J216" s="2309"/>
      <c r="K216" s="2309"/>
      <c r="L216" s="2309"/>
      <c r="M216" s="2309"/>
      <c r="N216" s="2309"/>
      <c r="O216" s="2309"/>
      <c r="P216" s="2310"/>
      <c r="Q216" s="2310"/>
      <c r="R216" s="2310"/>
      <c r="S216" s="2310"/>
      <c r="T216" s="2310"/>
      <c r="U216" s="2311">
        <f>-SUM(U209:U215)</f>
        <v>0</v>
      </c>
      <c r="V216" s="2311"/>
      <c r="W216" s="2311"/>
      <c r="X216" s="2311"/>
      <c r="Y216" s="2311">
        <f>-SUM(Y209:Y215)</f>
        <v>0</v>
      </c>
      <c r="Z216" s="2311"/>
      <c r="AA216" s="2311"/>
      <c r="AB216" s="2311"/>
      <c r="AC216" s="2312">
        <f>-SUM(AC209:AC215)</f>
        <v>0</v>
      </c>
      <c r="AD216" s="2312"/>
      <c r="AE216" s="2312"/>
      <c r="AF216" s="2312"/>
      <c r="AG216" s="2313"/>
      <c r="AH216" s="2314"/>
      <c r="AI216" s="2314"/>
      <c r="AJ216" s="2314"/>
      <c r="AK216" s="2315"/>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2293</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6" t="s">
        <v>2292</v>
      </c>
      <c r="C221" s="2297"/>
      <c r="D221" s="2297"/>
      <c r="E221" s="2297"/>
      <c r="F221" s="2297"/>
      <c r="G221" s="2297"/>
      <c r="H221" s="2297"/>
      <c r="I221" s="2297"/>
      <c r="J221" s="2297"/>
      <c r="K221" s="2297"/>
      <c r="L221" s="2297"/>
      <c r="M221" s="2297"/>
      <c r="N221" s="2297"/>
      <c r="O221" s="2297"/>
      <c r="P221" s="2297"/>
      <c r="Q221" s="2297"/>
      <c r="R221" s="2297"/>
      <c r="S221" s="2297"/>
      <c r="T221" s="2297"/>
      <c r="U221" s="2297"/>
      <c r="V221" s="2297"/>
      <c r="W221" s="2297"/>
      <c r="X221" s="2297"/>
      <c r="Y221" s="2297"/>
      <c r="Z221" s="2297"/>
      <c r="AA221" s="2297"/>
      <c r="AB221" s="2297"/>
      <c r="AC221" s="2297"/>
      <c r="AD221" s="2297"/>
      <c r="AE221" s="2297"/>
      <c r="AF221" s="2297"/>
      <c r="AG221" s="2297"/>
      <c r="AH221" s="2297"/>
      <c r="AI221" s="2297"/>
      <c r="AJ221" s="2297"/>
      <c r="AK221" s="2297"/>
      <c r="AL221" s="2297"/>
      <c r="AM221" s="2297"/>
      <c r="AN221" s="2297"/>
      <c r="AO221" s="2297"/>
      <c r="AP221" s="2297"/>
      <c r="AQ221" s="2297"/>
      <c r="AR221" s="2297"/>
      <c r="AS221" s="2297"/>
      <c r="AT221" s="2297"/>
      <c r="AU221" s="2297"/>
      <c r="AV221" s="2297"/>
      <c r="AW221" s="2297"/>
      <c r="AX221" s="2297"/>
      <c r="AY221" s="2297"/>
      <c r="AZ221" s="2297"/>
      <c r="BA221" s="2297"/>
      <c r="BB221" s="2297"/>
      <c r="BC221" s="2297"/>
      <c r="BD221" s="2298"/>
      <c r="BE221" s="1194"/>
    </row>
    <row r="222" spans="1:57" ht="15.75" customHeight="1">
      <c r="A222" s="1190"/>
      <c r="B222" s="2299"/>
      <c r="C222" s="2300"/>
      <c r="D222" s="2300"/>
      <c r="E222" s="2300"/>
      <c r="F222" s="2300"/>
      <c r="G222" s="2300"/>
      <c r="H222" s="2300"/>
      <c r="I222" s="2300"/>
      <c r="J222" s="2300"/>
      <c r="K222" s="2300"/>
      <c r="L222" s="2300"/>
      <c r="M222" s="2300"/>
      <c r="N222" s="2300"/>
      <c r="O222" s="2300"/>
      <c r="P222" s="2300"/>
      <c r="Q222" s="2300"/>
      <c r="R222" s="2300"/>
      <c r="S222" s="2300"/>
      <c r="T222" s="2300"/>
      <c r="U222" s="2300"/>
      <c r="V222" s="2300"/>
      <c r="W222" s="2300"/>
      <c r="X222" s="2300"/>
      <c r="Y222" s="2300"/>
      <c r="Z222" s="2300"/>
      <c r="AA222" s="2300"/>
      <c r="AB222" s="2300"/>
      <c r="AC222" s="2300"/>
      <c r="AD222" s="2300"/>
      <c r="AE222" s="2300"/>
      <c r="AF222" s="2300"/>
      <c r="AG222" s="2300"/>
      <c r="AH222" s="2300"/>
      <c r="AI222" s="2300"/>
      <c r="AJ222" s="2300"/>
      <c r="AK222" s="2300"/>
      <c r="AL222" s="2300"/>
      <c r="AM222" s="2300"/>
      <c r="AN222" s="2300"/>
      <c r="AO222" s="2300"/>
      <c r="AP222" s="2300"/>
      <c r="AQ222" s="2300"/>
      <c r="AR222" s="2300"/>
      <c r="AS222" s="2300"/>
      <c r="AT222" s="2300"/>
      <c r="AU222" s="2300"/>
      <c r="AV222" s="2300"/>
      <c r="AW222" s="2300"/>
      <c r="AX222" s="2300"/>
      <c r="AY222" s="2300"/>
      <c r="AZ222" s="2300"/>
      <c r="BA222" s="2300"/>
      <c r="BB222" s="2300"/>
      <c r="BC222" s="2300"/>
      <c r="BD222" s="2301"/>
      <c r="BE222" s="1194"/>
    </row>
    <row r="223" spans="1:57" ht="15.75" customHeight="1">
      <c r="A223" s="1190"/>
      <c r="B223" s="2302" t="s">
        <v>2291</v>
      </c>
      <c r="C223" s="2303"/>
      <c r="D223" s="2303"/>
      <c r="E223" s="2303"/>
      <c r="F223" s="2303"/>
      <c r="G223" s="2303"/>
      <c r="H223" s="2303"/>
      <c r="I223" s="2303"/>
      <c r="J223" s="2303"/>
      <c r="K223" s="2303"/>
      <c r="L223" s="2303"/>
      <c r="M223" s="2303"/>
      <c r="N223" s="2303"/>
      <c r="O223" s="2303"/>
      <c r="P223" s="2303"/>
      <c r="Q223" s="2303"/>
      <c r="R223" s="2303"/>
      <c r="S223" s="2303"/>
      <c r="T223" s="2303"/>
      <c r="U223" s="2303"/>
      <c r="V223" s="2303"/>
      <c r="W223" s="2303"/>
      <c r="X223" s="2303"/>
      <c r="Y223" s="2303"/>
      <c r="Z223" s="2303"/>
      <c r="AA223" s="2303"/>
      <c r="AB223" s="2303"/>
      <c r="AC223" s="2303"/>
      <c r="AD223" s="2303"/>
      <c r="AE223" s="2303"/>
      <c r="AF223" s="2303"/>
      <c r="AG223" s="2303"/>
      <c r="AH223" s="2303"/>
      <c r="AI223" s="2303"/>
      <c r="AJ223" s="2303"/>
      <c r="AK223" s="2303"/>
      <c r="AL223" s="2303"/>
      <c r="AM223" s="2303"/>
      <c r="AN223" s="2303"/>
      <c r="AO223" s="2303"/>
      <c r="AP223" s="2303"/>
      <c r="AQ223" s="2303"/>
      <c r="AR223" s="2303"/>
      <c r="AS223" s="2303"/>
      <c r="AT223" s="2303"/>
      <c r="AU223" s="2303"/>
      <c r="AV223" s="2303"/>
      <c r="AW223" s="2303"/>
      <c r="AX223" s="2303"/>
      <c r="AY223" s="2303"/>
      <c r="AZ223" s="2303"/>
      <c r="BA223" s="2303"/>
      <c r="BB223" s="2303"/>
      <c r="BC223" s="2303"/>
      <c r="BD223" s="2304"/>
      <c r="BE223" s="1194"/>
    </row>
    <row r="224" spans="1:57" ht="15.75" customHeight="1">
      <c r="A224" s="1190"/>
      <c r="B224" s="2302" t="s">
        <v>2290</v>
      </c>
      <c r="C224" s="2303"/>
      <c r="D224" s="2303"/>
      <c r="E224" s="2303"/>
      <c r="F224" s="2303"/>
      <c r="G224" s="2303"/>
      <c r="H224" s="2303"/>
      <c r="I224" s="2303"/>
      <c r="J224" s="2303"/>
      <c r="K224" s="2303"/>
      <c r="L224" s="2303"/>
      <c r="M224" s="2303"/>
      <c r="N224" s="2303"/>
      <c r="O224" s="2303"/>
      <c r="P224" s="2303"/>
      <c r="Q224" s="2303"/>
      <c r="R224" s="2303"/>
      <c r="S224" s="2303"/>
      <c r="T224" s="2303"/>
      <c r="U224" s="2303"/>
      <c r="V224" s="2303"/>
      <c r="W224" s="2303"/>
      <c r="X224" s="2303"/>
      <c r="Y224" s="2303"/>
      <c r="Z224" s="2303"/>
      <c r="AA224" s="2303"/>
      <c r="AB224" s="2303"/>
      <c r="AC224" s="2303"/>
      <c r="AD224" s="2303"/>
      <c r="AE224" s="2303"/>
      <c r="AF224" s="2303"/>
      <c r="AG224" s="2303"/>
      <c r="AH224" s="2303"/>
      <c r="AI224" s="2303"/>
      <c r="AJ224" s="2303"/>
      <c r="AK224" s="2303"/>
      <c r="AL224" s="2303"/>
      <c r="AM224" s="2303"/>
      <c r="AN224" s="2303"/>
      <c r="AO224" s="2303"/>
      <c r="AP224" s="2303"/>
      <c r="AQ224" s="2303"/>
      <c r="AR224" s="2303"/>
      <c r="AS224" s="2303"/>
      <c r="AT224" s="2303"/>
      <c r="AU224" s="2303"/>
      <c r="AV224" s="2303"/>
      <c r="AW224" s="2303"/>
      <c r="AX224" s="2303"/>
      <c r="AY224" s="2303"/>
      <c r="AZ224" s="2303"/>
      <c r="BA224" s="2303"/>
      <c r="BB224" s="2303"/>
      <c r="BC224" s="2303"/>
      <c r="BD224" s="2304"/>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5" t="s">
        <v>2289</v>
      </c>
      <c r="C226" s="2195"/>
      <c r="D226" s="2195"/>
      <c r="E226" s="2195"/>
      <c r="F226" s="2195"/>
      <c r="G226" s="2195"/>
      <c r="H226" s="2195"/>
      <c r="I226" s="2195"/>
      <c r="J226" s="2195"/>
      <c r="K226" s="2195"/>
      <c r="L226" s="2195"/>
      <c r="M226" s="2195"/>
      <c r="N226" s="2195"/>
      <c r="O226" s="2195"/>
      <c r="P226" s="2195"/>
      <c r="Q226" s="2195"/>
      <c r="R226" s="2195"/>
      <c r="S226" s="2195"/>
      <c r="T226" s="2195"/>
      <c r="U226" s="2195"/>
      <c r="V226" s="2195"/>
      <c r="W226" s="2195"/>
      <c r="X226" s="2195"/>
      <c r="Y226" s="2195"/>
      <c r="Z226" s="2195"/>
      <c r="AA226" s="2195"/>
      <c r="AB226" s="2195"/>
      <c r="AC226" s="2195"/>
      <c r="AD226" s="2195"/>
      <c r="AE226" s="2195"/>
      <c r="AF226" s="2195"/>
      <c r="AG226" s="2195"/>
      <c r="AH226" s="2195"/>
      <c r="AI226" s="2195"/>
      <c r="AJ226" s="2195"/>
      <c r="AK226" s="2195"/>
      <c r="AL226" s="2195"/>
      <c r="AM226" s="2195"/>
      <c r="AN226" s="2195"/>
      <c r="AO226" s="2195"/>
      <c r="AP226" s="2195"/>
      <c r="AQ226" s="2195"/>
      <c r="AR226" s="2195"/>
      <c r="AS226" s="2195"/>
      <c r="AT226" s="2195"/>
      <c r="AU226" s="2195"/>
      <c r="AV226" s="2195"/>
      <c r="AW226" s="2195"/>
      <c r="AX226" s="2195"/>
      <c r="AY226" s="2195"/>
      <c r="AZ226" s="2195"/>
      <c r="BA226" s="2195"/>
      <c r="BB226" s="2195"/>
      <c r="BC226" s="2195"/>
      <c r="BD226" s="2306"/>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2288</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7" t="s">
        <v>2287</v>
      </c>
      <c r="I230" s="2307"/>
      <c r="J230" s="2307"/>
      <c r="K230" s="2307"/>
      <c r="L230" s="2307"/>
      <c r="M230" s="2307"/>
      <c r="N230" s="2307"/>
      <c r="O230" s="2307"/>
      <c r="P230" s="2307"/>
      <c r="Q230" s="2307"/>
      <c r="R230" s="2307"/>
      <c r="S230" s="2307"/>
      <c r="T230" s="2307"/>
      <c r="U230" s="2307"/>
      <c r="V230" s="2307"/>
      <c r="W230" s="2307"/>
      <c r="X230" s="2307"/>
      <c r="Y230" s="2307"/>
      <c r="Z230" s="2307"/>
      <c r="AA230" s="2307"/>
      <c r="AB230" s="2307"/>
      <c r="AC230" s="2307"/>
      <c r="AD230" s="2307"/>
      <c r="AE230" s="2307"/>
      <c r="AF230" s="2307"/>
      <c r="AG230" s="2307"/>
      <c r="AH230" s="2307"/>
      <c r="AI230" s="2307"/>
      <c r="AJ230" s="2307"/>
      <c r="AK230" s="2307"/>
      <c r="AL230" s="2307"/>
      <c r="AM230" s="2307"/>
      <c r="AN230" s="2307"/>
      <c r="AO230" s="2307"/>
      <c r="AP230" s="2307"/>
      <c r="AQ230" s="2307"/>
      <c r="AR230" s="2307"/>
      <c r="AS230" s="2307"/>
      <c r="AT230" s="2307"/>
      <c r="AU230" s="2307"/>
      <c r="AV230" s="2307"/>
      <c r="AW230" s="2307"/>
      <c r="AX230" s="2307"/>
      <c r="AY230" s="2307"/>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5" t="s">
        <v>2286</v>
      </c>
      <c r="I232" s="2325"/>
      <c r="J232" s="2325"/>
      <c r="K232" s="2325"/>
      <c r="L232" s="2325"/>
      <c r="M232" s="2325"/>
      <c r="N232" s="2325"/>
      <c r="O232" s="2325"/>
      <c r="P232" s="2325"/>
      <c r="Q232" s="2325"/>
      <c r="R232" s="2325"/>
      <c r="S232" s="2325"/>
      <c r="T232" s="2325"/>
      <c r="U232" s="2325"/>
      <c r="V232" s="2325"/>
      <c r="W232" s="2325"/>
      <c r="X232" s="2325"/>
      <c r="Y232" s="2325"/>
      <c r="Z232" s="2325"/>
      <c r="AA232" s="2325"/>
      <c r="AB232" s="2325"/>
      <c r="AC232" s="2325"/>
      <c r="AD232" s="2325"/>
      <c r="AE232" s="2325"/>
      <c r="AF232" s="2325"/>
      <c r="AG232" s="2325"/>
      <c r="AH232" s="2325"/>
      <c r="AI232" s="2325"/>
      <c r="AJ232" s="2325"/>
      <c r="AK232" s="2325"/>
      <c r="AL232" s="2325"/>
      <c r="AM232" s="2325"/>
      <c r="AN232" s="2325"/>
      <c r="AO232" s="2325"/>
      <c r="AP232" s="2325"/>
      <c r="AQ232" s="2325"/>
      <c r="AR232" s="2325"/>
      <c r="AS232" s="2325"/>
      <c r="AT232" s="2325"/>
      <c r="AU232" s="2325"/>
      <c r="AV232" s="2325"/>
      <c r="AW232" s="2325"/>
      <c r="AX232" s="2325"/>
      <c r="AY232" s="2325"/>
      <c r="AZ232" s="2325"/>
      <c r="BA232" s="1190"/>
      <c r="BB232" s="1190"/>
      <c r="BC232" s="1190"/>
      <c r="BD232" s="1194"/>
      <c r="BE232" s="1194"/>
    </row>
    <row r="233" spans="1:57" ht="15.75" customHeight="1">
      <c r="A233" s="1190"/>
      <c r="B233" s="1189"/>
      <c r="C233" s="1190"/>
      <c r="D233" s="1190"/>
      <c r="E233" s="1190"/>
      <c r="F233" s="1190"/>
      <c r="G233" s="1190"/>
      <c r="H233" s="2325"/>
      <c r="I233" s="2325"/>
      <c r="J233" s="2325"/>
      <c r="K233" s="2325"/>
      <c r="L233" s="2325"/>
      <c r="M233" s="2325"/>
      <c r="N233" s="2325"/>
      <c r="O233" s="2325"/>
      <c r="P233" s="2325"/>
      <c r="Q233" s="2325"/>
      <c r="R233" s="2325"/>
      <c r="S233" s="2325"/>
      <c r="T233" s="2325"/>
      <c r="U233" s="2325"/>
      <c r="V233" s="2325"/>
      <c r="W233" s="2325"/>
      <c r="X233" s="2325"/>
      <c r="Y233" s="2325"/>
      <c r="Z233" s="2325"/>
      <c r="AA233" s="2325"/>
      <c r="AB233" s="2325"/>
      <c r="AC233" s="2325"/>
      <c r="AD233" s="2325"/>
      <c r="AE233" s="2325"/>
      <c r="AF233" s="2325"/>
      <c r="AG233" s="2325"/>
      <c r="AH233" s="2325"/>
      <c r="AI233" s="2325"/>
      <c r="AJ233" s="2325"/>
      <c r="AK233" s="2325"/>
      <c r="AL233" s="2325"/>
      <c r="AM233" s="2325"/>
      <c r="AN233" s="2325"/>
      <c r="AO233" s="2325"/>
      <c r="AP233" s="2325"/>
      <c r="AQ233" s="2325"/>
      <c r="AR233" s="2325"/>
      <c r="AS233" s="2325"/>
      <c r="AT233" s="2325"/>
      <c r="AU233" s="2325"/>
      <c r="AV233" s="2325"/>
      <c r="AW233" s="2325"/>
      <c r="AX233" s="2325"/>
      <c r="AY233" s="2325"/>
      <c r="AZ233" s="2325"/>
      <c r="BA233" s="1190"/>
      <c r="BB233" s="1190"/>
      <c r="BC233" s="1190"/>
      <c r="BD233" s="1194"/>
      <c r="BE233" s="1194"/>
    </row>
    <row r="234" spans="1:57" ht="15.75" customHeight="1">
      <c r="A234" s="1190"/>
      <c r="B234" s="1189"/>
      <c r="C234" s="1190"/>
      <c r="D234" s="1190"/>
      <c r="E234" s="1190"/>
      <c r="F234" s="1190"/>
      <c r="G234" s="1190"/>
      <c r="H234" s="2325"/>
      <c r="I234" s="2325"/>
      <c r="J234" s="2325"/>
      <c r="K234" s="2325"/>
      <c r="L234" s="2325"/>
      <c r="M234" s="2325"/>
      <c r="N234" s="2325"/>
      <c r="O234" s="2325"/>
      <c r="P234" s="2325"/>
      <c r="Q234" s="2325"/>
      <c r="R234" s="2325"/>
      <c r="S234" s="2325"/>
      <c r="T234" s="2325"/>
      <c r="U234" s="2325"/>
      <c r="V234" s="2325"/>
      <c r="W234" s="2325"/>
      <c r="X234" s="2325"/>
      <c r="Y234" s="2325"/>
      <c r="Z234" s="2325"/>
      <c r="AA234" s="2325"/>
      <c r="AB234" s="2325"/>
      <c r="AC234" s="2325"/>
      <c r="AD234" s="2325"/>
      <c r="AE234" s="2325"/>
      <c r="AF234" s="2325"/>
      <c r="AG234" s="2325"/>
      <c r="AH234" s="2325"/>
      <c r="AI234" s="2325"/>
      <c r="AJ234" s="2325"/>
      <c r="AK234" s="2325"/>
      <c r="AL234" s="2325"/>
      <c r="AM234" s="2325"/>
      <c r="AN234" s="2325"/>
      <c r="AO234" s="2325"/>
      <c r="AP234" s="2325"/>
      <c r="AQ234" s="2325"/>
      <c r="AR234" s="2325"/>
      <c r="AS234" s="2325"/>
      <c r="AT234" s="2325"/>
      <c r="AU234" s="2325"/>
      <c r="AV234" s="2325"/>
      <c r="AW234" s="2325"/>
      <c r="AX234" s="2325"/>
      <c r="AY234" s="2325"/>
      <c r="AZ234" s="2325"/>
      <c r="BA234" s="1190"/>
      <c r="BB234" s="1190"/>
      <c r="BC234" s="1190"/>
      <c r="BD234" s="1194"/>
      <c r="BE234" s="1194"/>
    </row>
    <row r="235" spans="1:57" ht="15.75" customHeight="1">
      <c r="A235" s="1190"/>
      <c r="B235" s="1189"/>
      <c r="C235" s="1190"/>
      <c r="D235" s="1190"/>
      <c r="E235" s="1190"/>
      <c r="F235" s="1190"/>
      <c r="G235" s="1190"/>
      <c r="H235" s="2325"/>
      <c r="I235" s="2325"/>
      <c r="J235" s="2325"/>
      <c r="K235" s="2325"/>
      <c r="L235" s="2325"/>
      <c r="M235" s="2325"/>
      <c r="N235" s="2325"/>
      <c r="O235" s="2325"/>
      <c r="P235" s="2325"/>
      <c r="Q235" s="2325"/>
      <c r="R235" s="2325"/>
      <c r="S235" s="2325"/>
      <c r="T235" s="2325"/>
      <c r="U235" s="2325"/>
      <c r="V235" s="2325"/>
      <c r="W235" s="2325"/>
      <c r="X235" s="2325"/>
      <c r="Y235" s="2325"/>
      <c r="Z235" s="2325"/>
      <c r="AA235" s="2325"/>
      <c r="AB235" s="2325"/>
      <c r="AC235" s="2325"/>
      <c r="AD235" s="2325"/>
      <c r="AE235" s="2325"/>
      <c r="AF235" s="2325"/>
      <c r="AG235" s="2325"/>
      <c r="AH235" s="2325"/>
      <c r="AI235" s="2325"/>
      <c r="AJ235" s="2325"/>
      <c r="AK235" s="2325"/>
      <c r="AL235" s="2325"/>
      <c r="AM235" s="2325"/>
      <c r="AN235" s="2325"/>
      <c r="AO235" s="2325"/>
      <c r="AP235" s="2325"/>
      <c r="AQ235" s="2325"/>
      <c r="AR235" s="2325"/>
      <c r="AS235" s="2325"/>
      <c r="AT235" s="2325"/>
      <c r="AU235" s="2325"/>
      <c r="AV235" s="2325"/>
      <c r="AW235" s="2325"/>
      <c r="AX235" s="2325"/>
      <c r="AY235" s="2325"/>
      <c r="AZ235" s="2325"/>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6" t="s">
        <v>2285</v>
      </c>
      <c r="I237" s="2326"/>
      <c r="J237" s="2326"/>
      <c r="K237" s="2326"/>
      <c r="L237" s="2326"/>
      <c r="M237" s="2326"/>
      <c r="N237" s="2326"/>
      <c r="O237" s="2326"/>
      <c r="P237" s="2326"/>
      <c r="Q237" s="2326"/>
      <c r="R237" s="2326"/>
      <c r="S237" s="2326"/>
      <c r="T237" s="2326"/>
      <c r="U237" s="2326"/>
      <c r="V237" s="2326"/>
      <c r="W237" s="2326"/>
      <c r="X237" s="2326"/>
      <c r="Y237" s="2326"/>
      <c r="Z237" s="2326"/>
      <c r="AA237" s="2326"/>
      <c r="AB237" s="2326"/>
      <c r="AC237" s="2326"/>
      <c r="AD237" s="2326"/>
      <c r="AE237" s="2326"/>
      <c r="AF237" s="2326"/>
      <c r="AG237" s="2326"/>
      <c r="AH237" s="2326"/>
      <c r="AI237" s="2326"/>
      <c r="AJ237" s="2326"/>
      <c r="AK237" s="2326"/>
      <c r="AL237" s="2326"/>
      <c r="AM237" s="2326"/>
      <c r="AN237" s="2326"/>
      <c r="AO237" s="2326"/>
      <c r="AP237" s="2326"/>
      <c r="AQ237" s="2326"/>
      <c r="AR237" s="2326"/>
      <c r="AS237" s="2326"/>
      <c r="AT237" s="2326"/>
      <c r="AU237" s="2326"/>
      <c r="AV237" s="2326"/>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6" t="s">
        <v>2284</v>
      </c>
      <c r="I239" s="2316"/>
      <c r="J239" s="2316"/>
      <c r="K239" s="2316"/>
      <c r="L239" s="1239"/>
      <c r="M239" s="1239"/>
      <c r="N239" s="1239"/>
      <c r="O239" s="1239"/>
      <c r="P239" s="1239"/>
      <c r="Q239" s="1239"/>
      <c r="R239" s="1239"/>
      <c r="S239" s="2327"/>
      <c r="T239" s="2328"/>
      <c r="U239" s="2328"/>
      <c r="V239" s="2328"/>
      <c r="W239" s="2328"/>
      <c r="X239" s="2328"/>
      <c r="Y239" s="2328"/>
      <c r="Z239" s="2328"/>
      <c r="AA239" s="2328"/>
      <c r="AB239" s="2328"/>
      <c r="AC239" s="2328"/>
      <c r="AD239" s="2328"/>
      <c r="AE239" s="2328"/>
      <c r="AF239" s="2328"/>
      <c r="AG239" s="2328"/>
      <c r="AH239" s="2328"/>
      <c r="AI239" s="2328"/>
      <c r="AJ239" s="2329"/>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6" t="s">
        <v>2283</v>
      </c>
      <c r="I241" s="2316"/>
      <c r="J241" s="2316"/>
      <c r="K241" s="1241"/>
      <c r="L241" s="1239"/>
      <c r="M241" s="1239"/>
      <c r="N241" s="1239"/>
      <c r="O241" s="1239"/>
      <c r="P241" s="1239"/>
      <c r="Q241" s="1239"/>
      <c r="R241" s="1239"/>
      <c r="S241" s="2317"/>
      <c r="T241" s="2318"/>
      <c r="U241" s="2318"/>
      <c r="V241" s="2318"/>
      <c r="W241" s="2318"/>
      <c r="X241" s="2318"/>
      <c r="Y241" s="2318"/>
      <c r="Z241" s="2318"/>
      <c r="AA241" s="2318"/>
      <c r="AB241" s="2318"/>
      <c r="AC241" s="2318"/>
      <c r="AD241" s="2318"/>
      <c r="AE241" s="2318"/>
      <c r="AF241" s="2318"/>
      <c r="AG241" s="2318"/>
      <c r="AH241" s="2318"/>
      <c r="AI241" s="2318"/>
      <c r="AJ241" s="2319"/>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6" t="s">
        <v>440</v>
      </c>
      <c r="I243" s="2316"/>
      <c r="J243" s="1241"/>
      <c r="K243" s="1241"/>
      <c r="L243" s="1239"/>
      <c r="M243" s="1239"/>
      <c r="N243" s="1239"/>
      <c r="O243" s="1239"/>
      <c r="P243" s="1239"/>
      <c r="Q243" s="1239"/>
      <c r="R243" s="1239"/>
      <c r="S243" s="2317"/>
      <c r="T243" s="2318"/>
      <c r="U243" s="2318"/>
      <c r="V243" s="2318"/>
      <c r="W243" s="2318"/>
      <c r="X243" s="2318"/>
      <c r="Y243" s="2318"/>
      <c r="Z243" s="2318"/>
      <c r="AA243" s="2318"/>
      <c r="AB243" s="2318"/>
      <c r="AC243" s="2318"/>
      <c r="AD243" s="2318"/>
      <c r="AE243" s="2318"/>
      <c r="AF243" s="2318"/>
      <c r="AG243" s="2318"/>
      <c r="AH243" s="2318"/>
      <c r="AI243" s="2318"/>
      <c r="AJ243" s="2319"/>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20" t="s">
        <v>2282</v>
      </c>
      <c r="I245" s="2320"/>
      <c r="J245" s="2320"/>
      <c r="K245" s="2320"/>
      <c r="L245" s="2320"/>
      <c r="M245" s="2320"/>
      <c r="N245" s="2320"/>
      <c r="O245" s="2320"/>
      <c r="P245" s="1239"/>
      <c r="Q245" s="1239"/>
      <c r="R245" s="1239"/>
      <c r="S245" s="2317"/>
      <c r="T245" s="2318"/>
      <c r="U245" s="2318"/>
      <c r="V245" s="2318"/>
      <c r="W245" s="2318"/>
      <c r="X245" s="2318"/>
      <c r="Y245" s="2318"/>
      <c r="Z245" s="2318"/>
      <c r="AA245" s="2318"/>
      <c r="AB245" s="2318"/>
      <c r="AC245" s="2318"/>
      <c r="AD245" s="2318"/>
      <c r="AE245" s="2318"/>
      <c r="AF245" s="2318"/>
      <c r="AG245" s="2318"/>
      <c r="AH245" s="2318"/>
      <c r="AI245" s="2318"/>
      <c r="AJ245" s="2319"/>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21" t="s">
        <v>2281</v>
      </c>
      <c r="I247" s="2321"/>
      <c r="J247" s="1239"/>
      <c r="K247" s="1239"/>
      <c r="L247" s="1239"/>
      <c r="M247" s="1239"/>
      <c r="N247" s="1239"/>
      <c r="O247" s="1239"/>
      <c r="P247" s="1239"/>
      <c r="Q247" s="1239"/>
      <c r="R247" s="1239"/>
      <c r="S247" s="2322"/>
      <c r="T247" s="2323"/>
      <c r="U247" s="2323"/>
      <c r="V247" s="2323"/>
      <c r="W247" s="2323"/>
      <c r="X247" s="2323"/>
      <c r="Y247" s="2323"/>
      <c r="Z247" s="2323"/>
      <c r="AA247" s="2323"/>
      <c r="AB247" s="2323"/>
      <c r="AC247" s="2323"/>
      <c r="AD247" s="2323"/>
      <c r="AE247" s="2323"/>
      <c r="AF247" s="2323"/>
      <c r="AG247" s="2323"/>
      <c r="AH247" s="2323"/>
      <c r="AI247" s="2323"/>
      <c r="AJ247" s="2324"/>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9" workbookViewId="0">
      <selection activeCell="AI72" sqref="AI72"/>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61" t="s">
        <v>1280</v>
      </c>
      <c r="B1" s="2361"/>
      <c r="C1" s="2361"/>
      <c r="D1" s="2361"/>
      <c r="E1" s="2361"/>
      <c r="F1" s="2361"/>
      <c r="G1" s="2361"/>
      <c r="H1" s="2361"/>
      <c r="I1" s="2361"/>
      <c r="J1" s="2361"/>
      <c r="K1" s="2361"/>
      <c r="L1" s="2361"/>
      <c r="M1" s="2361"/>
      <c r="N1" s="2361"/>
      <c r="O1" s="2361"/>
      <c r="P1" s="2361"/>
      <c r="Q1" s="2361"/>
      <c r="R1" s="2361"/>
      <c r="S1" s="2361"/>
      <c r="T1" s="2361"/>
      <c r="U1" s="2361"/>
      <c r="V1" s="2361"/>
      <c r="W1" s="2361"/>
      <c r="X1" s="2361"/>
      <c r="Y1" s="2361"/>
      <c r="Z1" s="2361"/>
      <c r="AA1" s="2361"/>
      <c r="AB1" s="2361"/>
      <c r="AC1" s="2361"/>
      <c r="AD1" s="2361"/>
      <c r="AE1" s="2361"/>
      <c r="AF1" s="2361"/>
      <c r="AG1" s="2361"/>
      <c r="AH1" s="2361"/>
      <c r="AI1" s="2361"/>
      <c r="AJ1" s="2361"/>
      <c r="AK1" s="2361"/>
      <c r="AL1" s="2361"/>
      <c r="AM1" s="2361"/>
      <c r="AN1" s="2361"/>
    </row>
    <row r="2" spans="1:40" ht="12.95" customHeight="1" thickBot="1">
      <c r="A2" s="2362"/>
      <c r="B2" s="2362"/>
      <c r="C2" s="2362"/>
      <c r="D2" s="2362"/>
      <c r="E2" s="2362"/>
      <c r="F2" s="2362"/>
      <c r="G2" s="2362"/>
      <c r="H2" s="2362"/>
      <c r="I2" s="2362"/>
      <c r="J2" s="2362"/>
      <c r="K2" s="2362"/>
      <c r="L2" s="2362"/>
      <c r="M2" s="2362"/>
      <c r="N2" s="2362"/>
      <c r="O2" s="2362"/>
      <c r="P2" s="2362"/>
      <c r="Q2" s="2362"/>
      <c r="R2" s="2362"/>
      <c r="S2" s="2362"/>
      <c r="T2" s="2362"/>
      <c r="U2" s="2362"/>
      <c r="V2" s="2362"/>
      <c r="W2" s="2362"/>
      <c r="X2" s="2362"/>
      <c r="Y2" s="2362"/>
      <c r="Z2" s="2362"/>
      <c r="AA2" s="2362"/>
      <c r="AB2" s="2362"/>
      <c r="AC2" s="2362"/>
      <c r="AD2" s="2362"/>
      <c r="AE2" s="2362"/>
      <c r="AF2" s="2362"/>
      <c r="AG2" s="2362"/>
      <c r="AH2" s="2362"/>
      <c r="AI2" s="2362"/>
      <c r="AJ2" s="2362"/>
      <c r="AK2" s="2362"/>
      <c r="AL2" s="2362"/>
      <c r="AM2" s="2362"/>
      <c r="AN2" s="2362"/>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318</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63" t="str">
        <f xml:space="preserve"> IF(T25=100%,'Sources and Basis Breakdown'!G2,'Sources and Basis Breakdown'!F2)</f>
        <v>30% PVC for New Const/
Rehabilitation
DDA/QCT
Building(s)</v>
      </c>
      <c r="U7" s="2363"/>
      <c r="V7" s="2363"/>
      <c r="W7" s="2363"/>
      <c r="X7" s="2363"/>
      <c r="Y7" s="2363" t="str">
        <f>IF(T25=100%,"",'Sources and Basis Breakdown'!G2)</f>
        <v>30% PVC for New Const/
Rehabilitation
NON-DDA/
NON-QCT Building(s)</v>
      </c>
      <c r="Z7" s="2363"/>
      <c r="AA7" s="2363"/>
      <c r="AB7" s="2363"/>
      <c r="AC7" s="2363"/>
      <c r="AD7" s="2363" t="str">
        <f xml:space="preserve"> IF(T25=100%, 'Sources and Basis Breakdown'!J2,'Sources and Basis Breakdown'!I2)</f>
        <v>30% PVC for Acquisition
DDA/QCT Building(s)</v>
      </c>
      <c r="AE7" s="2363"/>
      <c r="AF7" s="2363"/>
      <c r="AG7" s="2363"/>
      <c r="AH7" s="2363"/>
      <c r="AI7" s="2363" t="str">
        <f>IF(T25=100%,"",'Sources and Basis Breakdown'!J2)</f>
        <v>30% PVC for Acquisition
NON-DDA/
NON-QCT Building(s)</v>
      </c>
      <c r="AJ7" s="2363"/>
      <c r="AK7" s="2363"/>
      <c r="AL7" s="2363"/>
      <c r="AM7" s="2363"/>
    </row>
    <row r="8" spans="1:40" ht="12.95" customHeight="1">
      <c r="B8" s="407"/>
      <c r="T8" s="2363"/>
      <c r="U8" s="2363"/>
      <c r="V8" s="2363"/>
      <c r="W8" s="2363"/>
      <c r="X8" s="2363"/>
      <c r="Y8" s="2363"/>
      <c r="Z8" s="2363"/>
      <c r="AA8" s="2363"/>
      <c r="AB8" s="2363"/>
      <c r="AC8" s="2363"/>
      <c r="AD8" s="2363"/>
      <c r="AE8" s="2363"/>
      <c r="AF8" s="2363"/>
      <c r="AG8" s="2363"/>
      <c r="AH8" s="2363"/>
      <c r="AI8" s="2363"/>
      <c r="AJ8" s="2363"/>
      <c r="AK8" s="2363"/>
      <c r="AL8" s="2363"/>
      <c r="AM8" s="2363"/>
    </row>
    <row r="9" spans="1:40" ht="12.95" customHeight="1">
      <c r="B9" s="407"/>
      <c r="T9" s="2363"/>
      <c r="U9" s="2363"/>
      <c r="V9" s="2363"/>
      <c r="W9" s="2363"/>
      <c r="X9" s="2363"/>
      <c r="Y9" s="2363"/>
      <c r="Z9" s="2363"/>
      <c r="AA9" s="2363"/>
      <c r="AB9" s="2363"/>
      <c r="AC9" s="2363"/>
      <c r="AD9" s="2363"/>
      <c r="AE9" s="2363"/>
      <c r="AF9" s="2363"/>
      <c r="AG9" s="2363"/>
      <c r="AH9" s="2363"/>
      <c r="AI9" s="2363"/>
      <c r="AJ9" s="2363"/>
      <c r="AK9" s="2363"/>
      <c r="AL9" s="2363"/>
      <c r="AM9" s="2363"/>
    </row>
    <row r="10" spans="1:40" ht="12.95" customHeight="1">
      <c r="B10" s="408"/>
      <c r="C10" s="409"/>
      <c r="D10" s="409"/>
      <c r="E10" s="409"/>
      <c r="F10" s="409"/>
      <c r="G10" s="409"/>
      <c r="H10" s="409"/>
      <c r="I10" s="409"/>
      <c r="J10" s="409"/>
      <c r="K10" s="409"/>
      <c r="L10" s="409"/>
      <c r="M10" s="409"/>
      <c r="N10" s="409"/>
      <c r="O10" s="409"/>
      <c r="P10" s="409"/>
      <c r="Q10" s="409"/>
      <c r="R10" s="409"/>
      <c r="S10" s="409"/>
      <c r="T10" s="2363"/>
      <c r="U10" s="2363"/>
      <c r="V10" s="2363"/>
      <c r="W10" s="2363"/>
      <c r="X10" s="2363"/>
      <c r="Y10" s="2363"/>
      <c r="Z10" s="2363"/>
      <c r="AA10" s="2363"/>
      <c r="AB10" s="2363"/>
      <c r="AC10" s="2363"/>
      <c r="AD10" s="2363"/>
      <c r="AE10" s="2363"/>
      <c r="AF10" s="2363"/>
      <c r="AG10" s="2363"/>
      <c r="AH10" s="2363"/>
      <c r="AI10" s="2363"/>
      <c r="AJ10" s="2363"/>
      <c r="AK10" s="2363"/>
      <c r="AL10" s="2363"/>
      <c r="AM10" s="2363"/>
    </row>
    <row r="11" spans="1:40" ht="12.95" customHeight="1">
      <c r="B11" s="2342" t="s">
        <v>374</v>
      </c>
      <c r="C11" s="2343"/>
      <c r="D11" s="2343"/>
      <c r="E11" s="2343"/>
      <c r="F11" s="2343"/>
      <c r="G11" s="2343"/>
      <c r="H11" s="2343"/>
      <c r="I11" s="2343"/>
      <c r="J11" s="2343"/>
      <c r="K11" s="2343"/>
      <c r="L11" s="2343"/>
      <c r="M11" s="2343"/>
      <c r="N11" s="2343"/>
      <c r="O11" s="2343"/>
      <c r="P11" s="2343"/>
      <c r="Q11" s="2343"/>
      <c r="R11" s="2343"/>
      <c r="S11" s="2344"/>
      <c r="T11" s="2364">
        <f>IF('Sources and Basis Breakdown'!F107=0,'Sources and Basis Breakdown'!E107,'Sources and Basis Breakdown'!F107)</f>
        <v>59043194</v>
      </c>
      <c r="U11" s="2365"/>
      <c r="V11" s="2365"/>
      <c r="W11" s="2365"/>
      <c r="X11" s="2365"/>
      <c r="Y11" s="2364">
        <f>IF(Y7="",0,IF('Sources and Basis Breakdown'!G107+'Sources and Basis Breakdown'!F107='Sources and Basis Breakdown'!E107,'Sources and Basis Breakdown'!G107,0))</f>
        <v>0</v>
      </c>
      <c r="Z11" s="2365"/>
      <c r="AA11" s="2365"/>
      <c r="AB11" s="2365"/>
      <c r="AC11" s="2365"/>
      <c r="AD11" s="2365">
        <f>IF('Sources and Basis Breakdown'!I107=0,'Sources and Basis Breakdown'!H107,'Sources and Basis Breakdown'!I107)</f>
        <v>0</v>
      </c>
      <c r="AE11" s="2365"/>
      <c r="AF11" s="2365"/>
      <c r="AG11" s="2365"/>
      <c r="AH11" s="2365"/>
      <c r="AI11" s="2365">
        <f>IF(Y7="",0,IF('Sources and Basis Breakdown'!I107+'Sources and Basis Breakdown'!J107='Sources and Basis Breakdown'!H107,'Sources and Basis Breakdown'!J107,0))</f>
        <v>0</v>
      </c>
      <c r="AJ11" s="2365"/>
      <c r="AK11" s="2365"/>
      <c r="AL11" s="2365"/>
      <c r="AM11" s="2365"/>
    </row>
    <row r="12" spans="1:40" ht="12.95" customHeight="1">
      <c r="B12" s="2357" t="s">
        <v>496</v>
      </c>
      <c r="C12" s="1286"/>
      <c r="D12" s="1286"/>
      <c r="E12" s="1286"/>
      <c r="F12" s="1286"/>
      <c r="G12" s="1286"/>
      <c r="H12" s="1286"/>
      <c r="I12" s="1286"/>
      <c r="J12" s="1286"/>
      <c r="K12" s="1286"/>
      <c r="L12" s="1286"/>
      <c r="M12" s="1286"/>
      <c r="N12" s="1286"/>
      <c r="O12" s="1286"/>
      <c r="P12" s="1286"/>
      <c r="Q12" s="1286"/>
      <c r="R12" s="1286"/>
      <c r="S12" s="2358"/>
      <c r="T12" s="2330"/>
      <c r="U12" s="2331"/>
      <c r="V12" s="2331"/>
      <c r="W12" s="2331"/>
      <c r="X12" s="2332"/>
      <c r="Y12" s="2330"/>
      <c r="Z12" s="2331"/>
      <c r="AA12" s="2331"/>
      <c r="AB12" s="2331"/>
      <c r="AC12" s="2332"/>
      <c r="AD12" s="2330"/>
      <c r="AE12" s="2331"/>
      <c r="AF12" s="2331"/>
      <c r="AG12" s="2331"/>
      <c r="AH12" s="2332"/>
      <c r="AI12" s="2330"/>
      <c r="AJ12" s="2331"/>
      <c r="AK12" s="2331"/>
      <c r="AL12" s="2331"/>
      <c r="AM12" s="2332"/>
    </row>
    <row r="13" spans="1:40" ht="12.95" customHeight="1">
      <c r="B13" s="435"/>
      <c r="C13" s="2359" t="s">
        <v>497</v>
      </c>
      <c r="D13" s="2359"/>
      <c r="E13" s="2359"/>
      <c r="F13" s="2359"/>
      <c r="G13" s="2359"/>
      <c r="H13" s="2359"/>
      <c r="I13" s="2359"/>
      <c r="J13" s="2359"/>
      <c r="K13" s="2359"/>
      <c r="L13" s="2359"/>
      <c r="M13" s="2359"/>
      <c r="N13" s="2359"/>
      <c r="O13" s="2359"/>
      <c r="P13" s="2359"/>
      <c r="Q13" s="2359"/>
      <c r="R13" s="2359"/>
      <c r="S13" s="2360"/>
      <c r="T13" s="2366"/>
      <c r="U13" s="2367"/>
      <c r="V13" s="2367"/>
      <c r="W13" s="2367"/>
      <c r="X13" s="2367"/>
      <c r="Y13" s="2366"/>
      <c r="Z13" s="2367"/>
      <c r="AA13" s="2367"/>
      <c r="AB13" s="2367"/>
      <c r="AC13" s="2367"/>
      <c r="AD13" s="2367"/>
      <c r="AE13" s="2367"/>
      <c r="AF13" s="2367"/>
      <c r="AG13" s="2367"/>
      <c r="AH13" s="2367"/>
      <c r="AI13" s="2367"/>
      <c r="AJ13" s="2367"/>
      <c r="AK13" s="2367"/>
      <c r="AL13" s="2367"/>
      <c r="AM13" s="2367"/>
    </row>
    <row r="14" spans="1:40" ht="12.95" customHeight="1">
      <c r="B14" s="435"/>
      <c r="C14" s="2359" t="s">
        <v>498</v>
      </c>
      <c r="D14" s="2359"/>
      <c r="E14" s="2359"/>
      <c r="F14" s="2359"/>
      <c r="G14" s="2359"/>
      <c r="H14" s="2359"/>
      <c r="I14" s="2359"/>
      <c r="J14" s="2359"/>
      <c r="K14" s="2359"/>
      <c r="L14" s="2359"/>
      <c r="M14" s="2359"/>
      <c r="N14" s="2359"/>
      <c r="O14" s="2359"/>
      <c r="P14" s="2359"/>
      <c r="Q14" s="2359"/>
      <c r="R14" s="2359"/>
      <c r="S14" s="2360"/>
      <c r="T14" s="2333"/>
      <c r="U14" s="2334"/>
      <c r="V14" s="2334"/>
      <c r="W14" s="2334"/>
      <c r="X14" s="2334"/>
      <c r="Y14" s="2333"/>
      <c r="Z14" s="2334"/>
      <c r="AA14" s="2334"/>
      <c r="AB14" s="2334"/>
      <c r="AC14" s="2334"/>
      <c r="AD14" s="2334"/>
      <c r="AE14" s="2334"/>
      <c r="AF14" s="2334"/>
      <c r="AG14" s="2334"/>
      <c r="AH14" s="2334"/>
      <c r="AI14" s="2334"/>
      <c r="AJ14" s="2334"/>
      <c r="AK14" s="2334"/>
      <c r="AL14" s="2334"/>
      <c r="AM14" s="2334"/>
    </row>
    <row r="15" spans="1:40" ht="12.95" customHeight="1">
      <c r="B15" s="435"/>
      <c r="C15" s="2359" t="s">
        <v>499</v>
      </c>
      <c r="D15" s="2359"/>
      <c r="E15" s="2359"/>
      <c r="F15" s="2359"/>
      <c r="G15" s="2359"/>
      <c r="H15" s="2359"/>
      <c r="I15" s="2359"/>
      <c r="J15" s="2359"/>
      <c r="K15" s="2359"/>
      <c r="L15" s="2359"/>
      <c r="M15" s="2359"/>
      <c r="N15" s="2359"/>
      <c r="O15" s="2359"/>
      <c r="P15" s="2359"/>
      <c r="Q15" s="2359"/>
      <c r="R15" s="2359"/>
      <c r="S15" s="2360"/>
      <c r="T15" s="2333"/>
      <c r="U15" s="2334"/>
      <c r="V15" s="2334"/>
      <c r="W15" s="2334"/>
      <c r="X15" s="2334"/>
      <c r="Y15" s="2333"/>
      <c r="Z15" s="2334"/>
      <c r="AA15" s="2334"/>
      <c r="AB15" s="2334"/>
      <c r="AC15" s="2334"/>
      <c r="AD15" s="2334"/>
      <c r="AE15" s="2334"/>
      <c r="AF15" s="2334"/>
      <c r="AG15" s="2334"/>
      <c r="AH15" s="2334"/>
      <c r="AI15" s="2334"/>
      <c r="AJ15" s="2334"/>
      <c r="AK15" s="2334"/>
      <c r="AL15" s="2334"/>
      <c r="AM15" s="2334"/>
    </row>
    <row r="16" spans="1:40" ht="12.95" customHeight="1">
      <c r="B16" s="435"/>
      <c r="C16" s="2359" t="s">
        <v>804</v>
      </c>
      <c r="D16" s="2359"/>
      <c r="E16" s="2359"/>
      <c r="F16" s="2359"/>
      <c r="G16" s="2359"/>
      <c r="H16" s="2359"/>
      <c r="I16" s="2359"/>
      <c r="J16" s="2359"/>
      <c r="K16" s="2359"/>
      <c r="L16" s="2359"/>
      <c r="M16" s="2359"/>
      <c r="N16" s="2359"/>
      <c r="O16" s="2359"/>
      <c r="P16" s="2359"/>
      <c r="Q16" s="2359"/>
      <c r="R16" s="2359"/>
      <c r="S16" s="2360"/>
      <c r="T16" s="2333"/>
      <c r="U16" s="2334"/>
      <c r="V16" s="2334"/>
      <c r="W16" s="2334"/>
      <c r="X16" s="2334"/>
      <c r="Y16" s="2333"/>
      <c r="Z16" s="2334"/>
      <c r="AA16" s="2334"/>
      <c r="AB16" s="2334"/>
      <c r="AC16" s="2334"/>
      <c r="AD16" s="2334"/>
      <c r="AE16" s="2334"/>
      <c r="AF16" s="2334"/>
      <c r="AG16" s="2334"/>
      <c r="AH16" s="2334"/>
      <c r="AI16" s="2334"/>
      <c r="AJ16" s="2334"/>
      <c r="AK16" s="2334"/>
      <c r="AL16" s="2334"/>
      <c r="AM16" s="2334"/>
    </row>
    <row r="17" spans="1:40" ht="12.95" customHeight="1">
      <c r="B17" s="435"/>
      <c r="C17" s="2359" t="s">
        <v>500</v>
      </c>
      <c r="D17" s="2359"/>
      <c r="E17" s="2359"/>
      <c r="F17" s="2359"/>
      <c r="G17" s="2359"/>
      <c r="H17" s="2359"/>
      <c r="I17" s="2359"/>
      <c r="J17" s="2359"/>
      <c r="K17" s="2359"/>
      <c r="L17" s="2359"/>
      <c r="M17" s="2359"/>
      <c r="N17" s="2359"/>
      <c r="O17" s="2359"/>
      <c r="P17" s="2359"/>
      <c r="Q17" s="2359"/>
      <c r="R17" s="2359"/>
      <c r="S17" s="2360"/>
      <c r="T17" s="2333"/>
      <c r="U17" s="2334"/>
      <c r="V17" s="2334"/>
      <c r="W17" s="2334"/>
      <c r="X17" s="2334"/>
      <c r="Y17" s="2333"/>
      <c r="Z17" s="2334"/>
      <c r="AA17" s="2334"/>
      <c r="AB17" s="2334"/>
      <c r="AC17" s="2334"/>
      <c r="AD17" s="2334"/>
      <c r="AE17" s="2334"/>
      <c r="AF17" s="2334"/>
      <c r="AG17" s="2334"/>
      <c r="AH17" s="2334"/>
      <c r="AI17" s="2334"/>
      <c r="AJ17" s="2334"/>
      <c r="AK17" s="2334"/>
      <c r="AL17" s="2334"/>
      <c r="AM17" s="2334"/>
    </row>
    <row r="18" spans="1:40" ht="12.95" customHeight="1">
      <c r="A18"/>
      <c r="B18" s="1150"/>
      <c r="C18" s="1826" t="s">
        <v>959</v>
      </c>
      <c r="D18" s="1826"/>
      <c r="E18" s="1826"/>
      <c r="F18" s="1826"/>
      <c r="G18" s="1826"/>
      <c r="H18" s="1826"/>
      <c r="I18" s="1826"/>
      <c r="J18" s="1826"/>
      <c r="K18" s="1826"/>
      <c r="L18" s="1826"/>
      <c r="M18" s="1826"/>
      <c r="N18" s="1826"/>
      <c r="O18" s="1826"/>
      <c r="P18" s="1826"/>
      <c r="Q18" s="1826"/>
      <c r="R18" s="1826"/>
      <c r="S18" s="1827"/>
      <c r="T18" s="2333"/>
      <c r="U18" s="2334"/>
      <c r="V18" s="2334"/>
      <c r="W18" s="2334"/>
      <c r="X18" s="2334"/>
      <c r="Y18" s="2333"/>
      <c r="Z18" s="2334"/>
      <c r="AA18" s="2334"/>
      <c r="AB18" s="2334"/>
      <c r="AC18" s="2334"/>
      <c r="AD18" s="2334"/>
      <c r="AE18" s="2334"/>
      <c r="AF18" s="2334"/>
      <c r="AG18" s="2334"/>
      <c r="AH18" s="2334"/>
      <c r="AI18" s="2334"/>
      <c r="AJ18" s="2334"/>
      <c r="AK18" s="2334"/>
      <c r="AL18" s="2334"/>
      <c r="AM18" s="2334"/>
    </row>
    <row r="19" spans="1:40" ht="12.95" customHeight="1">
      <c r="B19" s="1150"/>
      <c r="C19" s="1826" t="s">
        <v>959</v>
      </c>
      <c r="D19" s="1826"/>
      <c r="E19" s="1826"/>
      <c r="F19" s="1826"/>
      <c r="G19" s="1826"/>
      <c r="H19" s="1826"/>
      <c r="I19" s="1826"/>
      <c r="J19" s="1826"/>
      <c r="K19" s="1826"/>
      <c r="L19" s="1826"/>
      <c r="M19" s="1826"/>
      <c r="N19" s="1826"/>
      <c r="O19" s="1826"/>
      <c r="P19" s="1826"/>
      <c r="Q19" s="1826"/>
      <c r="R19" s="1826"/>
      <c r="S19" s="1827"/>
      <c r="T19" s="2333"/>
      <c r="U19" s="2334"/>
      <c r="V19" s="2334"/>
      <c r="W19" s="2334"/>
      <c r="X19" s="2334"/>
      <c r="Y19" s="2333"/>
      <c r="Z19" s="2334"/>
      <c r="AA19" s="2334"/>
      <c r="AB19" s="2334"/>
      <c r="AC19" s="2334"/>
      <c r="AD19" s="2334"/>
      <c r="AE19" s="2334"/>
      <c r="AF19" s="2334"/>
      <c r="AG19" s="2334"/>
      <c r="AH19" s="2334"/>
      <c r="AI19" s="2334"/>
      <c r="AJ19" s="2334"/>
      <c r="AK19" s="2334"/>
      <c r="AL19" s="2334"/>
      <c r="AM19" s="2334"/>
    </row>
    <row r="20" spans="1:40" ht="12.95" customHeight="1">
      <c r="B20" s="2342" t="s">
        <v>501</v>
      </c>
      <c r="C20" s="2343"/>
      <c r="D20" s="2343"/>
      <c r="E20" s="2343"/>
      <c r="F20" s="2343"/>
      <c r="G20" s="2343"/>
      <c r="H20" s="2343"/>
      <c r="I20" s="2343"/>
      <c r="J20" s="2343"/>
      <c r="K20" s="2343"/>
      <c r="L20" s="2343"/>
      <c r="M20" s="2343"/>
      <c r="N20" s="2343"/>
      <c r="O20" s="2343"/>
      <c r="P20" s="2343"/>
      <c r="Q20" s="2343"/>
      <c r="R20" s="2343"/>
      <c r="S20" s="2344"/>
      <c r="T20" s="2335">
        <f>SUM(T13:X19)</f>
        <v>0</v>
      </c>
      <c r="U20" s="2336"/>
      <c r="V20" s="2336"/>
      <c r="W20" s="2336"/>
      <c r="X20" s="2336"/>
      <c r="Y20" s="2335">
        <f>SUM(Y13:AC19)</f>
        <v>0</v>
      </c>
      <c r="Z20" s="2336"/>
      <c r="AA20" s="2336"/>
      <c r="AB20" s="2336"/>
      <c r="AC20" s="2336"/>
      <c r="AD20" s="2337">
        <f>SUM(AD13:AH19)</f>
        <v>0</v>
      </c>
      <c r="AE20" s="2338"/>
      <c r="AF20" s="2338"/>
      <c r="AG20" s="2338"/>
      <c r="AH20" s="2335"/>
      <c r="AI20" s="2337">
        <f>SUM(AI13:AM19)</f>
        <v>0</v>
      </c>
      <c r="AJ20" s="2338"/>
      <c r="AK20" s="2338"/>
      <c r="AL20" s="2338"/>
      <c r="AM20" s="2335"/>
    </row>
    <row r="21" spans="1:40" ht="12.95" customHeight="1">
      <c r="B21" s="2342" t="s">
        <v>1263</v>
      </c>
      <c r="C21" s="2343"/>
      <c r="D21" s="2343"/>
      <c r="E21" s="2343"/>
      <c r="F21" s="2343"/>
      <c r="G21" s="2343"/>
      <c r="H21" s="2343"/>
      <c r="I21" s="2343"/>
      <c r="J21" s="2343"/>
      <c r="K21" s="2343"/>
      <c r="L21" s="2343"/>
      <c r="M21" s="2343"/>
      <c r="N21" s="2343"/>
      <c r="O21" s="2343"/>
      <c r="P21" s="2343"/>
      <c r="Q21" s="2343"/>
      <c r="R21" s="2343"/>
      <c r="S21" s="2344"/>
      <c r="T21" s="2333"/>
      <c r="U21" s="2334"/>
      <c r="V21" s="2334"/>
      <c r="W21" s="2334"/>
      <c r="X21" s="2334"/>
      <c r="Y21" s="2333"/>
      <c r="Z21" s="2334"/>
      <c r="AA21" s="2334"/>
      <c r="AB21" s="2334"/>
      <c r="AC21" s="2334"/>
      <c r="AD21" s="2330"/>
      <c r="AE21" s="2331"/>
      <c r="AF21" s="2331"/>
      <c r="AG21" s="2331"/>
      <c r="AH21" s="2332"/>
      <c r="AI21" s="2330"/>
      <c r="AJ21" s="2331"/>
      <c r="AK21" s="2331"/>
      <c r="AL21" s="2331"/>
      <c r="AM21" s="2332"/>
    </row>
    <row r="22" spans="1:40" ht="12.95" customHeight="1">
      <c r="B22" s="2342" t="s">
        <v>502</v>
      </c>
      <c r="C22" s="2343"/>
      <c r="D22" s="2343"/>
      <c r="E22" s="2343"/>
      <c r="F22" s="2343"/>
      <c r="G22" s="2343"/>
      <c r="H22" s="2343"/>
      <c r="I22" s="2343"/>
      <c r="J22" s="2343"/>
      <c r="K22" s="2343"/>
      <c r="L22" s="2343"/>
      <c r="M22" s="2343"/>
      <c r="N22" s="2343"/>
      <c r="O22" s="2343"/>
      <c r="P22" s="2343"/>
      <c r="Q22" s="2343"/>
      <c r="R22" s="2343"/>
      <c r="S22" s="2344"/>
      <c r="T22" s="2368">
        <f>(ABS(T20)+ABS(T21))*-1</f>
        <v>0</v>
      </c>
      <c r="U22" s="2369"/>
      <c r="V22" s="2369"/>
      <c r="W22" s="2369"/>
      <c r="X22" s="2369"/>
      <c r="Y22" s="2368">
        <f>(Y20+Y21)*-1</f>
        <v>0</v>
      </c>
      <c r="Z22" s="2369"/>
      <c r="AA22" s="2369"/>
      <c r="AB22" s="2369"/>
      <c r="AC22" s="2369"/>
      <c r="AD22" s="2370">
        <f>(AD20)*-1</f>
        <v>0</v>
      </c>
      <c r="AE22" s="2371"/>
      <c r="AF22" s="2371"/>
      <c r="AG22" s="2371"/>
      <c r="AH22" s="2368"/>
      <c r="AI22" s="2370">
        <f>(AI20)*-1</f>
        <v>0</v>
      </c>
      <c r="AJ22" s="2371"/>
      <c r="AK22" s="2371"/>
      <c r="AL22" s="2371"/>
      <c r="AM22" s="2368"/>
    </row>
    <row r="23" spans="1:40" ht="12.95" customHeight="1">
      <c r="B23" s="2342" t="s">
        <v>503</v>
      </c>
      <c r="C23" s="2343"/>
      <c r="D23" s="2343"/>
      <c r="E23" s="2343"/>
      <c r="F23" s="2343"/>
      <c r="G23" s="2343"/>
      <c r="H23" s="2343"/>
      <c r="I23" s="2343"/>
      <c r="J23" s="2343"/>
      <c r="K23" s="2343"/>
      <c r="L23" s="2343"/>
      <c r="M23" s="2343"/>
      <c r="N23" s="2343"/>
      <c r="O23" s="2343"/>
      <c r="P23" s="2343"/>
      <c r="Q23" s="2343"/>
      <c r="R23" s="2343"/>
      <c r="S23" s="2344"/>
      <c r="T23" s="2335">
        <f>T11+T22</f>
        <v>59043194</v>
      </c>
      <c r="U23" s="2336"/>
      <c r="V23" s="2336"/>
      <c r="W23" s="2336"/>
      <c r="X23" s="2336"/>
      <c r="Y23" s="2335">
        <f>Y11+Y22</f>
        <v>0</v>
      </c>
      <c r="Z23" s="2336"/>
      <c r="AA23" s="2336"/>
      <c r="AB23" s="2336"/>
      <c r="AC23" s="2336"/>
      <c r="AD23" s="2335">
        <f>AD11+AD22</f>
        <v>0</v>
      </c>
      <c r="AE23" s="2336"/>
      <c r="AF23" s="2336"/>
      <c r="AG23" s="2336"/>
      <c r="AH23" s="2336"/>
      <c r="AI23" s="2335">
        <f>AI11+AI22</f>
        <v>0</v>
      </c>
      <c r="AJ23" s="2336"/>
      <c r="AK23" s="2336"/>
      <c r="AL23" s="2336"/>
      <c r="AM23" s="2336"/>
    </row>
    <row r="24" spans="1:40" ht="12.95" customHeight="1">
      <c r="B24" s="2342" t="s">
        <v>960</v>
      </c>
      <c r="C24" s="2343"/>
      <c r="D24" s="2343"/>
      <c r="E24" s="2343"/>
      <c r="F24" s="2343"/>
      <c r="G24" s="2343"/>
      <c r="H24" s="2343"/>
      <c r="I24" s="2343"/>
      <c r="J24" s="2343"/>
      <c r="K24" s="2343"/>
      <c r="L24" s="2343"/>
      <c r="M24" s="2343"/>
      <c r="N24" s="2343"/>
      <c r="O24" s="2343"/>
      <c r="P24" s="2343"/>
      <c r="Q24" s="2343"/>
      <c r="R24" s="2343"/>
      <c r="S24" s="2344"/>
      <c r="T24" s="2337">
        <f>Application!AJ1053</f>
        <v>150330531.19999999</v>
      </c>
      <c r="U24" s="2338"/>
      <c r="V24" s="2338"/>
      <c r="W24" s="2338"/>
      <c r="X24" s="2338"/>
      <c r="Y24" s="2338"/>
      <c r="Z24" s="2338"/>
      <c r="AA24" s="2338"/>
      <c r="AB24" s="2338"/>
      <c r="AC24" s="2338"/>
      <c r="AD24" s="2338"/>
      <c r="AE24" s="2338"/>
      <c r="AF24" s="2338"/>
      <c r="AG24" s="2338"/>
      <c r="AH24" s="2338"/>
      <c r="AI24" s="2338"/>
      <c r="AJ24" s="2338"/>
      <c r="AK24" s="2338"/>
      <c r="AL24" s="2338"/>
      <c r="AM24" s="2335"/>
    </row>
    <row r="25" spans="1:40" ht="12.95" customHeight="1">
      <c r="B25" s="2346" t="s">
        <v>1264</v>
      </c>
      <c r="C25" s="2347"/>
      <c r="D25" s="2347"/>
      <c r="E25" s="2347"/>
      <c r="F25" s="2347"/>
      <c r="G25" s="2347"/>
      <c r="H25" s="2347"/>
      <c r="I25" s="2347"/>
      <c r="J25" s="2347"/>
      <c r="K25" s="2347"/>
      <c r="L25" s="2347"/>
      <c r="M25" s="2347"/>
      <c r="N25" s="2347"/>
      <c r="O25" s="2347"/>
      <c r="P25" s="2347"/>
      <c r="Q25" s="2347"/>
      <c r="R25" s="2347"/>
      <c r="S25" s="2348"/>
      <c r="T25" s="2372">
        <f>IF(OR(Application!T196="yes",Application!T195="yes"),1.3,1)</f>
        <v>1.3</v>
      </c>
      <c r="U25" s="2373"/>
      <c r="V25" s="2373"/>
      <c r="W25" s="2373"/>
      <c r="X25" s="2373"/>
      <c r="Y25" s="2372">
        <v>1</v>
      </c>
      <c r="Z25" s="2373"/>
      <c r="AA25" s="2373"/>
      <c r="AB25" s="2373"/>
      <c r="AC25" s="2373"/>
      <c r="AD25" s="2372">
        <v>1</v>
      </c>
      <c r="AE25" s="2373"/>
      <c r="AF25" s="2373"/>
      <c r="AG25" s="2373"/>
      <c r="AH25" s="2374"/>
      <c r="AI25" s="2372">
        <v>1</v>
      </c>
      <c r="AJ25" s="2373"/>
      <c r="AK25" s="2373"/>
      <c r="AL25" s="2373"/>
      <c r="AM25" s="2374"/>
    </row>
    <row r="26" spans="1:40" ht="12.95" customHeight="1">
      <c r="B26" s="2342" t="s">
        <v>504</v>
      </c>
      <c r="C26" s="2343"/>
      <c r="D26" s="2343"/>
      <c r="E26" s="2343"/>
      <c r="F26" s="2343"/>
      <c r="G26" s="2343"/>
      <c r="H26" s="2343"/>
      <c r="I26" s="2343"/>
      <c r="J26" s="2343"/>
      <c r="K26" s="2343"/>
      <c r="L26" s="2343"/>
      <c r="M26" s="2343"/>
      <c r="N26" s="2343"/>
      <c r="O26" s="2343"/>
      <c r="P26" s="2343"/>
      <c r="Q26" s="2343"/>
      <c r="R26" s="2343"/>
      <c r="S26" s="2344"/>
      <c r="T26" s="2335">
        <f>T23*T25</f>
        <v>76756152.200000003</v>
      </c>
      <c r="U26" s="2336"/>
      <c r="V26" s="2336"/>
      <c r="W26" s="2336"/>
      <c r="X26" s="2336"/>
      <c r="Y26" s="2335">
        <f>Y23*Y25</f>
        <v>0</v>
      </c>
      <c r="Z26" s="2336"/>
      <c r="AA26" s="2336"/>
      <c r="AB26" s="2336"/>
      <c r="AC26" s="2336"/>
      <c r="AD26" s="2335">
        <f>AD23*AD25</f>
        <v>0</v>
      </c>
      <c r="AE26" s="2336"/>
      <c r="AF26" s="2336"/>
      <c r="AG26" s="2336"/>
      <c r="AH26" s="2336"/>
      <c r="AI26" s="2335">
        <f>AI23*AI25</f>
        <v>0</v>
      </c>
      <c r="AJ26" s="2336"/>
      <c r="AK26" s="2336"/>
      <c r="AL26" s="2336"/>
      <c r="AM26" s="2336"/>
    </row>
    <row r="27" spans="1:40" ht="12.95" customHeight="1">
      <c r="A27" s="410"/>
      <c r="B27" s="2349" t="s">
        <v>425</v>
      </c>
      <c r="C27" s="2350"/>
      <c r="D27" s="2350"/>
      <c r="E27" s="2350"/>
      <c r="F27" s="2350"/>
      <c r="G27" s="2350"/>
      <c r="H27" s="2350"/>
      <c r="I27" s="2350"/>
      <c r="J27" s="2350"/>
      <c r="K27" s="2350"/>
      <c r="L27" s="2350"/>
      <c r="M27" s="2350"/>
      <c r="N27" s="2350"/>
      <c r="O27" s="2350"/>
      <c r="P27" s="2350"/>
      <c r="Q27" s="2350"/>
      <c r="R27" s="2350"/>
      <c r="S27" s="2351"/>
      <c r="T27" s="2355">
        <f>Application!$AG$445</f>
        <v>1</v>
      </c>
      <c r="U27" s="2356"/>
      <c r="V27" s="2356"/>
      <c r="W27" s="2356"/>
      <c r="X27" s="2356"/>
      <c r="Y27" s="2355">
        <f>Application!$AG$445</f>
        <v>1</v>
      </c>
      <c r="Z27" s="2356"/>
      <c r="AA27" s="2356"/>
      <c r="AB27" s="2356"/>
      <c r="AC27" s="2356"/>
      <c r="AD27" s="2355">
        <f>Application!$AG$445</f>
        <v>1</v>
      </c>
      <c r="AE27" s="2356"/>
      <c r="AF27" s="2356"/>
      <c r="AG27" s="2356"/>
      <c r="AH27" s="2356"/>
      <c r="AI27" s="2355">
        <f>Application!$AG$445</f>
        <v>1</v>
      </c>
      <c r="AJ27" s="2356"/>
      <c r="AK27" s="2356"/>
      <c r="AL27" s="2356"/>
      <c r="AM27" s="2356"/>
    </row>
    <row r="28" spans="1:40" ht="12.95" customHeight="1">
      <c r="A28" s="404"/>
      <c r="B28" s="2342" t="s">
        <v>505</v>
      </c>
      <c r="C28" s="2343"/>
      <c r="D28" s="2343"/>
      <c r="E28" s="2343"/>
      <c r="F28" s="2343"/>
      <c r="G28" s="2343"/>
      <c r="H28" s="2343"/>
      <c r="I28" s="2343"/>
      <c r="J28" s="2343"/>
      <c r="K28" s="2343"/>
      <c r="L28" s="2343"/>
      <c r="M28" s="2343"/>
      <c r="N28" s="2343"/>
      <c r="O28" s="2343"/>
      <c r="P28" s="2343"/>
      <c r="Q28" s="2343"/>
      <c r="R28" s="2343"/>
      <c r="S28" s="2344"/>
      <c r="T28" s="2335">
        <f>IF(ISERROR((T26*T27)),0,(T26*T27))</f>
        <v>76756152.200000003</v>
      </c>
      <c r="U28" s="2336"/>
      <c r="V28" s="2336"/>
      <c r="W28" s="2336"/>
      <c r="X28" s="2336"/>
      <c r="Y28" s="2335">
        <f>IF(ISERROR((Y26*Y27)),0,(Y26*Y27))</f>
        <v>0</v>
      </c>
      <c r="Z28" s="2336"/>
      <c r="AA28" s="2336"/>
      <c r="AB28" s="2336"/>
      <c r="AC28" s="2336"/>
      <c r="AD28" s="2335">
        <f>IF(ISERROR((AD26*AD27)),0,(AD26*AD27))</f>
        <v>0</v>
      </c>
      <c r="AE28" s="2336"/>
      <c r="AF28" s="2336"/>
      <c r="AG28" s="2336"/>
      <c r="AH28" s="2336"/>
      <c r="AI28" s="2335">
        <f>IF(ISERROR((AI26*AI27)),0,(AI26*AI27))</f>
        <v>0</v>
      </c>
      <c r="AJ28" s="2336"/>
      <c r="AK28" s="2336"/>
      <c r="AL28" s="2336"/>
      <c r="AM28" s="2336"/>
    </row>
    <row r="29" spans="1:40" ht="12.95" customHeight="1">
      <c r="B29" s="2342" t="s">
        <v>522</v>
      </c>
      <c r="C29" s="2343"/>
      <c r="D29" s="2343"/>
      <c r="E29" s="2343"/>
      <c r="F29" s="2343"/>
      <c r="G29" s="2343"/>
      <c r="H29" s="2343"/>
      <c r="I29" s="2343"/>
      <c r="J29" s="2343"/>
      <c r="K29" s="2343"/>
      <c r="L29" s="2343"/>
      <c r="M29" s="2343"/>
      <c r="N29" s="2343"/>
      <c r="O29" s="2343"/>
      <c r="P29" s="2343"/>
      <c r="Q29" s="2343"/>
      <c r="R29" s="2343"/>
      <c r="S29" s="2344"/>
      <c r="T29" s="2337">
        <f>T28+Y28+AD28+AI28</f>
        <v>76756152.200000003</v>
      </c>
      <c r="U29" s="2338"/>
      <c r="V29" s="2338"/>
      <c r="W29" s="2338"/>
      <c r="X29" s="2338"/>
      <c r="Y29" s="2338"/>
      <c r="Z29" s="2338"/>
      <c r="AA29" s="2338"/>
      <c r="AB29" s="2338"/>
      <c r="AC29" s="2338"/>
      <c r="AD29" s="2338"/>
      <c r="AE29" s="2338"/>
      <c r="AF29" s="2338"/>
      <c r="AG29" s="2338"/>
      <c r="AH29" s="2338"/>
      <c r="AI29" s="2338"/>
      <c r="AJ29" s="2338"/>
      <c r="AK29" s="2338"/>
      <c r="AL29" s="2338"/>
      <c r="AM29" s="2335"/>
    </row>
    <row r="30" spans="1:40" ht="12.95" customHeight="1">
      <c r="B30" s="2345" t="s">
        <v>1266</v>
      </c>
      <c r="C30" s="2345"/>
      <c r="D30" s="2345"/>
      <c r="E30" s="2345"/>
      <c r="F30" s="2345"/>
      <c r="G30" s="2345"/>
      <c r="H30" s="2345"/>
      <c r="I30" s="2345"/>
      <c r="J30" s="2345"/>
      <c r="K30" s="2345"/>
      <c r="L30" s="2345"/>
      <c r="M30" s="2345"/>
      <c r="N30" s="2345"/>
      <c r="O30" s="2345"/>
      <c r="P30" s="2345"/>
      <c r="Q30" s="2345"/>
      <c r="R30" s="2345"/>
      <c r="S30" s="2345"/>
      <c r="T30" s="2345"/>
      <c r="U30" s="2345"/>
      <c r="V30" s="2345"/>
      <c r="W30" s="2345"/>
      <c r="X30" s="2345"/>
      <c r="Y30" s="2345"/>
      <c r="Z30" s="2345"/>
      <c r="AA30" s="2345"/>
      <c r="AB30" s="2345"/>
      <c r="AC30" s="2345"/>
      <c r="AD30" s="2345"/>
      <c r="AE30" s="2345"/>
      <c r="AF30" s="2345"/>
      <c r="AG30" s="2345"/>
      <c r="AH30" s="2345"/>
      <c r="AI30" s="2345"/>
      <c r="AJ30" s="2345"/>
      <c r="AK30" s="2345"/>
      <c r="AL30" s="2345"/>
      <c r="AM30" s="2345"/>
    </row>
    <row r="31" spans="1:40" ht="12.95" customHeight="1">
      <c r="B31" s="2345" t="s">
        <v>1265</v>
      </c>
      <c r="C31" s="2345"/>
      <c r="D31" s="2345"/>
      <c r="E31" s="2345"/>
      <c r="F31" s="2345"/>
      <c r="G31" s="2345"/>
      <c r="H31" s="2345"/>
      <c r="I31" s="2345"/>
      <c r="J31" s="2345"/>
      <c r="K31" s="2345"/>
      <c r="L31" s="2345"/>
      <c r="M31" s="2345"/>
      <c r="N31" s="2345"/>
      <c r="O31" s="2345"/>
      <c r="P31" s="2345"/>
      <c r="Q31" s="2345"/>
      <c r="R31" s="2345"/>
      <c r="S31" s="2345"/>
      <c r="T31" s="2345"/>
      <c r="U31" s="2345"/>
      <c r="V31" s="2345"/>
      <c r="W31" s="2345"/>
      <c r="X31" s="2345"/>
      <c r="Y31" s="2345"/>
      <c r="Z31" s="2345"/>
      <c r="AA31" s="2345"/>
      <c r="AB31" s="2345"/>
      <c r="AC31" s="2345"/>
      <c r="AD31" s="2345"/>
      <c r="AE31" s="2345"/>
      <c r="AF31" s="2345"/>
      <c r="AG31" s="2345"/>
      <c r="AH31" s="2345"/>
      <c r="AI31" s="2345"/>
      <c r="AJ31" s="2345"/>
      <c r="AK31" s="2345"/>
      <c r="AL31" s="2345"/>
      <c r="AM31" s="2345"/>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575</v>
      </c>
      <c r="C34" s="404" t="s">
        <v>567</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3" t="s">
        <v>1153</v>
      </c>
      <c r="Z35" s="2363"/>
      <c r="AA35" s="2363"/>
      <c r="AB35" s="2363"/>
      <c r="AC35" s="2363"/>
      <c r="AD35" s="2383" t="s">
        <v>368</v>
      </c>
      <c r="AE35" s="2383"/>
      <c r="AF35" s="2383"/>
      <c r="AG35" s="2383"/>
      <c r="AH35" s="2383"/>
    </row>
    <row r="36" spans="1:76" ht="12.95" customHeight="1">
      <c r="B36" s="407"/>
      <c r="X36" s="412"/>
      <c r="Y36" s="2363"/>
      <c r="Z36" s="2363"/>
      <c r="AA36" s="2363"/>
      <c r="AB36" s="2363"/>
      <c r="AC36" s="2363"/>
      <c r="AD36" s="2383"/>
      <c r="AE36" s="2383"/>
      <c r="AF36" s="2383"/>
      <c r="AG36" s="2383"/>
      <c r="AH36" s="2383"/>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3"/>
      <c r="Z37" s="2363"/>
      <c r="AA37" s="2363"/>
      <c r="AB37" s="2363"/>
      <c r="AC37" s="2363"/>
      <c r="AD37" s="2383"/>
      <c r="AE37" s="2383"/>
      <c r="AF37" s="2383"/>
      <c r="AG37" s="2383"/>
      <c r="AH37" s="2383"/>
    </row>
    <row r="38" spans="1:76" ht="12.95" customHeight="1">
      <c r="A38" s="404"/>
      <c r="B38" s="2342" t="s">
        <v>505</v>
      </c>
      <c r="C38" s="2343"/>
      <c r="D38" s="2343"/>
      <c r="E38" s="2343"/>
      <c r="F38" s="2343"/>
      <c r="G38" s="2343"/>
      <c r="H38" s="2343"/>
      <c r="I38" s="2343"/>
      <c r="J38" s="2343"/>
      <c r="K38" s="2343"/>
      <c r="L38" s="2343"/>
      <c r="M38" s="2343"/>
      <c r="N38" s="2343"/>
      <c r="O38" s="2343"/>
      <c r="P38" s="2343"/>
      <c r="Q38" s="2343"/>
      <c r="R38" s="2343"/>
      <c r="S38" s="2343"/>
      <c r="T38" s="2343"/>
      <c r="U38" s="2343"/>
      <c r="V38" s="2343"/>
      <c r="W38" s="2343"/>
      <c r="X38" s="2344"/>
      <c r="Y38" s="2336">
        <f>IF(T24&gt;=(T23+Y23+AD23+AI23),T28+Y28,0)</f>
        <v>76756152.200000003</v>
      </c>
      <c r="Z38" s="2336"/>
      <c r="AA38" s="2336"/>
      <c r="AB38" s="2336"/>
      <c r="AC38" s="2336"/>
      <c r="AD38" s="2336">
        <f>IF(T24&gt;=(T23+Y23+AD23+AI23),AD28+AI28,0)</f>
        <v>0</v>
      </c>
      <c r="AE38" s="2336"/>
      <c r="AF38" s="2336"/>
      <c r="AG38" s="2336"/>
      <c r="AH38" s="2336"/>
    </row>
    <row r="39" spans="1:76" ht="12.95" customHeight="1">
      <c r="B39" s="2342" t="s">
        <v>1691</v>
      </c>
      <c r="C39" s="2343"/>
      <c r="D39" s="2343"/>
      <c r="E39" s="2343"/>
      <c r="F39" s="2343"/>
      <c r="G39" s="2343"/>
      <c r="H39" s="2343"/>
      <c r="I39" s="2343"/>
      <c r="J39" s="2343"/>
      <c r="K39" s="2343"/>
      <c r="L39" s="2343"/>
      <c r="M39" s="2343"/>
      <c r="N39" s="2343"/>
      <c r="O39" s="2343"/>
      <c r="P39" s="2343"/>
      <c r="Q39" s="2343"/>
      <c r="R39" s="2343"/>
      <c r="S39" s="2343"/>
      <c r="T39" s="2343"/>
      <c r="U39" s="2343"/>
      <c r="V39" s="2343"/>
      <c r="W39" s="2343"/>
      <c r="X39" s="2344"/>
      <c r="Y39" s="2384">
        <v>0.04</v>
      </c>
      <c r="Z39" s="2384"/>
      <c r="AA39" s="2384"/>
      <c r="AB39" s="2384"/>
      <c r="AC39" s="2384"/>
      <c r="AD39" s="2384">
        <v>0.04</v>
      </c>
      <c r="AE39" s="2384"/>
      <c r="AF39" s="2384"/>
      <c r="AG39" s="2384"/>
      <c r="AH39" s="2384"/>
    </row>
    <row r="40" spans="1:76" ht="12.95" customHeight="1">
      <c r="A40" s="404"/>
      <c r="B40" s="2342" t="s">
        <v>641</v>
      </c>
      <c r="C40" s="2343"/>
      <c r="D40" s="2343"/>
      <c r="E40" s="2343"/>
      <c r="F40" s="2343"/>
      <c r="G40" s="2343"/>
      <c r="H40" s="2343"/>
      <c r="I40" s="2343"/>
      <c r="J40" s="2343"/>
      <c r="K40" s="2343"/>
      <c r="L40" s="2343"/>
      <c r="M40" s="2343"/>
      <c r="N40" s="2343"/>
      <c r="O40" s="2343"/>
      <c r="P40" s="2343"/>
      <c r="Q40" s="2343"/>
      <c r="R40" s="2343"/>
      <c r="S40" s="2343"/>
      <c r="T40" s="2343"/>
      <c r="U40" s="2343"/>
      <c r="V40" s="2343"/>
      <c r="W40" s="2343"/>
      <c r="X40" s="2344"/>
      <c r="Y40" s="2336">
        <f>ROUND(Y38*Y39,0)</f>
        <v>3070246</v>
      </c>
      <c r="Z40" s="2336"/>
      <c r="AA40" s="2336"/>
      <c r="AB40" s="2336"/>
      <c r="AC40" s="2336"/>
      <c r="AD40" s="2335">
        <f>ROUND(AD38*AD39,0)</f>
        <v>0</v>
      </c>
      <c r="AE40" s="2336"/>
      <c r="AF40" s="2336"/>
      <c r="AG40" s="2336"/>
      <c r="AH40" s="2336"/>
    </row>
    <row r="41" spans="1:76" ht="12.95" customHeight="1">
      <c r="B41" s="2342" t="s">
        <v>642</v>
      </c>
      <c r="C41" s="2343"/>
      <c r="D41" s="2343"/>
      <c r="E41" s="2343"/>
      <c r="F41" s="2343"/>
      <c r="G41" s="2343"/>
      <c r="H41" s="2343"/>
      <c r="I41" s="2343"/>
      <c r="J41" s="2343"/>
      <c r="K41" s="2343"/>
      <c r="L41" s="2343"/>
      <c r="M41" s="2343"/>
      <c r="N41" s="2343"/>
      <c r="O41" s="2343"/>
      <c r="P41" s="2343"/>
      <c r="Q41" s="2343"/>
      <c r="R41" s="2343"/>
      <c r="S41" s="2343"/>
      <c r="T41" s="2343"/>
      <c r="U41" s="2343"/>
      <c r="V41" s="2343"/>
      <c r="W41" s="2343"/>
      <c r="X41" s="2344"/>
      <c r="Y41" s="2337">
        <f>Y40+AD40</f>
        <v>3070246</v>
      </c>
      <c r="Z41" s="2338"/>
      <c r="AA41" s="2338"/>
      <c r="AB41" s="2338"/>
      <c r="AC41" s="2338"/>
      <c r="AD41" s="2338"/>
      <c r="AE41" s="2338"/>
      <c r="AF41" s="2338"/>
      <c r="AG41" s="2338"/>
      <c r="AH41" s="2335"/>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0" t="s">
        <v>1276</v>
      </c>
      <c r="B44" s="2340"/>
      <c r="C44" s="2340"/>
      <c r="D44" s="2340"/>
      <c r="E44" s="2340"/>
      <c r="F44" s="2340"/>
      <c r="G44" s="2340"/>
      <c r="H44" s="2340"/>
      <c r="I44" s="2340"/>
      <c r="J44" s="2340"/>
      <c r="K44" s="2340"/>
      <c r="L44" s="2340"/>
      <c r="M44" s="2340"/>
      <c r="N44" s="2340"/>
      <c r="O44" s="2340"/>
      <c r="P44" s="2340"/>
      <c r="Q44" s="2340"/>
      <c r="R44" s="2340"/>
      <c r="S44" s="2340"/>
      <c r="T44" s="2340"/>
      <c r="U44" s="2340"/>
      <c r="V44" s="2340"/>
      <c r="W44" s="2340"/>
      <c r="X44" s="2340"/>
      <c r="Y44" s="2340"/>
      <c r="Z44" s="2340"/>
      <c r="AA44" s="2340"/>
      <c r="AB44" s="2340"/>
      <c r="AC44" s="2340"/>
      <c r="AD44" s="2340"/>
      <c r="AE44" s="2340"/>
      <c r="AF44" s="2340"/>
      <c r="AG44" s="2340"/>
      <c r="AH44" s="2340"/>
      <c r="AI44" s="2340"/>
      <c r="AJ44" s="2340"/>
      <c r="AK44" s="2340"/>
      <c r="AL44" s="2340"/>
      <c r="AM44" s="2340"/>
      <c r="AN44" s="2340"/>
      <c r="AO44" s="2340"/>
      <c r="AP44" s="2340"/>
      <c r="AQ44" s="2340"/>
      <c r="AR44" s="2340"/>
      <c r="AS44" s="2340"/>
      <c r="AT44" s="2340"/>
      <c r="AU44" s="2340"/>
      <c r="AV44" s="2340"/>
      <c r="AW44" s="2340"/>
      <c r="AX44" s="2340"/>
      <c r="AY44" s="2340"/>
      <c r="AZ44" s="2340"/>
      <c r="BA44" s="2340"/>
      <c r="BB44" s="2340"/>
      <c r="BC44" s="2340"/>
      <c r="BD44" s="2340"/>
      <c r="BE44" s="2340"/>
      <c r="BF44" s="2340"/>
      <c r="BG44" s="2340"/>
      <c r="BH44" s="2340"/>
      <c r="BI44" s="2340"/>
      <c r="BJ44" s="2340"/>
      <c r="BK44" s="2340"/>
      <c r="BL44" s="2340"/>
      <c r="BM44" s="2340"/>
      <c r="BN44" s="2340"/>
      <c r="BO44" s="2340"/>
      <c r="BP44" s="2340"/>
      <c r="BQ44" s="2340"/>
      <c r="BR44" s="2340"/>
      <c r="BS44" s="2340"/>
      <c r="BT44" s="2340"/>
      <c r="BU44" s="2340"/>
      <c r="BV44" s="2340"/>
      <c r="BW44" s="2340"/>
      <c r="BX44" s="2340"/>
    </row>
    <row r="45" spans="1:76" s="204" customFormat="1" ht="12.95" customHeight="1" thickTop="1"/>
    <row r="46" spans="1:76" ht="12.95" customHeight="1">
      <c r="A46" s="404" t="s">
        <v>585</v>
      </c>
      <c r="C46" s="404" t="s">
        <v>281</v>
      </c>
    </row>
    <row r="47" spans="1:76" ht="12.95" customHeight="1">
      <c r="D47" s="404" t="s">
        <v>282</v>
      </c>
      <c r="AB47" s="2352">
        <f>'Sources and Uses Budget'!B105-MAX(IF('Sources and Uses Budget'!B15="",0,'Sources and Uses Budget'!B15),IF(Application!AG394="",0,Application!AG394))</f>
        <v>68611339</v>
      </c>
      <c r="AC47" s="2353"/>
      <c r="AD47" s="2353"/>
      <c r="AE47" s="2353"/>
      <c r="AF47" s="2354"/>
    </row>
    <row r="48" spans="1:76" ht="12.95" customHeight="1">
      <c r="D48" s="404" t="s">
        <v>21</v>
      </c>
      <c r="AB48" s="2352">
        <f>Application!AO639-MAX(IF('Sources and Uses Budget'!B15="",0,'Sources and Uses Budget'!B15),IF(Application!AG394="",0,Application!AG394))</f>
        <v>31420321</v>
      </c>
      <c r="AC48" s="2353"/>
      <c r="AD48" s="2353"/>
      <c r="AE48" s="2353"/>
      <c r="AF48" s="2354"/>
    </row>
    <row r="49" spans="1:76" ht="12.95" customHeight="1">
      <c r="D49" s="404" t="s">
        <v>91</v>
      </c>
      <c r="AB49" s="2352">
        <f>AB47-AB48</f>
        <v>37191018</v>
      </c>
      <c r="AC49" s="2353"/>
      <c r="AD49" s="2353"/>
      <c r="AE49" s="2353"/>
      <c r="AF49" s="2354"/>
    </row>
    <row r="50" spans="1:76" ht="12.95" customHeight="1">
      <c r="D50" s="404" t="s">
        <v>680</v>
      </c>
      <c r="AA50" s="415"/>
      <c r="AB50" s="2379">
        <v>0.82</v>
      </c>
      <c r="AC50" s="2380"/>
      <c r="AD50" s="2380"/>
      <c r="AE50" s="2380"/>
      <c r="AF50" s="2381"/>
    </row>
    <row r="51" spans="1:76" s="417" customFormat="1" ht="12.95" customHeight="1">
      <c r="A51" s="402"/>
      <c r="B51" s="402"/>
      <c r="C51" s="402"/>
      <c r="D51" s="402"/>
      <c r="E51" s="2382" t="s">
        <v>2611</v>
      </c>
      <c r="F51" s="2382"/>
      <c r="G51" s="2382"/>
      <c r="H51" s="2382"/>
      <c r="I51" s="2382"/>
      <c r="J51" s="2382"/>
      <c r="K51" s="2382"/>
      <c r="L51" s="2382"/>
      <c r="M51" s="2382"/>
      <c r="N51" s="2382"/>
      <c r="O51" s="2382"/>
      <c r="P51" s="2382"/>
      <c r="Q51" s="2382"/>
      <c r="R51" s="2382"/>
      <c r="S51" s="2382"/>
      <c r="T51" s="2382"/>
      <c r="U51" s="2382"/>
      <c r="V51" s="2382"/>
      <c r="W51" s="2382"/>
      <c r="X51" s="2382"/>
      <c r="Y51" s="2382"/>
      <c r="Z51" s="2382"/>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82"/>
      <c r="F52" s="2382"/>
      <c r="G52" s="2382"/>
      <c r="H52" s="2382"/>
      <c r="I52" s="2382"/>
      <c r="J52" s="2382"/>
      <c r="K52" s="2382"/>
      <c r="L52" s="2382"/>
      <c r="M52" s="2382"/>
      <c r="N52" s="2382"/>
      <c r="O52" s="2382"/>
      <c r="P52" s="2382"/>
      <c r="Q52" s="2382"/>
      <c r="R52" s="2382"/>
      <c r="S52" s="2382"/>
      <c r="T52" s="2382"/>
      <c r="U52" s="2382"/>
      <c r="V52" s="2382"/>
      <c r="W52" s="2382"/>
      <c r="X52" s="2382"/>
      <c r="Y52" s="2382"/>
      <c r="Z52" s="2382"/>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331</v>
      </c>
      <c r="AB54" s="2352">
        <f>ROUND(IF(ISERROR((AB49/AB50)),0,(AB49/AB50)),0)</f>
        <v>45354900</v>
      </c>
      <c r="AC54" s="2353"/>
      <c r="AD54" s="2353"/>
      <c r="AE54" s="2353"/>
      <c r="AF54" s="2354"/>
    </row>
    <row r="55" spans="1:76" ht="12.95" customHeight="1">
      <c r="D55" s="404" t="s">
        <v>332</v>
      </c>
      <c r="AB55" s="2352">
        <f>(AB54/10)</f>
        <v>4535490</v>
      </c>
      <c r="AC55" s="2353"/>
      <c r="AD55" s="2353"/>
      <c r="AE55" s="2353"/>
      <c r="AF55" s="2354"/>
    </row>
    <row r="56" spans="1:76" ht="12.95" customHeight="1">
      <c r="D56" s="404" t="s">
        <v>755</v>
      </c>
      <c r="AB56" s="2352">
        <f>ROUND((IF((Y41&lt;AB55),Y41,AB55)),0)</f>
        <v>3070246</v>
      </c>
      <c r="AC56" s="2353"/>
      <c r="AD56" s="2353"/>
      <c r="AE56" s="2353"/>
      <c r="AF56" s="2354"/>
    </row>
    <row r="57" spans="1:76" ht="12.95" customHeight="1">
      <c r="D57" s="404" t="s">
        <v>754</v>
      </c>
      <c r="AB57" s="2352">
        <f>ROUND((10*AB56*AB50),0)</f>
        <v>25176017</v>
      </c>
      <c r="AC57" s="2353"/>
      <c r="AD57" s="2353"/>
      <c r="AE57" s="2353"/>
      <c r="AF57" s="2354"/>
    </row>
    <row r="58" spans="1:76" ht="12.95" customHeight="1">
      <c r="D58" s="404"/>
      <c r="AB58" s="423"/>
      <c r="AC58" s="423"/>
      <c r="AD58" s="423"/>
      <c r="AE58" s="423"/>
      <c r="AF58" s="423"/>
    </row>
    <row r="59" spans="1:76" ht="12.95" customHeight="1">
      <c r="D59" s="404" t="s">
        <v>753</v>
      </c>
      <c r="AB59" s="2375">
        <f>AB49-AB57</f>
        <v>12015001</v>
      </c>
      <c r="AC59" s="2375"/>
      <c r="AD59" s="2375"/>
      <c r="AE59" s="2375"/>
      <c r="AF59" s="2375"/>
    </row>
    <row r="60" spans="1:76" ht="12.95" customHeight="1">
      <c r="D60" s="404"/>
      <c r="AB60" s="423"/>
      <c r="AC60" s="423"/>
      <c r="AD60" s="423"/>
      <c r="AE60" s="423"/>
      <c r="AF60" s="423"/>
    </row>
    <row r="61" spans="1:76" s="204" customFormat="1" ht="12.95" customHeight="1" thickBot="1">
      <c r="A61" s="2340" t="str">
        <f>IF(Application!AP205="yes","Farmworker State Credit", "State Credit" )</f>
        <v>State Credit</v>
      </c>
      <c r="B61" s="2340"/>
      <c r="C61" s="2340"/>
      <c r="D61" s="2340"/>
      <c r="E61" s="2340"/>
      <c r="F61" s="2340"/>
      <c r="G61" s="2340"/>
      <c r="H61" s="2340"/>
      <c r="I61" s="2340"/>
      <c r="J61" s="2340"/>
      <c r="K61" s="2340"/>
      <c r="L61" s="2340"/>
      <c r="M61" s="2340"/>
      <c r="N61" s="2340"/>
      <c r="O61" s="2340"/>
      <c r="P61" s="2340"/>
      <c r="Q61" s="2340"/>
      <c r="R61" s="2340"/>
      <c r="S61" s="2340"/>
      <c r="T61" s="2340"/>
      <c r="U61" s="2340"/>
      <c r="V61" s="2340"/>
      <c r="W61" s="2340"/>
      <c r="X61" s="2340"/>
      <c r="Y61" s="2340"/>
      <c r="Z61" s="2340"/>
      <c r="AA61" s="2340"/>
      <c r="AB61" s="2340"/>
      <c r="AC61" s="2340"/>
      <c r="AD61" s="2340"/>
      <c r="AE61" s="2340"/>
      <c r="AF61" s="2340"/>
      <c r="AG61" s="2340"/>
      <c r="AH61" s="2340"/>
      <c r="AI61" s="2340"/>
      <c r="AJ61" s="2340"/>
      <c r="AK61" s="2340"/>
      <c r="AL61" s="2340"/>
      <c r="AM61" s="2340"/>
      <c r="AN61" s="2340"/>
      <c r="AO61" s="2340"/>
      <c r="AP61" s="2340"/>
      <c r="AQ61" s="2340"/>
      <c r="AR61" s="2340"/>
      <c r="AS61" s="2340"/>
      <c r="AT61" s="2340"/>
      <c r="AU61" s="2340"/>
      <c r="AV61" s="2340"/>
      <c r="AW61" s="2340"/>
      <c r="AX61" s="2340"/>
      <c r="AY61" s="2340"/>
      <c r="AZ61" s="2340"/>
      <c r="BA61" s="2340"/>
      <c r="BB61" s="2340"/>
      <c r="BC61" s="2340"/>
      <c r="BD61" s="2340"/>
      <c r="BE61" s="2340"/>
      <c r="BF61" s="2340"/>
      <c r="BG61" s="2340"/>
      <c r="BH61" s="2340"/>
      <c r="BI61" s="2340"/>
      <c r="BJ61" s="2340"/>
      <c r="BK61" s="2340"/>
      <c r="BL61" s="2340"/>
      <c r="BM61" s="2340"/>
      <c r="BN61" s="2340"/>
      <c r="BO61" s="2340"/>
      <c r="BP61" s="2340"/>
      <c r="BQ61" s="2340"/>
      <c r="BR61" s="2340"/>
      <c r="BS61" s="2340"/>
      <c r="BT61" s="2340"/>
      <c r="BU61" s="2340"/>
      <c r="BV61" s="2340"/>
      <c r="BW61" s="2340"/>
      <c r="BX61" s="2340"/>
    </row>
    <row r="62" spans="1:76" s="204" customFormat="1" ht="12.95" customHeight="1" thickTop="1"/>
    <row r="63" spans="1:76" ht="12.95" customHeight="1">
      <c r="A63" s="404" t="s">
        <v>588</v>
      </c>
      <c r="C63" s="205" t="s">
        <v>1248</v>
      </c>
      <c r="Y63" s="2376" t="s">
        <v>983</v>
      </c>
      <c r="Z63" s="2376"/>
      <c r="AA63" s="2376"/>
      <c r="AB63" s="2376"/>
      <c r="AC63" s="2376"/>
      <c r="AD63" s="2376" t="s">
        <v>368</v>
      </c>
      <c r="AE63" s="2376"/>
      <c r="AF63" s="2376"/>
      <c r="AG63" s="2376"/>
      <c r="AH63" s="2376"/>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7">
        <f>IF(Application!$Z$205="(select)",0,((T23*T27)+Y28))</f>
        <v>59043194</v>
      </c>
      <c r="Z64" s="2377"/>
      <c r="AA64" s="2377"/>
      <c r="AB64" s="2377"/>
      <c r="AC64" s="2378"/>
      <c r="AD64" s="2337">
        <f>IF(AND(OR(Application!D211="At-Risk",Application!D211="At-Risk and Special Needs"),Application!M358="yes"),AD28+AI28,0)</f>
        <v>0</v>
      </c>
      <c r="AE64" s="2377"/>
      <c r="AF64" s="2377"/>
      <c r="AG64" s="2377"/>
      <c r="AH64" s="2378"/>
    </row>
    <row r="65" spans="1:36" ht="12.95"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90">
        <f>IF(OR(Application!Z205="State Farmworker Credit",Application!Z205="$500M (Farmworker Housing)"),0.75,IF(Application!Z205="15% set-aside",0.13,IF(Application!Z205="15% set-aside with qualifying low value rehab",0.95,IF(Application!Z205="$500M",0.3,0))))</f>
        <v>0.3</v>
      </c>
      <c r="Z67" s="2390"/>
      <c r="AA67" s="2390"/>
      <c r="AB67" s="2390"/>
      <c r="AC67" s="2390"/>
      <c r="AD67" s="2390">
        <f>IF(Application!Z205="15% set-aside with qualifying low value rehab", 0.95,IF(OR(Application!D211="At-Risk",'Points System'!B13="Yes"),0.13,0))</f>
        <v>0</v>
      </c>
      <c r="AE67" s="2390"/>
      <c r="AF67" s="2390"/>
      <c r="AG67" s="2390"/>
      <c r="AH67" s="2390"/>
    </row>
    <row r="68" spans="1:36" ht="12.95" customHeight="1">
      <c r="C68" s="404"/>
      <c r="D68" s="205" t="s">
        <v>2224</v>
      </c>
      <c r="Y68" s="2336">
        <f>ROUND(Y64*Y67,0)</f>
        <v>17712958</v>
      </c>
      <c r="Z68" s="2391"/>
      <c r="AA68" s="2391"/>
      <c r="AB68" s="2391"/>
      <c r="AC68" s="2391"/>
      <c r="AD68" s="2336">
        <f>ROUND(AD64*AD67,0)</f>
        <v>0</v>
      </c>
      <c r="AE68" s="2391"/>
      <c r="AF68" s="2391"/>
      <c r="AG68" s="2391"/>
      <c r="AH68" s="2391"/>
    </row>
    <row r="69" spans="1:36" ht="12.95" customHeight="1">
      <c r="C69" s="404"/>
      <c r="D69" s="205" t="s">
        <v>2225</v>
      </c>
      <c r="Y69" s="2336">
        <f>IF(OR(Application!Z205="State Farmworker Credit",Application!Z205="$500M (Farmworker Housing)"),Y68+AD68,MIN(Y68+AD68,200000*(Application!G753+Application!O777)))</f>
        <v>17712958</v>
      </c>
      <c r="Z69" s="2336"/>
      <c r="AA69" s="2336"/>
      <c r="AB69" s="2336"/>
      <c r="AC69" s="2336"/>
      <c r="AD69" s="2336"/>
      <c r="AE69" s="2336"/>
      <c r="AF69" s="2336"/>
      <c r="AG69" s="2336"/>
      <c r="AH69" s="2336"/>
    </row>
    <row r="70" spans="1:36" ht="12.95" customHeight="1">
      <c r="C70" s="404"/>
      <c r="E70" s="404"/>
      <c r="AB70" s="422"/>
      <c r="AC70" s="422"/>
      <c r="AD70" s="422"/>
      <c r="AE70" s="422"/>
      <c r="AF70" s="422"/>
    </row>
    <row r="71" spans="1:36" ht="12.95" customHeight="1">
      <c r="A71" s="404" t="s">
        <v>589</v>
      </c>
      <c r="C71" s="205" t="s">
        <v>283</v>
      </c>
    </row>
    <row r="72" spans="1:36" ht="12.95" customHeight="1">
      <c r="A72" s="404"/>
      <c r="C72" s="404"/>
      <c r="D72" s="205" t="s">
        <v>1250</v>
      </c>
      <c r="AB72" s="2379">
        <v>0.9</v>
      </c>
      <c r="AC72" s="2380"/>
      <c r="AD72" s="2380"/>
      <c r="AE72" s="2380"/>
      <c r="AF72" s="2381"/>
    </row>
    <row r="73" spans="1:36" ht="12.95" customHeight="1">
      <c r="A73" s="404"/>
      <c r="C73" s="404"/>
      <c r="D73" s="404"/>
      <c r="E73" s="2392" t="s">
        <v>1251</v>
      </c>
      <c r="F73" s="2392"/>
      <c r="G73" s="2392"/>
      <c r="H73" s="2392"/>
      <c r="I73" s="2392"/>
      <c r="J73" s="2392"/>
      <c r="K73" s="2392"/>
      <c r="L73" s="2392"/>
      <c r="M73" s="2392"/>
      <c r="N73" s="2392"/>
      <c r="O73" s="2392"/>
      <c r="P73" s="2392"/>
      <c r="Q73" s="2392"/>
      <c r="R73" s="2392"/>
      <c r="S73" s="2392"/>
      <c r="T73" s="2392"/>
      <c r="U73" s="2392"/>
      <c r="V73" s="2392"/>
      <c r="W73" s="2392"/>
      <c r="X73" s="2392"/>
      <c r="Y73" s="2392"/>
      <c r="Z73" s="2392"/>
      <c r="AA73" s="2392"/>
      <c r="AB73" s="438"/>
      <c r="AC73" s="438"/>
    </row>
    <row r="74" spans="1:36" ht="12.95" customHeight="1">
      <c r="A74" s="404"/>
      <c r="C74" s="404"/>
      <c r="D74" s="404"/>
      <c r="E74" s="2392"/>
      <c r="F74" s="2392"/>
      <c r="G74" s="2392"/>
      <c r="H74" s="2392"/>
      <c r="I74" s="2392"/>
      <c r="J74" s="2392"/>
      <c r="K74" s="2392"/>
      <c r="L74" s="2392"/>
      <c r="M74" s="2392"/>
      <c r="N74" s="2392"/>
      <c r="O74" s="2392"/>
      <c r="P74" s="2392"/>
      <c r="Q74" s="2392"/>
      <c r="R74" s="2392"/>
      <c r="S74" s="2392"/>
      <c r="T74" s="2392"/>
      <c r="U74" s="2392"/>
      <c r="V74" s="2392"/>
      <c r="W74" s="2392"/>
      <c r="X74" s="2392"/>
      <c r="Y74" s="2392"/>
      <c r="Z74" s="2392"/>
      <c r="AA74" s="2392"/>
      <c r="AB74" s="438"/>
      <c r="AC74" s="438"/>
    </row>
    <row r="75" spans="1:36" ht="12.95" customHeight="1">
      <c r="A75" s="404"/>
      <c r="C75" s="404"/>
      <c r="D75" s="404"/>
      <c r="E75" s="2392"/>
      <c r="F75" s="2392"/>
      <c r="G75" s="2392"/>
      <c r="H75" s="2392"/>
      <c r="I75" s="2392"/>
      <c r="J75" s="2392"/>
      <c r="K75" s="2392"/>
      <c r="L75" s="2392"/>
      <c r="M75" s="2392"/>
      <c r="N75" s="2392"/>
      <c r="O75" s="2392"/>
      <c r="P75" s="2392"/>
      <c r="Q75" s="2392"/>
      <c r="R75" s="2392"/>
      <c r="S75" s="2392"/>
      <c r="T75" s="2392"/>
      <c r="U75" s="2392"/>
      <c r="V75" s="2392"/>
      <c r="W75" s="2392"/>
      <c r="X75" s="2392"/>
      <c r="Y75" s="2392"/>
      <c r="Z75" s="2392"/>
      <c r="AA75" s="2392"/>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1252</v>
      </c>
      <c r="AB77" s="2385">
        <f>ROUND(IF(ISERROR((AB59/AB72)),0,(AB59/AB72)),0)</f>
        <v>13350001</v>
      </c>
      <c r="AC77" s="2385"/>
      <c r="AD77" s="2385"/>
      <c r="AE77" s="2385"/>
      <c r="AF77" s="2385"/>
    </row>
    <row r="78" spans="1:36" ht="12.95" customHeight="1">
      <c r="C78" s="404"/>
      <c r="D78" s="205" t="s">
        <v>1253</v>
      </c>
      <c r="AB78" s="2386">
        <f>ROUNDUP(MIN(Y69,AB77),0)</f>
        <v>13350001</v>
      </c>
      <c r="AC78" s="2387"/>
      <c r="AD78" s="2387"/>
      <c r="AE78" s="2387"/>
      <c r="AF78" s="2388"/>
    </row>
    <row r="79" spans="1:36" ht="12.95" customHeight="1">
      <c r="C79" s="404"/>
      <c r="D79" s="205" t="s">
        <v>1254</v>
      </c>
      <c r="AB79" s="2389">
        <f>AB78*AB72</f>
        <v>12015000.9</v>
      </c>
      <c r="AC79" s="2389"/>
      <c r="AD79" s="2389"/>
      <c r="AE79" s="2389"/>
      <c r="AF79" s="2389"/>
    </row>
    <row r="80" spans="1:36" ht="12.95" customHeight="1">
      <c r="C80" s="404"/>
      <c r="D80" s="404"/>
      <c r="AB80" s="425"/>
      <c r="AC80" s="425"/>
      <c r="AD80" s="425"/>
      <c r="AE80" s="425"/>
      <c r="AF80" s="425"/>
    </row>
    <row r="81" spans="1:78" ht="12.95" customHeight="1">
      <c r="D81" s="404" t="s">
        <v>753</v>
      </c>
      <c r="AB81" s="2375">
        <f>AB49-(AB57+AB79)</f>
        <v>0.10000000149011612</v>
      </c>
      <c r="AC81" s="2375"/>
      <c r="AD81" s="2375"/>
      <c r="AE81" s="2375"/>
      <c r="AF81" s="2375"/>
    </row>
    <row r="82" spans="1:78" ht="12.95" customHeight="1">
      <c r="F82" s="522"/>
      <c r="J82" s="522" t="str">
        <f>IF(AB81&gt;0,"FUNDING GAP MUST NOT EXCEED ZERO","")</f>
        <v>FUNDING GAP MUST NOT EXCEED ZERO</v>
      </c>
    </row>
    <row r="83" spans="1:78" ht="12.95" customHeight="1">
      <c r="D83" s="523"/>
    </row>
    <row r="84" spans="1:78" ht="12.95" customHeight="1" thickBot="1">
      <c r="A84" s="2340"/>
      <c r="B84" s="2340"/>
      <c r="C84" s="2340"/>
      <c r="D84" s="2340"/>
      <c r="E84" s="2340"/>
      <c r="F84" s="2340"/>
      <c r="G84" s="2340"/>
      <c r="H84" s="2340"/>
      <c r="I84" s="2340"/>
      <c r="J84" s="2340"/>
      <c r="K84" s="2340"/>
      <c r="L84" s="2340"/>
      <c r="M84" s="2340"/>
      <c r="N84" s="2340"/>
      <c r="O84" s="2340"/>
      <c r="P84" s="2340"/>
      <c r="Q84" s="2340"/>
      <c r="R84" s="2340"/>
      <c r="S84" s="2340"/>
      <c r="T84" s="2340"/>
      <c r="U84" s="2340"/>
      <c r="V84" s="2340"/>
      <c r="W84" s="2340"/>
      <c r="X84" s="2340"/>
      <c r="Y84" s="2340"/>
      <c r="Z84" s="2340"/>
      <c r="AA84" s="2340"/>
      <c r="AB84" s="2340"/>
      <c r="AC84" s="2340"/>
      <c r="AD84" s="2340"/>
      <c r="AE84" s="2340"/>
      <c r="AF84" s="2340"/>
      <c r="AG84" s="2340"/>
      <c r="AH84" s="2340"/>
      <c r="AI84" s="2340"/>
      <c r="AJ84" s="2340"/>
      <c r="AK84" s="2340"/>
      <c r="AL84" s="2340"/>
      <c r="AM84" s="2340"/>
      <c r="AN84" s="2340"/>
      <c r="AO84" s="2340"/>
      <c r="AP84" s="2340"/>
      <c r="AQ84" s="2340"/>
      <c r="AR84" s="2340"/>
      <c r="AS84" s="2340"/>
      <c r="AT84" s="2340"/>
      <c r="AU84" s="2340"/>
      <c r="AV84" s="2340"/>
      <c r="AW84" s="2340"/>
      <c r="AX84" s="2340"/>
      <c r="AY84" s="2340"/>
      <c r="AZ84" s="2340"/>
      <c r="BA84" s="2340"/>
      <c r="BB84" s="2340"/>
      <c r="BC84" s="2340"/>
      <c r="BD84" s="2340"/>
      <c r="BE84" s="2340"/>
      <c r="BF84" s="2340"/>
      <c r="BG84" s="2340"/>
      <c r="BH84" s="2340"/>
      <c r="BI84" s="2340"/>
      <c r="BJ84" s="2340"/>
      <c r="BK84" s="2340"/>
      <c r="BL84" s="2340"/>
      <c r="BM84" s="2340"/>
      <c r="BN84" s="2340"/>
      <c r="BO84" s="2340"/>
      <c r="BP84" s="2340"/>
      <c r="BQ84" s="2340"/>
      <c r="BR84" s="2340"/>
      <c r="BS84" s="2340"/>
      <c r="BT84" s="2340"/>
      <c r="BU84" s="2340"/>
      <c r="BV84" s="2340"/>
      <c r="BW84" s="2340"/>
      <c r="BX84" s="2340"/>
    </row>
    <row r="85" spans="1:78" ht="12.95" customHeight="1" thickTop="1"/>
    <row r="86" spans="1:78" ht="12.95" customHeight="1">
      <c r="A86" s="404"/>
      <c r="C86" s="205"/>
    </row>
    <row r="87" spans="1:78" ht="12.95" customHeight="1">
      <c r="D87" s="205"/>
      <c r="AB87" s="2341"/>
      <c r="AC87" s="2341"/>
      <c r="AD87" s="2341"/>
      <c r="AE87" s="2341"/>
      <c r="AF87" s="2341"/>
    </row>
    <row r="88" spans="1:78" ht="12.95" customHeight="1" thickBot="1">
      <c r="D88" s="205"/>
      <c r="AB88" s="2339"/>
      <c r="AC88" s="2339"/>
      <c r="AD88" s="2339"/>
      <c r="AE88" s="2339"/>
      <c r="AF88" s="2339"/>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42" workbookViewId="0">
      <selection activeCell="X148" sqref="X148"/>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623" t="s">
        <v>1300</v>
      </c>
      <c r="B1" s="2623"/>
      <c r="C1" s="2623"/>
      <c r="D1" s="2623"/>
      <c r="E1" s="2623"/>
      <c r="F1" s="2623"/>
      <c r="G1" s="2623"/>
      <c r="H1" s="2623"/>
      <c r="I1" s="2623"/>
      <c r="J1" s="2623"/>
      <c r="K1" s="2623"/>
      <c r="L1" s="2623"/>
      <c r="M1" s="2623"/>
      <c r="N1" s="2623"/>
      <c r="O1" s="2623"/>
      <c r="P1" s="2623"/>
      <c r="Q1" s="2623"/>
      <c r="R1" s="2623"/>
      <c r="S1" s="2623"/>
      <c r="T1" s="2623"/>
      <c r="U1" s="2623"/>
      <c r="V1" s="2623"/>
      <c r="W1" s="2623"/>
      <c r="X1" s="2623"/>
      <c r="Y1" s="2623"/>
      <c r="Z1" s="2623"/>
      <c r="AA1" s="2623"/>
      <c r="AB1" s="2623"/>
      <c r="AC1" s="2623"/>
      <c r="AD1" s="2623"/>
      <c r="AE1" s="2623"/>
      <c r="AF1" s="2623"/>
      <c r="AG1" s="2623"/>
      <c r="AH1" s="2623"/>
      <c r="AI1" s="2623"/>
      <c r="AJ1" s="2623"/>
      <c r="AK1" s="2623"/>
      <c r="AL1" s="2623"/>
      <c r="AM1" s="2623"/>
    </row>
    <row r="2" spans="1:42" s="536" customFormat="1" ht="12.75" customHeight="1" thickBot="1">
      <c r="A2" s="2624"/>
      <c r="B2" s="2624"/>
      <c r="C2" s="2624"/>
      <c r="D2" s="2624"/>
      <c r="E2" s="2624"/>
      <c r="F2" s="2624"/>
      <c r="G2" s="2624"/>
      <c r="H2" s="2624"/>
      <c r="I2" s="2624"/>
      <c r="J2" s="2624"/>
      <c r="K2" s="2624"/>
      <c r="L2" s="2624"/>
      <c r="M2" s="2624"/>
      <c r="N2" s="2624"/>
      <c r="O2" s="2624"/>
      <c r="P2" s="2624"/>
      <c r="Q2" s="2624"/>
      <c r="R2" s="2624"/>
      <c r="S2" s="2624"/>
      <c r="T2" s="2624"/>
      <c r="U2" s="2624"/>
      <c r="V2" s="2624"/>
      <c r="W2" s="2624"/>
      <c r="X2" s="2624"/>
      <c r="Y2" s="2624"/>
      <c r="Z2" s="2624"/>
      <c r="AA2" s="2624"/>
      <c r="AB2" s="2624"/>
      <c r="AC2" s="2624"/>
      <c r="AD2" s="2624"/>
      <c r="AE2" s="2624"/>
      <c r="AF2" s="2624"/>
      <c r="AG2" s="2624"/>
      <c r="AH2" s="2624"/>
      <c r="AI2" s="2624"/>
      <c r="AJ2" s="2624"/>
      <c r="AK2" s="2624"/>
      <c r="AL2" s="2624"/>
      <c r="AM2" s="2624"/>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4" t="s">
        <v>1305</v>
      </c>
      <c r="AF7" s="2464"/>
      <c r="AG7" s="2464"/>
      <c r="AH7" s="2464"/>
      <c r="AI7" s="2464"/>
      <c r="AJ7" s="2464"/>
      <c r="AK7" s="2464"/>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2006</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7" t="s">
        <v>590</v>
      </c>
      <c r="C13" s="2617"/>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5"/>
      <c r="AH13" s="2625"/>
      <c r="AI13" s="2625"/>
      <c r="AJ13" s="2626"/>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7" t="s">
        <v>590</v>
      </c>
      <c r="C16" s="2617"/>
      <c r="D16" s="547"/>
      <c r="E16" s="2609" t="s">
        <v>1307</v>
      </c>
      <c r="F16" s="2610"/>
      <c r="G16" s="2610"/>
      <c r="H16" s="2610"/>
      <c r="I16" s="2610"/>
      <c r="J16" s="2610"/>
      <c r="K16" s="2610"/>
      <c r="L16" s="2610"/>
      <c r="M16" s="2610"/>
      <c r="N16" s="2610"/>
      <c r="O16" s="2610"/>
      <c r="P16" s="2610"/>
      <c r="Q16" s="2610"/>
      <c r="R16" s="2610"/>
      <c r="S16" s="2610"/>
      <c r="T16" s="2610"/>
      <c r="U16" s="2610"/>
      <c r="V16" s="2610"/>
      <c r="W16" s="2610"/>
      <c r="X16" s="2610"/>
      <c r="Y16" s="2610"/>
      <c r="Z16" s="2610"/>
      <c r="AA16" s="2610"/>
      <c r="AB16" s="2610"/>
      <c r="AC16" s="2610"/>
      <c r="AD16" s="2610"/>
      <c r="AE16" s="2610"/>
      <c r="AF16" s="2610"/>
      <c r="AG16" s="2610"/>
      <c r="AH16" s="2610"/>
      <c r="AI16" s="2610"/>
      <c r="AJ16" s="2611"/>
      <c r="AK16" s="540"/>
      <c r="AL16" s="540"/>
      <c r="AM16" s="540"/>
      <c r="AN16" s="535"/>
      <c r="AO16" s="550">
        <f>IF($B25="yes",20,0)</f>
        <v>0</v>
      </c>
      <c r="AP16" s="14"/>
    </row>
    <row r="17" spans="1:42" s="536" customFormat="1" ht="12.75" customHeight="1">
      <c r="A17" s="540"/>
      <c r="B17" s="540"/>
      <c r="C17" s="540"/>
      <c r="D17" s="551"/>
      <c r="E17" s="2612"/>
      <c r="F17" s="2613"/>
      <c r="G17" s="2613"/>
      <c r="H17" s="2613"/>
      <c r="I17" s="2613"/>
      <c r="J17" s="2613"/>
      <c r="K17" s="2613"/>
      <c r="L17" s="2613"/>
      <c r="M17" s="2613"/>
      <c r="N17" s="2613"/>
      <c r="O17" s="2613"/>
      <c r="P17" s="2613"/>
      <c r="Q17" s="2613"/>
      <c r="R17" s="2613"/>
      <c r="S17" s="2613"/>
      <c r="T17" s="2613"/>
      <c r="U17" s="2613"/>
      <c r="V17" s="2613"/>
      <c r="W17" s="2613"/>
      <c r="X17" s="2613"/>
      <c r="Y17" s="2613"/>
      <c r="Z17" s="2613"/>
      <c r="AA17" s="2613"/>
      <c r="AB17" s="2613"/>
      <c r="AC17" s="2613"/>
      <c r="AD17" s="2613"/>
      <c r="AE17" s="2613"/>
      <c r="AF17" s="2613"/>
      <c r="AG17" s="2613"/>
      <c r="AH17" s="2613"/>
      <c r="AI17" s="2613"/>
      <c r="AJ17" s="2614"/>
      <c r="AK17" s="540"/>
      <c r="AL17" s="540"/>
      <c r="AM17" s="540"/>
      <c r="AN17" s="535"/>
      <c r="AO17" s="550">
        <f>IF($B28="yes",20,0)</f>
        <v>0</v>
      </c>
    </row>
    <row r="18" spans="1:42" s="536" customFormat="1" ht="12.75" customHeight="1">
      <c r="A18" s="540"/>
      <c r="B18" s="540"/>
      <c r="C18" s="540"/>
      <c r="D18" s="551"/>
      <c r="E18" s="2612"/>
      <c r="F18" s="2613"/>
      <c r="G18" s="2613"/>
      <c r="H18" s="2613"/>
      <c r="I18" s="2613"/>
      <c r="J18" s="2613"/>
      <c r="K18" s="2613"/>
      <c r="L18" s="2613"/>
      <c r="M18" s="2613"/>
      <c r="N18" s="2613"/>
      <c r="O18" s="2613"/>
      <c r="P18" s="2613"/>
      <c r="Q18" s="2613"/>
      <c r="R18" s="2613"/>
      <c r="S18" s="2613"/>
      <c r="T18" s="2613"/>
      <c r="U18" s="2613"/>
      <c r="V18" s="2613"/>
      <c r="W18" s="2613"/>
      <c r="X18" s="2613"/>
      <c r="Y18" s="2613"/>
      <c r="Z18" s="2613"/>
      <c r="AA18" s="2613"/>
      <c r="AB18" s="2613"/>
      <c r="AC18" s="2613"/>
      <c r="AD18" s="2613"/>
      <c r="AE18" s="2613"/>
      <c r="AF18" s="2613"/>
      <c r="AG18" s="2613"/>
      <c r="AH18" s="2613"/>
      <c r="AI18" s="2613"/>
      <c r="AJ18" s="2614"/>
      <c r="AK18" s="540"/>
      <c r="AL18" s="540"/>
      <c r="AM18" s="540"/>
      <c r="AN18" s="535"/>
      <c r="AO18" s="536">
        <f>IF(SUM(AO13:AO17)&gt;20,20,(SUM(AO13:AO17)))</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3"/>
      <c r="F20" s="2634"/>
      <c r="G20" s="2634"/>
      <c r="H20" s="2634"/>
      <c r="I20" s="2634"/>
      <c r="J20" s="2634"/>
      <c r="K20" s="2634"/>
      <c r="L20" s="2634"/>
      <c r="M20" s="2634"/>
      <c r="N20" s="2634"/>
      <c r="O20" s="2634"/>
      <c r="P20" s="2634"/>
      <c r="Q20" s="2634"/>
      <c r="R20" s="2634"/>
      <c r="S20" s="2634"/>
      <c r="T20" s="2634"/>
      <c r="U20" s="2634"/>
      <c r="V20" s="2634"/>
      <c r="W20" s="2634"/>
      <c r="X20" s="2634"/>
      <c r="Y20" s="2634"/>
      <c r="Z20" s="2634"/>
      <c r="AA20" s="2634"/>
      <c r="AB20" s="2634"/>
      <c r="AC20" s="2634"/>
      <c r="AD20" s="2634"/>
      <c r="AE20" s="2634"/>
      <c r="AF20" s="2634"/>
      <c r="AG20" s="2634"/>
      <c r="AH20" s="2634"/>
      <c r="AI20" s="2634"/>
      <c r="AJ20" s="2635"/>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7" t="s">
        <v>590</v>
      </c>
      <c r="C22" s="2617"/>
      <c r="D22" s="547"/>
      <c r="E22" s="2627" t="s">
        <v>1310</v>
      </c>
      <c r="F22" s="2628"/>
      <c r="G22" s="2628"/>
      <c r="H22" s="2628"/>
      <c r="I22" s="2628"/>
      <c r="J22" s="2628"/>
      <c r="K22" s="2628"/>
      <c r="L22" s="2628"/>
      <c r="M22" s="2628"/>
      <c r="N22" s="2628"/>
      <c r="O22" s="2628"/>
      <c r="P22" s="2628"/>
      <c r="Q22" s="2628"/>
      <c r="R22" s="2628"/>
      <c r="S22" s="2628"/>
      <c r="T22" s="2628"/>
      <c r="U22" s="2628"/>
      <c r="V22" s="2628"/>
      <c r="W22" s="2628"/>
      <c r="X22" s="2628"/>
      <c r="Y22" s="2628"/>
      <c r="Z22" s="2628"/>
      <c r="AA22" s="2628"/>
      <c r="AB22" s="2628"/>
      <c r="AC22" s="2628"/>
      <c r="AD22" s="2628"/>
      <c r="AE22" s="2628"/>
      <c r="AF22" s="2628"/>
      <c r="AG22" s="2628"/>
      <c r="AH22" s="2628"/>
      <c r="AI22" s="2628"/>
      <c r="AJ22" s="2629"/>
      <c r="AK22" s="540"/>
      <c r="AL22" s="540"/>
      <c r="AM22" s="540"/>
      <c r="AN22" s="535"/>
      <c r="AO22" s="550">
        <f>IF($B40="yes",14,0)</f>
        <v>0</v>
      </c>
    </row>
    <row r="23" spans="1:42" s="536" customFormat="1" ht="12.75" customHeight="1">
      <c r="A23" s="540"/>
      <c r="B23" s="540"/>
      <c r="C23" s="540"/>
      <c r="D23" s="550"/>
      <c r="E23" s="2630"/>
      <c r="F23" s="2631"/>
      <c r="G23" s="2631"/>
      <c r="H23" s="2631"/>
      <c r="I23" s="2631"/>
      <c r="J23" s="2631"/>
      <c r="K23" s="2631"/>
      <c r="L23" s="2631"/>
      <c r="M23" s="2631"/>
      <c r="N23" s="2631"/>
      <c r="O23" s="2631"/>
      <c r="P23" s="2631"/>
      <c r="Q23" s="2631"/>
      <c r="R23" s="2631"/>
      <c r="S23" s="2631"/>
      <c r="T23" s="2631"/>
      <c r="U23" s="2631"/>
      <c r="V23" s="2631"/>
      <c r="W23" s="2631"/>
      <c r="X23" s="2631"/>
      <c r="Y23" s="2631"/>
      <c r="Z23" s="2631"/>
      <c r="AA23" s="2631"/>
      <c r="AB23" s="2631"/>
      <c r="AC23" s="2631"/>
      <c r="AD23" s="2631"/>
      <c r="AE23" s="2631"/>
      <c r="AF23" s="2631"/>
      <c r="AG23" s="2631"/>
      <c r="AH23" s="2631"/>
      <c r="AI23" s="2631"/>
      <c r="AJ23" s="2632"/>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7" t="s">
        <v>590</v>
      </c>
      <c r="C25" s="2617"/>
      <c r="D25" s="547"/>
      <c r="E25" s="2544" t="s">
        <v>2033</v>
      </c>
      <c r="F25" s="2545"/>
      <c r="G25" s="2545"/>
      <c r="H25" s="2545"/>
      <c r="I25" s="2545"/>
      <c r="J25" s="2545"/>
      <c r="K25" s="2545"/>
      <c r="L25" s="2545"/>
      <c r="M25" s="2545"/>
      <c r="N25" s="2545"/>
      <c r="O25" s="2545"/>
      <c r="P25" s="2545"/>
      <c r="Q25" s="2545"/>
      <c r="R25" s="2545"/>
      <c r="S25" s="2545"/>
      <c r="T25" s="2545"/>
      <c r="U25" s="2545"/>
      <c r="V25" s="2545"/>
      <c r="W25" s="2545"/>
      <c r="X25" s="2545"/>
      <c r="Y25" s="2545"/>
      <c r="Z25" s="2545"/>
      <c r="AA25" s="2545"/>
      <c r="AB25" s="2545"/>
      <c r="AC25" s="2545"/>
      <c r="AD25" s="2545"/>
      <c r="AE25" s="2545"/>
      <c r="AF25" s="2545"/>
      <c r="AG25" s="2545"/>
      <c r="AH25" s="2545"/>
      <c r="AI25" s="2545"/>
      <c r="AJ25" s="2546"/>
      <c r="AK25" s="540"/>
      <c r="AL25" s="540"/>
      <c r="AM25" s="540"/>
      <c r="AN25" s="535"/>
      <c r="AO25" s="550">
        <f>IF($B45="yes",6,0)</f>
        <v>0</v>
      </c>
    </row>
    <row r="26" spans="1:42" s="536" customFormat="1" ht="12.75" customHeight="1">
      <c r="A26" s="540"/>
      <c r="B26" s="540"/>
      <c r="C26" s="540"/>
      <c r="D26" s="550"/>
      <c r="E26" s="2569"/>
      <c r="F26" s="2570"/>
      <c r="G26" s="2570"/>
      <c r="H26" s="2570"/>
      <c r="I26" s="2570"/>
      <c r="J26" s="2570"/>
      <c r="K26" s="2570"/>
      <c r="L26" s="2570"/>
      <c r="M26" s="2570"/>
      <c r="N26" s="2570"/>
      <c r="O26" s="2570"/>
      <c r="P26" s="2570"/>
      <c r="Q26" s="2570"/>
      <c r="R26" s="2570"/>
      <c r="S26" s="2570"/>
      <c r="T26" s="2570"/>
      <c r="U26" s="2570"/>
      <c r="V26" s="2570"/>
      <c r="W26" s="2570"/>
      <c r="X26" s="2570"/>
      <c r="Y26" s="2570"/>
      <c r="Z26" s="2570"/>
      <c r="AA26" s="2570"/>
      <c r="AB26" s="2570"/>
      <c r="AC26" s="2570"/>
      <c r="AD26" s="2570"/>
      <c r="AE26" s="2570"/>
      <c r="AF26" s="2570"/>
      <c r="AG26" s="2570"/>
      <c r="AH26" s="2570"/>
      <c r="AI26" s="2570"/>
      <c r="AJ26" s="2571"/>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7" t="s">
        <v>590</v>
      </c>
      <c r="C28" s="2617"/>
      <c r="D28" s="547"/>
      <c r="E28" s="2646" t="s">
        <v>2248</v>
      </c>
      <c r="F28" s="2647"/>
      <c r="G28" s="2647"/>
      <c r="H28" s="2647"/>
      <c r="I28" s="2647"/>
      <c r="J28" s="2647"/>
      <c r="K28" s="2647"/>
      <c r="L28" s="2647"/>
      <c r="M28" s="2647"/>
      <c r="N28" s="2647"/>
      <c r="O28" s="2647"/>
      <c r="P28" s="2647"/>
      <c r="Q28" s="2647"/>
      <c r="R28" s="2647"/>
      <c r="S28" s="2647"/>
      <c r="T28" s="2647"/>
      <c r="U28" s="2647"/>
      <c r="V28" s="2647"/>
      <c r="W28" s="2647"/>
      <c r="X28" s="2647"/>
      <c r="Y28" s="2647"/>
      <c r="Z28" s="2647"/>
      <c r="AA28" s="2647"/>
      <c r="AB28" s="2647"/>
      <c r="AC28" s="2647"/>
      <c r="AD28" s="2647"/>
      <c r="AE28" s="2647"/>
      <c r="AF28" s="2647"/>
      <c r="AG28" s="2647"/>
      <c r="AH28" s="2647"/>
      <c r="AI28" s="2647"/>
      <c r="AJ28" s="2648"/>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617" t="s">
        <v>590</v>
      </c>
      <c r="C33" s="2617"/>
      <c r="D33" s="547"/>
      <c r="E33" s="2627" t="s">
        <v>2250</v>
      </c>
      <c r="F33" s="2628"/>
      <c r="G33" s="2628"/>
      <c r="H33" s="2628"/>
      <c r="I33" s="2628"/>
      <c r="J33" s="2628"/>
      <c r="K33" s="2628"/>
      <c r="L33" s="2628"/>
      <c r="M33" s="2628"/>
      <c r="N33" s="2628"/>
      <c r="O33" s="2628"/>
      <c r="P33" s="2628"/>
      <c r="Q33" s="2628"/>
      <c r="R33" s="2628"/>
      <c r="S33" s="2628"/>
      <c r="T33" s="2628"/>
      <c r="U33" s="2628"/>
      <c r="V33" s="2628"/>
      <c r="W33" s="2628"/>
      <c r="X33" s="2628"/>
      <c r="Y33" s="2628"/>
      <c r="Z33" s="2628"/>
      <c r="AA33" s="2628"/>
      <c r="AB33" s="2628"/>
      <c r="AC33" s="2628"/>
      <c r="AD33" s="2628"/>
      <c r="AE33" s="2628"/>
      <c r="AF33" s="2628"/>
      <c r="AG33" s="2628"/>
      <c r="AH33" s="2628"/>
      <c r="AI33" s="2628"/>
      <c r="AJ33" s="2629"/>
      <c r="AK33" s="540"/>
      <c r="AL33" s="540"/>
      <c r="AM33" s="540"/>
      <c r="AN33" s="535"/>
      <c r="AO33" s="550"/>
    </row>
    <row r="34" spans="1:41" s="536" customFormat="1" ht="12.75" customHeight="1">
      <c r="A34" s="540"/>
      <c r="B34" s="540"/>
      <c r="C34" s="540"/>
      <c r="E34" s="2630"/>
      <c r="F34" s="2631"/>
      <c r="G34" s="2631"/>
      <c r="H34" s="2631"/>
      <c r="I34" s="2631"/>
      <c r="J34" s="2631"/>
      <c r="K34" s="2631"/>
      <c r="L34" s="2631"/>
      <c r="M34" s="2631"/>
      <c r="N34" s="2631"/>
      <c r="O34" s="2631"/>
      <c r="P34" s="2631"/>
      <c r="Q34" s="2631"/>
      <c r="R34" s="2631"/>
      <c r="S34" s="2631"/>
      <c r="T34" s="2631"/>
      <c r="U34" s="2631"/>
      <c r="V34" s="2631"/>
      <c r="W34" s="2631"/>
      <c r="X34" s="2631"/>
      <c r="Y34" s="2631"/>
      <c r="Z34" s="2631"/>
      <c r="AA34" s="2631"/>
      <c r="AB34" s="2631"/>
      <c r="AC34" s="2631"/>
      <c r="AD34" s="2631"/>
      <c r="AE34" s="2631"/>
      <c r="AF34" s="2631"/>
      <c r="AG34" s="2631"/>
      <c r="AH34" s="2631"/>
      <c r="AI34" s="2631"/>
      <c r="AJ34" s="2632"/>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7" t="s">
        <v>590</v>
      </c>
      <c r="C36" s="2617"/>
      <c r="D36" s="547"/>
      <c r="E36" s="2544" t="s">
        <v>2251</v>
      </c>
      <c r="F36" s="2545"/>
      <c r="G36" s="2545"/>
      <c r="H36" s="2545"/>
      <c r="I36" s="2545"/>
      <c r="J36" s="2545"/>
      <c r="K36" s="2545"/>
      <c r="L36" s="2545"/>
      <c r="M36" s="2545"/>
      <c r="N36" s="2545"/>
      <c r="O36" s="2545"/>
      <c r="P36" s="2545"/>
      <c r="Q36" s="2545"/>
      <c r="R36" s="2545"/>
      <c r="S36" s="2545"/>
      <c r="T36" s="2545"/>
      <c r="U36" s="2545"/>
      <c r="V36" s="2545"/>
      <c r="W36" s="2545"/>
      <c r="X36" s="2545"/>
      <c r="Y36" s="2545"/>
      <c r="Z36" s="2545"/>
      <c r="AA36" s="2545"/>
      <c r="AB36" s="2545"/>
      <c r="AC36" s="2545"/>
      <c r="AD36" s="2545"/>
      <c r="AE36" s="2545"/>
      <c r="AF36" s="2545"/>
      <c r="AG36" s="2545"/>
      <c r="AH36" s="2545"/>
      <c r="AI36" s="2545"/>
      <c r="AJ36" s="2546"/>
      <c r="AK36" s="540"/>
      <c r="AL36" s="540"/>
      <c r="AM36" s="540"/>
      <c r="AN36" s="535"/>
    </row>
    <row r="37" spans="1:41" s="536" customFormat="1" ht="12.75" customHeight="1">
      <c r="A37" s="540"/>
      <c r="B37" s="540"/>
      <c r="C37" s="540"/>
      <c r="E37" s="2547"/>
      <c r="F37" s="2548"/>
      <c r="G37" s="2548"/>
      <c r="H37" s="2548"/>
      <c r="I37" s="2548"/>
      <c r="J37" s="2548"/>
      <c r="K37" s="2548"/>
      <c r="L37" s="2548"/>
      <c r="M37" s="2548"/>
      <c r="N37" s="2548"/>
      <c r="O37" s="2548"/>
      <c r="P37" s="2548"/>
      <c r="Q37" s="2548"/>
      <c r="R37" s="2548"/>
      <c r="S37" s="2548"/>
      <c r="T37" s="2548"/>
      <c r="U37" s="2548"/>
      <c r="V37" s="2548"/>
      <c r="W37" s="2548"/>
      <c r="X37" s="2548"/>
      <c r="Y37" s="2548"/>
      <c r="Z37" s="2548"/>
      <c r="AA37" s="2548"/>
      <c r="AB37" s="2548"/>
      <c r="AC37" s="2548"/>
      <c r="AD37" s="2548"/>
      <c r="AE37" s="2548"/>
      <c r="AF37" s="2548"/>
      <c r="AG37" s="2548"/>
      <c r="AH37" s="2548"/>
      <c r="AI37" s="2548"/>
      <c r="AJ37" s="2549"/>
      <c r="AK37" s="540"/>
      <c r="AL37" s="540"/>
      <c r="AM37" s="540"/>
      <c r="AN37" s="535"/>
    </row>
    <row r="38" spans="1:41" s="536" customFormat="1" ht="12.75" customHeight="1">
      <c r="A38" s="540"/>
      <c r="B38" s="540"/>
      <c r="C38" s="540"/>
      <c r="E38" s="2569"/>
      <c r="F38" s="2570"/>
      <c r="G38" s="2570"/>
      <c r="H38" s="2570"/>
      <c r="I38" s="2570"/>
      <c r="J38" s="2570"/>
      <c r="K38" s="2570"/>
      <c r="L38" s="2570"/>
      <c r="M38" s="2570"/>
      <c r="N38" s="2570"/>
      <c r="O38" s="2570"/>
      <c r="P38" s="2570"/>
      <c r="Q38" s="2570"/>
      <c r="R38" s="2570"/>
      <c r="S38" s="2570"/>
      <c r="T38" s="2570"/>
      <c r="U38" s="2570"/>
      <c r="V38" s="2570"/>
      <c r="W38" s="2570"/>
      <c r="X38" s="2570"/>
      <c r="Y38" s="2570"/>
      <c r="Z38" s="2570"/>
      <c r="AA38" s="2570"/>
      <c r="AB38" s="2570"/>
      <c r="AC38" s="2570"/>
      <c r="AD38" s="2570"/>
      <c r="AE38" s="2570"/>
      <c r="AF38" s="2570"/>
      <c r="AG38" s="2570"/>
      <c r="AH38" s="2570"/>
      <c r="AI38" s="2570"/>
      <c r="AJ38" s="2571"/>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7" t="s">
        <v>590</v>
      </c>
      <c r="C40" s="2617"/>
      <c r="D40" s="547"/>
      <c r="E40" s="2544" t="s">
        <v>2249</v>
      </c>
      <c r="F40" s="2545"/>
      <c r="G40" s="2545"/>
      <c r="H40" s="2545"/>
      <c r="I40" s="2545"/>
      <c r="J40" s="2545"/>
      <c r="K40" s="2545"/>
      <c r="L40" s="2545"/>
      <c r="M40" s="2545"/>
      <c r="N40" s="2545"/>
      <c r="O40" s="2545"/>
      <c r="P40" s="2545"/>
      <c r="Q40" s="2545"/>
      <c r="R40" s="2545"/>
      <c r="S40" s="2545"/>
      <c r="T40" s="2545"/>
      <c r="U40" s="2545"/>
      <c r="V40" s="2545"/>
      <c r="W40" s="2545"/>
      <c r="X40" s="2545"/>
      <c r="Y40" s="2545"/>
      <c r="Z40" s="2545"/>
      <c r="AA40" s="2545"/>
      <c r="AB40" s="2545"/>
      <c r="AC40" s="2545"/>
      <c r="AD40" s="2545"/>
      <c r="AE40" s="2545"/>
      <c r="AF40" s="2545"/>
      <c r="AG40" s="2545"/>
      <c r="AH40" s="2545"/>
      <c r="AI40" s="2545"/>
      <c r="AJ40" s="2546"/>
      <c r="AK40" s="540"/>
      <c r="AL40" s="540"/>
      <c r="AM40" s="540"/>
      <c r="AN40" s="535"/>
    </row>
    <row r="41" spans="1:41" s="536" customFormat="1" ht="12.75" customHeight="1">
      <c r="A41" s="540"/>
      <c r="B41" s="540"/>
      <c r="C41" s="540"/>
      <c r="E41" s="2569"/>
      <c r="F41" s="2570"/>
      <c r="G41" s="2570"/>
      <c r="H41" s="2570"/>
      <c r="I41" s="2570"/>
      <c r="J41" s="2570"/>
      <c r="K41" s="2570"/>
      <c r="L41" s="2570"/>
      <c r="M41" s="2570"/>
      <c r="N41" s="2570"/>
      <c r="O41" s="2570"/>
      <c r="P41" s="2570"/>
      <c r="Q41" s="2570"/>
      <c r="R41" s="2570"/>
      <c r="S41" s="2570"/>
      <c r="T41" s="2570"/>
      <c r="U41" s="2570"/>
      <c r="V41" s="2570"/>
      <c r="W41" s="2570"/>
      <c r="X41" s="2570"/>
      <c r="Y41" s="2570"/>
      <c r="Z41" s="2570"/>
      <c r="AA41" s="2570"/>
      <c r="AB41" s="2570"/>
      <c r="AC41" s="2570"/>
      <c r="AD41" s="2570"/>
      <c r="AE41" s="2570"/>
      <c r="AF41" s="2570"/>
      <c r="AG41" s="2570"/>
      <c r="AH41" s="2570"/>
      <c r="AI41" s="2570"/>
      <c r="AJ41" s="2571"/>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7" t="s">
        <v>590</v>
      </c>
      <c r="C45" s="2617"/>
      <c r="D45" s="1142"/>
      <c r="E45" s="2544" t="s">
        <v>2008</v>
      </c>
      <c r="F45" s="2545"/>
      <c r="G45" s="2545"/>
      <c r="H45" s="2545"/>
      <c r="I45" s="2545"/>
      <c r="J45" s="2545"/>
      <c r="K45" s="2545"/>
      <c r="L45" s="2545"/>
      <c r="M45" s="2545"/>
      <c r="N45" s="2545"/>
      <c r="O45" s="2545"/>
      <c r="P45" s="2545"/>
      <c r="Q45" s="2545"/>
      <c r="R45" s="2545"/>
      <c r="S45" s="2545"/>
      <c r="T45" s="2545"/>
      <c r="U45" s="2545"/>
      <c r="V45" s="2545"/>
      <c r="W45" s="2545"/>
      <c r="X45" s="2545"/>
      <c r="Y45" s="2545"/>
      <c r="Z45" s="2545"/>
      <c r="AA45" s="2545"/>
      <c r="AB45" s="2545"/>
      <c r="AC45" s="2545"/>
      <c r="AD45" s="2545"/>
      <c r="AE45" s="2545"/>
      <c r="AF45" s="2545"/>
      <c r="AG45" s="2545"/>
      <c r="AH45" s="2545"/>
      <c r="AI45" s="2545"/>
      <c r="AJ45" s="2546"/>
      <c r="AK45" s="1142"/>
      <c r="AL45" s="540"/>
      <c r="AM45" s="540"/>
      <c r="AN45" s="535"/>
    </row>
    <row r="46" spans="1:41" s="536" customFormat="1" ht="12.75" customHeight="1">
      <c r="A46" s="540"/>
      <c r="B46" s="540"/>
      <c r="C46" s="540"/>
      <c r="E46" s="2547"/>
      <c r="F46" s="2548"/>
      <c r="G46" s="2548"/>
      <c r="H46" s="2548"/>
      <c r="I46" s="2548"/>
      <c r="J46" s="2548"/>
      <c r="K46" s="2548"/>
      <c r="L46" s="2548"/>
      <c r="M46" s="2548"/>
      <c r="N46" s="2548"/>
      <c r="O46" s="2548"/>
      <c r="P46" s="2548"/>
      <c r="Q46" s="2548"/>
      <c r="R46" s="2548"/>
      <c r="S46" s="2548"/>
      <c r="T46" s="2548"/>
      <c r="U46" s="2548"/>
      <c r="V46" s="2548"/>
      <c r="W46" s="2548"/>
      <c r="X46" s="2548"/>
      <c r="Y46" s="2548"/>
      <c r="Z46" s="2548"/>
      <c r="AA46" s="2548"/>
      <c r="AB46" s="2548"/>
      <c r="AC46" s="2548"/>
      <c r="AD46" s="2548"/>
      <c r="AE46" s="2548"/>
      <c r="AF46" s="2548"/>
      <c r="AG46" s="2548"/>
      <c r="AH46" s="2548"/>
      <c r="AI46" s="2548"/>
      <c r="AJ46" s="2549"/>
      <c r="AK46" s="540"/>
      <c r="AL46" s="540"/>
      <c r="AM46" s="540"/>
      <c r="AN46" s="535"/>
    </row>
    <row r="47" spans="1:41" s="536" customFormat="1" ht="12.75" customHeight="1">
      <c r="A47" s="540"/>
      <c r="D47" s="547"/>
      <c r="E47" s="2569"/>
      <c r="F47" s="2570"/>
      <c r="G47" s="2570"/>
      <c r="H47" s="2570"/>
      <c r="I47" s="2570"/>
      <c r="J47" s="2570"/>
      <c r="K47" s="2570"/>
      <c r="L47" s="2570"/>
      <c r="M47" s="2570"/>
      <c r="N47" s="2570"/>
      <c r="O47" s="2570"/>
      <c r="P47" s="2570"/>
      <c r="Q47" s="2570"/>
      <c r="R47" s="2570"/>
      <c r="S47" s="2570"/>
      <c r="T47" s="2570"/>
      <c r="U47" s="2570"/>
      <c r="V47" s="2570"/>
      <c r="W47" s="2570"/>
      <c r="X47" s="2570"/>
      <c r="Y47" s="2570"/>
      <c r="Z47" s="2570"/>
      <c r="AA47" s="2570"/>
      <c r="AB47" s="2570"/>
      <c r="AC47" s="2570"/>
      <c r="AD47" s="2570"/>
      <c r="AE47" s="2570"/>
      <c r="AF47" s="2570"/>
      <c r="AG47" s="2570"/>
      <c r="AH47" s="2570"/>
      <c r="AI47" s="2570"/>
      <c r="AJ47" s="2571"/>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7" t="s">
        <v>590</v>
      </c>
      <c r="C52" s="2617"/>
      <c r="D52" s="540"/>
      <c r="E52" s="2544" t="s">
        <v>2013</v>
      </c>
      <c r="F52" s="2545"/>
      <c r="G52" s="2545"/>
      <c r="H52" s="2545"/>
      <c r="I52" s="2545"/>
      <c r="J52" s="2545"/>
      <c r="K52" s="2545"/>
      <c r="L52" s="2545"/>
      <c r="M52" s="2545"/>
      <c r="N52" s="2545"/>
      <c r="O52" s="2545"/>
      <c r="P52" s="2545"/>
      <c r="Q52" s="2545"/>
      <c r="R52" s="2545"/>
      <c r="S52" s="2545"/>
      <c r="T52" s="2545"/>
      <c r="U52" s="2545"/>
      <c r="V52" s="2545"/>
      <c r="W52" s="2545"/>
      <c r="X52" s="2545"/>
      <c r="Y52" s="2545"/>
      <c r="Z52" s="2545"/>
      <c r="AA52" s="2545"/>
      <c r="AB52" s="2545"/>
      <c r="AC52" s="2545"/>
      <c r="AD52" s="2545"/>
      <c r="AE52" s="2545"/>
      <c r="AF52" s="2545"/>
      <c r="AG52" s="2545"/>
      <c r="AH52" s="2545"/>
      <c r="AI52" s="2545"/>
      <c r="AJ52" s="2546"/>
      <c r="AK52" s="540"/>
      <c r="AL52" s="540"/>
      <c r="AM52" s="540"/>
      <c r="AN52" s="535"/>
      <c r="AO52" s="559"/>
    </row>
    <row r="53" spans="1:50" s="536" customFormat="1" ht="12.75" customHeight="1">
      <c r="A53" s="540"/>
      <c r="D53" s="547"/>
      <c r="E53" s="2547"/>
      <c r="F53" s="2548"/>
      <c r="G53" s="2548"/>
      <c r="H53" s="2548"/>
      <c r="I53" s="2548"/>
      <c r="J53" s="2548"/>
      <c r="K53" s="2548"/>
      <c r="L53" s="2548"/>
      <c r="M53" s="2548"/>
      <c r="N53" s="2548"/>
      <c r="O53" s="2548"/>
      <c r="P53" s="2548"/>
      <c r="Q53" s="2548"/>
      <c r="R53" s="2548"/>
      <c r="S53" s="2548"/>
      <c r="T53" s="2548"/>
      <c r="U53" s="2548"/>
      <c r="V53" s="2548"/>
      <c r="W53" s="2548"/>
      <c r="X53" s="2548"/>
      <c r="Y53" s="2548"/>
      <c r="Z53" s="2548"/>
      <c r="AA53" s="2548"/>
      <c r="AB53" s="2548"/>
      <c r="AC53" s="2548"/>
      <c r="AD53" s="2548"/>
      <c r="AE53" s="2548"/>
      <c r="AF53" s="2548"/>
      <c r="AG53" s="2548"/>
      <c r="AH53" s="2548"/>
      <c r="AI53" s="2548"/>
      <c r="AJ53" s="2549"/>
      <c r="AK53" s="540"/>
      <c r="AL53" s="540"/>
      <c r="AM53" s="540"/>
      <c r="AN53" s="535"/>
      <c r="AO53" s="559"/>
    </row>
    <row r="54" spans="1:50" s="536" customFormat="1" ht="12.75" customHeight="1">
      <c r="A54" s="540"/>
      <c r="D54" s="540"/>
      <c r="E54" s="2569"/>
      <c r="F54" s="2570"/>
      <c r="G54" s="2570"/>
      <c r="H54" s="2570"/>
      <c r="I54" s="2570"/>
      <c r="J54" s="2570"/>
      <c r="K54" s="2570"/>
      <c r="L54" s="2570"/>
      <c r="M54" s="2570"/>
      <c r="N54" s="2570"/>
      <c r="O54" s="2570"/>
      <c r="P54" s="2570"/>
      <c r="Q54" s="2570"/>
      <c r="R54" s="2570"/>
      <c r="S54" s="2570"/>
      <c r="T54" s="2570"/>
      <c r="U54" s="2570"/>
      <c r="V54" s="2570"/>
      <c r="W54" s="2570"/>
      <c r="X54" s="2570"/>
      <c r="Y54" s="2570"/>
      <c r="Z54" s="2570"/>
      <c r="AA54" s="2570"/>
      <c r="AB54" s="2570"/>
      <c r="AC54" s="2570"/>
      <c r="AD54" s="2570"/>
      <c r="AE54" s="2570"/>
      <c r="AF54" s="2570"/>
      <c r="AG54" s="2570"/>
      <c r="AH54" s="2570"/>
      <c r="AI54" s="2570"/>
      <c r="AJ54" s="2571"/>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7" t="s">
        <v>590</v>
      </c>
      <c r="C56" s="2617"/>
      <c r="D56" s="540"/>
      <c r="E56" s="2643" t="s">
        <v>2014</v>
      </c>
      <c r="F56" s="2644"/>
      <c r="G56" s="2644"/>
      <c r="H56" s="2644"/>
      <c r="I56" s="2644"/>
      <c r="J56" s="2644"/>
      <c r="K56" s="2644"/>
      <c r="L56" s="2644"/>
      <c r="M56" s="2644"/>
      <c r="N56" s="2644"/>
      <c r="O56" s="2644"/>
      <c r="P56" s="2644"/>
      <c r="Q56" s="2644"/>
      <c r="R56" s="2644"/>
      <c r="S56" s="2644"/>
      <c r="T56" s="2644"/>
      <c r="U56" s="2644"/>
      <c r="V56" s="2644"/>
      <c r="W56" s="2644"/>
      <c r="X56" s="2644"/>
      <c r="Y56" s="2644"/>
      <c r="Z56" s="2644"/>
      <c r="AA56" s="2644"/>
      <c r="AB56" s="2644"/>
      <c r="AC56" s="2644"/>
      <c r="AD56" s="2644"/>
      <c r="AE56" s="2644"/>
      <c r="AF56" s="2644"/>
      <c r="AG56" s="2644"/>
      <c r="AH56" s="2644"/>
      <c r="AI56" s="2644"/>
      <c r="AJ56" s="2645"/>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7" t="s">
        <v>590</v>
      </c>
      <c r="C58" s="2617"/>
      <c r="D58" s="540"/>
      <c r="E58" s="2544" t="s">
        <v>2015</v>
      </c>
      <c r="F58" s="2545"/>
      <c r="G58" s="2545"/>
      <c r="H58" s="2545"/>
      <c r="I58" s="2545"/>
      <c r="J58" s="2545"/>
      <c r="K58" s="2545"/>
      <c r="L58" s="2545"/>
      <c r="M58" s="2545"/>
      <c r="N58" s="2545"/>
      <c r="O58" s="2545"/>
      <c r="P58" s="2545"/>
      <c r="Q58" s="2545"/>
      <c r="R58" s="2545"/>
      <c r="S58" s="2545"/>
      <c r="T58" s="2545"/>
      <c r="U58" s="2545"/>
      <c r="V58" s="2545"/>
      <c r="W58" s="2545"/>
      <c r="X58" s="2545"/>
      <c r="Y58" s="2545"/>
      <c r="Z58" s="2545"/>
      <c r="AA58" s="2545"/>
      <c r="AB58" s="2545"/>
      <c r="AC58" s="2545"/>
      <c r="AD58" s="2545"/>
      <c r="AE58" s="2545"/>
      <c r="AF58" s="2545"/>
      <c r="AG58" s="2545"/>
      <c r="AH58" s="2545"/>
      <c r="AI58" s="2545"/>
      <c r="AJ58" s="2546"/>
      <c r="AK58" s="540"/>
      <c r="AL58" s="540"/>
      <c r="AM58" s="540"/>
      <c r="AN58" s="535"/>
    </row>
    <row r="59" spans="1:50" s="536" customFormat="1" ht="12.75" customHeight="1">
      <c r="A59" s="540"/>
      <c r="B59" s="547"/>
      <c r="C59" s="547"/>
      <c r="D59" s="547"/>
      <c r="E59" s="2569"/>
      <c r="F59" s="2570"/>
      <c r="G59" s="2570"/>
      <c r="H59" s="2570"/>
      <c r="I59" s="2570"/>
      <c r="J59" s="2570"/>
      <c r="K59" s="2570"/>
      <c r="L59" s="2570"/>
      <c r="M59" s="2570"/>
      <c r="N59" s="2570"/>
      <c r="O59" s="2570"/>
      <c r="P59" s="2570"/>
      <c r="Q59" s="2570"/>
      <c r="R59" s="2570"/>
      <c r="S59" s="2570"/>
      <c r="T59" s="2570"/>
      <c r="U59" s="2570"/>
      <c r="V59" s="2570"/>
      <c r="W59" s="2570"/>
      <c r="X59" s="2570"/>
      <c r="Y59" s="2570"/>
      <c r="Z59" s="2570"/>
      <c r="AA59" s="2570"/>
      <c r="AB59" s="2570"/>
      <c r="AC59" s="2570"/>
      <c r="AD59" s="2570"/>
      <c r="AE59" s="2570"/>
      <c r="AF59" s="2570"/>
      <c r="AG59" s="2570"/>
      <c r="AH59" s="2570"/>
      <c r="AI59" s="2570"/>
      <c r="AJ59" s="2571"/>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590">
        <f>AO39</f>
        <v>0</v>
      </c>
      <c r="AL62" s="2591"/>
      <c r="AM62" s="2592"/>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4" t="s">
        <v>1314</v>
      </c>
      <c r="AF65" s="2464"/>
      <c r="AG65" s="2464"/>
      <c r="AH65" s="2464"/>
      <c r="AI65" s="2464"/>
      <c r="AJ65" s="2464"/>
      <c r="AK65" s="2464"/>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7" t="s">
        <v>544</v>
      </c>
      <c r="C68" s="2617"/>
      <c r="D68" s="547" t="s">
        <v>1315</v>
      </c>
      <c r="E68" s="2609" t="s">
        <v>2016</v>
      </c>
      <c r="F68" s="2610"/>
      <c r="G68" s="2610"/>
      <c r="H68" s="2610"/>
      <c r="I68" s="2610"/>
      <c r="J68" s="2610"/>
      <c r="K68" s="2610"/>
      <c r="L68" s="2610"/>
      <c r="M68" s="2610"/>
      <c r="N68" s="2610"/>
      <c r="O68" s="2610"/>
      <c r="P68" s="2610"/>
      <c r="Q68" s="2610"/>
      <c r="R68" s="2610"/>
      <c r="S68" s="2610"/>
      <c r="T68" s="2610"/>
      <c r="U68" s="2610"/>
      <c r="V68" s="2610"/>
      <c r="W68" s="2610"/>
      <c r="X68" s="2610"/>
      <c r="Y68" s="2610"/>
      <c r="Z68" s="2610"/>
      <c r="AA68" s="2610"/>
      <c r="AB68" s="2610"/>
      <c r="AC68" s="2610"/>
      <c r="AD68" s="2610"/>
      <c r="AE68" s="2610"/>
      <c r="AF68" s="2610"/>
      <c r="AG68" s="2610"/>
      <c r="AH68" s="2610"/>
      <c r="AI68" s="2610"/>
      <c r="AJ68" s="2611"/>
      <c r="AK68" s="543"/>
      <c r="AL68" s="540"/>
      <c r="AM68" s="540"/>
      <c r="AN68" s="535"/>
      <c r="AO68" s="550">
        <f>IF($B68="yes",10,0)</f>
        <v>10</v>
      </c>
    </row>
    <row r="69" spans="1:42" s="536" customFormat="1" ht="12.75" customHeight="1">
      <c r="A69" s="538"/>
      <c r="B69" s="540"/>
      <c r="C69" s="540"/>
      <c r="D69" s="551"/>
      <c r="E69" s="2612"/>
      <c r="F69" s="2613"/>
      <c r="G69" s="2613"/>
      <c r="H69" s="2613"/>
      <c r="I69" s="2613"/>
      <c r="J69" s="2613"/>
      <c r="K69" s="2613"/>
      <c r="L69" s="2613"/>
      <c r="M69" s="2613"/>
      <c r="N69" s="2613"/>
      <c r="O69" s="2613"/>
      <c r="P69" s="2613"/>
      <c r="Q69" s="2613"/>
      <c r="R69" s="2613"/>
      <c r="S69" s="2613"/>
      <c r="T69" s="2613"/>
      <c r="U69" s="2613"/>
      <c r="V69" s="2613"/>
      <c r="W69" s="2613"/>
      <c r="X69" s="2613"/>
      <c r="Y69" s="2613"/>
      <c r="Z69" s="2613"/>
      <c r="AA69" s="2613"/>
      <c r="AB69" s="2613"/>
      <c r="AC69" s="2613"/>
      <c r="AD69" s="2613"/>
      <c r="AE69" s="2613"/>
      <c r="AF69" s="2613"/>
      <c r="AG69" s="2613"/>
      <c r="AH69" s="2613"/>
      <c r="AI69" s="2613"/>
      <c r="AJ69" s="2614"/>
      <c r="AK69" s="543"/>
      <c r="AL69" s="540"/>
      <c r="AM69" s="540"/>
      <c r="AN69" s="535"/>
      <c r="AO69" s="550">
        <f>IF($B74="yes",10,0)</f>
        <v>0</v>
      </c>
    </row>
    <row r="70" spans="1:42" s="536" customFormat="1" ht="12.75" customHeight="1">
      <c r="A70" s="538"/>
      <c r="B70" s="540"/>
      <c r="C70" s="540"/>
      <c r="D70" s="551"/>
      <c r="E70" s="2612"/>
      <c r="F70" s="2613"/>
      <c r="G70" s="2613"/>
      <c r="H70" s="2613"/>
      <c r="I70" s="2613"/>
      <c r="J70" s="2613"/>
      <c r="K70" s="2613"/>
      <c r="L70" s="2613"/>
      <c r="M70" s="2613"/>
      <c r="N70" s="2613"/>
      <c r="O70" s="2613"/>
      <c r="P70" s="2613"/>
      <c r="Q70" s="2613"/>
      <c r="R70" s="2613"/>
      <c r="S70" s="2613"/>
      <c r="T70" s="2613"/>
      <c r="U70" s="2613"/>
      <c r="V70" s="2613"/>
      <c r="W70" s="2613"/>
      <c r="X70" s="2613"/>
      <c r="Y70" s="2613"/>
      <c r="Z70" s="2613"/>
      <c r="AA70" s="2613"/>
      <c r="AB70" s="2613"/>
      <c r="AC70" s="2613"/>
      <c r="AD70" s="2613"/>
      <c r="AE70" s="2613"/>
      <c r="AF70" s="2613"/>
      <c r="AG70" s="2613"/>
      <c r="AH70" s="2613"/>
      <c r="AI70" s="2613"/>
      <c r="AJ70" s="2614"/>
      <c r="AK70" s="543"/>
      <c r="AL70" s="540"/>
      <c r="AM70" s="540"/>
      <c r="AN70" s="535"/>
      <c r="AO70" s="550">
        <f>IF($B81="yes",10,0)</f>
        <v>0</v>
      </c>
    </row>
    <row r="71" spans="1:42" s="536" customFormat="1" ht="12.75" customHeight="1">
      <c r="A71" s="538"/>
      <c r="B71" s="540"/>
      <c r="C71" s="540"/>
      <c r="D71" s="551"/>
      <c r="E71" s="2612"/>
      <c r="F71" s="2613"/>
      <c r="G71" s="2613"/>
      <c r="H71" s="2613"/>
      <c r="I71" s="2613"/>
      <c r="J71" s="2613"/>
      <c r="K71" s="2613"/>
      <c r="L71" s="2613"/>
      <c r="M71" s="2613"/>
      <c r="N71" s="2613"/>
      <c r="O71" s="2613"/>
      <c r="P71" s="2613"/>
      <c r="Q71" s="2613"/>
      <c r="R71" s="2613"/>
      <c r="S71" s="2613"/>
      <c r="T71" s="2613"/>
      <c r="U71" s="2613"/>
      <c r="V71" s="2613"/>
      <c r="W71" s="2613"/>
      <c r="X71" s="2613"/>
      <c r="Y71" s="2613"/>
      <c r="Z71" s="2613"/>
      <c r="AA71" s="2613"/>
      <c r="AB71" s="2613"/>
      <c r="AC71" s="2613"/>
      <c r="AD71" s="2613"/>
      <c r="AE71" s="2613"/>
      <c r="AF71" s="2613"/>
      <c r="AG71" s="2613"/>
      <c r="AH71" s="2613"/>
      <c r="AI71" s="2613"/>
      <c r="AJ71" s="2614"/>
      <c r="AK71" s="543"/>
      <c r="AL71" s="540"/>
      <c r="AM71" s="540"/>
      <c r="AN71" s="535"/>
      <c r="AO71" s="536">
        <f>IF(SUM(AO68:AO70)&gt;10,10,(SUM(AO68:AO70)))</f>
        <v>10</v>
      </c>
      <c r="AP71" s="574" t="s">
        <v>1316</v>
      </c>
    </row>
    <row r="72" spans="1:42" s="536" customFormat="1" ht="12.75" customHeight="1">
      <c r="A72" s="538"/>
      <c r="B72" s="540"/>
      <c r="C72" s="540"/>
      <c r="D72" s="551"/>
      <c r="E72" s="2639"/>
      <c r="F72" s="2640"/>
      <c r="G72" s="2640"/>
      <c r="H72" s="2640"/>
      <c r="I72" s="2640"/>
      <c r="J72" s="2640"/>
      <c r="K72" s="2640"/>
      <c r="L72" s="2640"/>
      <c r="M72" s="2640"/>
      <c r="N72" s="2640"/>
      <c r="O72" s="2640"/>
      <c r="P72" s="2640"/>
      <c r="Q72" s="2640"/>
      <c r="R72" s="2640"/>
      <c r="S72" s="2640"/>
      <c r="T72" s="2640"/>
      <c r="U72" s="2640"/>
      <c r="V72" s="2640"/>
      <c r="W72" s="2640"/>
      <c r="X72" s="2640"/>
      <c r="Y72" s="2640"/>
      <c r="Z72" s="2640"/>
      <c r="AA72" s="2640"/>
      <c r="AB72" s="2640"/>
      <c r="AC72" s="2640"/>
      <c r="AD72" s="2640"/>
      <c r="AE72" s="2640"/>
      <c r="AF72" s="2640"/>
      <c r="AG72" s="2640"/>
      <c r="AH72" s="2640"/>
      <c r="AI72" s="2640"/>
      <c r="AJ72" s="2641"/>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7" t="s">
        <v>590</v>
      </c>
      <c r="C74" s="2617"/>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42" t="s">
        <v>590</v>
      </c>
      <c r="F75" s="2617"/>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7" t="s">
        <v>590</v>
      </c>
      <c r="F76" s="2638"/>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7" t="s">
        <v>590</v>
      </c>
      <c r="F77" s="2638"/>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42" t="s">
        <v>590</v>
      </c>
      <c r="F79" s="2617"/>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7" t="s">
        <v>590</v>
      </c>
      <c r="C81" s="2617"/>
      <c r="D81" s="547" t="s">
        <v>1320</v>
      </c>
      <c r="E81" s="2544" t="s">
        <v>1740</v>
      </c>
      <c r="F81" s="2545"/>
      <c r="G81" s="2545"/>
      <c r="H81" s="2545"/>
      <c r="I81" s="2545"/>
      <c r="J81" s="2545"/>
      <c r="K81" s="2545"/>
      <c r="L81" s="2545"/>
      <c r="M81" s="2545"/>
      <c r="N81" s="2545"/>
      <c r="O81" s="2545"/>
      <c r="P81" s="2545"/>
      <c r="Q81" s="2545"/>
      <c r="R81" s="2545"/>
      <c r="S81" s="2545"/>
      <c r="T81" s="2545"/>
      <c r="U81" s="2545"/>
      <c r="V81" s="2545"/>
      <c r="W81" s="2545"/>
      <c r="X81" s="2545"/>
      <c r="Y81" s="2545"/>
      <c r="Z81" s="2545"/>
      <c r="AA81" s="2545"/>
      <c r="AB81" s="2545"/>
      <c r="AC81" s="2545"/>
      <c r="AD81" s="2545"/>
      <c r="AE81" s="2545"/>
      <c r="AF81" s="2545"/>
      <c r="AG81" s="2545"/>
      <c r="AH81" s="2545"/>
      <c r="AI81" s="2545"/>
      <c r="AJ81" s="2546"/>
      <c r="AK81" s="543"/>
      <c r="AL81" s="540"/>
      <c r="AM81" s="540"/>
      <c r="AN81" s="535"/>
    </row>
    <row r="82" spans="1:43" s="536" customFormat="1" ht="12.75" customHeight="1">
      <c r="A82" s="538"/>
      <c r="B82" s="540"/>
      <c r="C82" s="540"/>
      <c r="D82" s="550"/>
      <c r="E82" s="2569"/>
      <c r="F82" s="2570"/>
      <c r="G82" s="2570"/>
      <c r="H82" s="2570"/>
      <c r="I82" s="2570"/>
      <c r="J82" s="2570"/>
      <c r="K82" s="2570"/>
      <c r="L82" s="2570"/>
      <c r="M82" s="2570"/>
      <c r="N82" s="2570"/>
      <c r="O82" s="2570"/>
      <c r="P82" s="2570"/>
      <c r="Q82" s="2570"/>
      <c r="R82" s="2570"/>
      <c r="S82" s="2570"/>
      <c r="T82" s="2570"/>
      <c r="U82" s="2570"/>
      <c r="V82" s="2570"/>
      <c r="W82" s="2570"/>
      <c r="X82" s="2570"/>
      <c r="Y82" s="2570"/>
      <c r="Z82" s="2570"/>
      <c r="AA82" s="2570"/>
      <c r="AB82" s="2570"/>
      <c r="AC82" s="2570"/>
      <c r="AD82" s="2570"/>
      <c r="AE82" s="2570"/>
      <c r="AF82" s="2570"/>
      <c r="AG82" s="2570"/>
      <c r="AH82" s="2570"/>
      <c r="AI82" s="2570"/>
      <c r="AJ82" s="2571"/>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590">
        <f>IF(AK62&gt;0,0,AO71)</f>
        <v>10</v>
      </c>
      <c r="AL84" s="2591"/>
      <c r="AM84" s="2592"/>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4" t="s">
        <v>1305</v>
      </c>
      <c r="AF87" s="2464"/>
      <c r="AG87" s="2464"/>
      <c r="AH87" s="2464"/>
      <c r="AI87" s="2464"/>
      <c r="AJ87" s="2464"/>
      <c r="AK87" s="2464"/>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7" t="s">
        <v>590</v>
      </c>
      <c r="C90" s="2617"/>
      <c r="D90" s="547" t="s">
        <v>1315</v>
      </c>
      <c r="E90" s="2609" t="s">
        <v>1325</v>
      </c>
      <c r="F90" s="2610"/>
      <c r="G90" s="2610"/>
      <c r="H90" s="2610"/>
      <c r="I90" s="2610"/>
      <c r="J90" s="2610"/>
      <c r="K90" s="2610"/>
      <c r="L90" s="2610"/>
      <c r="M90" s="2610"/>
      <c r="N90" s="2610"/>
      <c r="O90" s="2610"/>
      <c r="P90" s="2610"/>
      <c r="Q90" s="2610"/>
      <c r="R90" s="2610"/>
      <c r="S90" s="2610"/>
      <c r="T90" s="2610"/>
      <c r="U90" s="2610"/>
      <c r="V90" s="2610"/>
      <c r="W90" s="2610"/>
      <c r="X90" s="2610"/>
      <c r="Y90" s="2610"/>
      <c r="Z90" s="2610"/>
      <c r="AA90" s="2610"/>
      <c r="AB90" s="2610"/>
      <c r="AC90" s="2610"/>
      <c r="AD90" s="2610"/>
      <c r="AE90" s="2610"/>
      <c r="AF90" s="2610"/>
      <c r="AG90" s="2610"/>
      <c r="AH90" s="2610"/>
      <c r="AI90" s="2610"/>
      <c r="AJ90" s="2611"/>
      <c r="AK90" s="543"/>
      <c r="AL90" s="540"/>
      <c r="AM90" s="540"/>
      <c r="AN90" s="535"/>
    </row>
    <row r="91" spans="1:43" s="536" customFormat="1" ht="12.75" customHeight="1">
      <c r="A91" s="538"/>
      <c r="B91" s="539"/>
      <c r="C91" s="539"/>
      <c r="D91" s="539"/>
      <c r="E91" s="2612"/>
      <c r="F91" s="2613"/>
      <c r="G91" s="2613"/>
      <c r="H91" s="2613"/>
      <c r="I91" s="2613"/>
      <c r="J91" s="2613"/>
      <c r="K91" s="2613"/>
      <c r="L91" s="2613"/>
      <c r="M91" s="2613"/>
      <c r="N91" s="2613"/>
      <c r="O91" s="2613"/>
      <c r="P91" s="2613"/>
      <c r="Q91" s="2613"/>
      <c r="R91" s="2613"/>
      <c r="S91" s="2613"/>
      <c r="T91" s="2613"/>
      <c r="U91" s="2613"/>
      <c r="V91" s="2613"/>
      <c r="W91" s="2613"/>
      <c r="X91" s="2613"/>
      <c r="Y91" s="2613"/>
      <c r="Z91" s="2613"/>
      <c r="AA91" s="2613"/>
      <c r="AB91" s="2613"/>
      <c r="AC91" s="2613"/>
      <c r="AD91" s="2613"/>
      <c r="AE91" s="2613"/>
      <c r="AF91" s="2613"/>
      <c r="AG91" s="2613"/>
      <c r="AH91" s="2613"/>
      <c r="AI91" s="2613"/>
      <c r="AJ91" s="2614"/>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5">
        <f>Application!AC753</f>
        <v>0.596923076923077</v>
      </c>
      <c r="F93" s="2606"/>
      <c r="G93" s="2606"/>
      <c r="H93" s="2606"/>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6">
        <f>0.6-ROUNDUP(E93,2)</f>
        <v>0</v>
      </c>
      <c r="F94" s="2411"/>
      <c r="G94" s="2411"/>
      <c r="H94" s="2411"/>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21">
        <f>IF(E94*200&gt;20,20,E94*200)</f>
        <v>0</v>
      </c>
      <c r="F95" s="2622"/>
      <c r="G95" s="2622"/>
      <c r="H95" s="2622"/>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7" t="s">
        <v>544</v>
      </c>
      <c r="C98" s="2617"/>
      <c r="D98" s="547" t="s">
        <v>1317</v>
      </c>
      <c r="E98" s="2609" t="s">
        <v>1725</v>
      </c>
      <c r="F98" s="2610"/>
      <c r="G98" s="2610"/>
      <c r="H98" s="2610"/>
      <c r="I98" s="2610"/>
      <c r="J98" s="2610"/>
      <c r="K98" s="2610"/>
      <c r="L98" s="2610"/>
      <c r="M98" s="2610"/>
      <c r="N98" s="2610"/>
      <c r="O98" s="2610"/>
      <c r="P98" s="2610"/>
      <c r="Q98" s="2610"/>
      <c r="R98" s="2610"/>
      <c r="S98" s="2610"/>
      <c r="T98" s="2610"/>
      <c r="U98" s="2610"/>
      <c r="V98" s="2610"/>
      <c r="W98" s="2610"/>
      <c r="X98" s="2610"/>
      <c r="Y98" s="2610"/>
      <c r="Z98" s="2610"/>
      <c r="AA98" s="2610"/>
      <c r="AB98" s="2610"/>
      <c r="AC98" s="2610"/>
      <c r="AD98" s="2610"/>
      <c r="AE98" s="2610"/>
      <c r="AF98" s="2610"/>
      <c r="AG98" s="2610"/>
      <c r="AH98" s="2610"/>
      <c r="AI98" s="2610"/>
      <c r="AJ98" s="2611"/>
      <c r="AK98" s="543"/>
      <c r="AL98" s="540"/>
      <c r="AM98" s="540"/>
      <c r="AN98" s="535"/>
    </row>
    <row r="99" spans="1:47" s="536" customFormat="1" ht="12.75" customHeight="1">
      <c r="A99" s="538"/>
      <c r="B99" s="539"/>
      <c r="C99" s="539"/>
      <c r="D99" s="539"/>
      <c r="E99" s="2612"/>
      <c r="F99" s="2613"/>
      <c r="G99" s="2613"/>
      <c r="H99" s="2613"/>
      <c r="I99" s="2613"/>
      <c r="J99" s="2613"/>
      <c r="K99" s="2613"/>
      <c r="L99" s="2613"/>
      <c r="M99" s="2613"/>
      <c r="N99" s="2613"/>
      <c r="O99" s="2613"/>
      <c r="P99" s="2613"/>
      <c r="Q99" s="2613"/>
      <c r="R99" s="2613"/>
      <c r="S99" s="2613"/>
      <c r="T99" s="2613"/>
      <c r="U99" s="2613"/>
      <c r="V99" s="2613"/>
      <c r="W99" s="2613"/>
      <c r="X99" s="2613"/>
      <c r="Y99" s="2613"/>
      <c r="Z99" s="2613"/>
      <c r="AA99" s="2613"/>
      <c r="AB99" s="2613"/>
      <c r="AC99" s="2613"/>
      <c r="AD99" s="2613"/>
      <c r="AE99" s="2613"/>
      <c r="AF99" s="2613"/>
      <c r="AG99" s="2613"/>
      <c r="AH99" s="2613"/>
      <c r="AI99" s="2613"/>
      <c r="AJ99" s="2614"/>
      <c r="AK99" s="543"/>
      <c r="AL99" s="540"/>
      <c r="AM99" s="540"/>
      <c r="AN99" s="535"/>
    </row>
    <row r="100" spans="1:47" s="536" customFormat="1" ht="12.75" customHeight="1">
      <c r="A100" s="538"/>
      <c r="B100" s="539"/>
      <c r="C100" s="539"/>
      <c r="D100" s="539"/>
      <c r="E100" s="2612"/>
      <c r="F100" s="2613"/>
      <c r="G100" s="2613"/>
      <c r="H100" s="2613"/>
      <c r="I100" s="2613"/>
      <c r="J100" s="2613"/>
      <c r="K100" s="2613"/>
      <c r="L100" s="2613"/>
      <c r="M100" s="2613"/>
      <c r="N100" s="2613"/>
      <c r="O100" s="2613"/>
      <c r="P100" s="2613"/>
      <c r="Q100" s="2613"/>
      <c r="R100" s="2613"/>
      <c r="S100" s="2613"/>
      <c r="T100" s="2613"/>
      <c r="U100" s="2613"/>
      <c r="V100" s="2613"/>
      <c r="W100" s="2613"/>
      <c r="X100" s="2613"/>
      <c r="Y100" s="2613"/>
      <c r="Z100" s="2613"/>
      <c r="AA100" s="2613"/>
      <c r="AB100" s="2613"/>
      <c r="AC100" s="2613"/>
      <c r="AD100" s="2613"/>
      <c r="AE100" s="2613"/>
      <c r="AF100" s="2613"/>
      <c r="AG100" s="2613"/>
      <c r="AH100" s="2613"/>
      <c r="AI100" s="2613"/>
      <c r="AJ100" s="2614"/>
      <c r="AK100" s="543"/>
      <c r="AL100" s="540"/>
      <c r="AM100" s="540"/>
      <c r="AN100" s="535"/>
    </row>
    <row r="101" spans="1:47" s="536" customFormat="1" ht="12.75" customHeight="1">
      <c r="A101" s="538"/>
      <c r="B101" s="539"/>
      <c r="C101" s="539"/>
      <c r="D101" s="539"/>
      <c r="E101" s="2612"/>
      <c r="F101" s="2613"/>
      <c r="G101" s="2613"/>
      <c r="H101" s="2613"/>
      <c r="I101" s="2613"/>
      <c r="J101" s="2613"/>
      <c r="K101" s="2613"/>
      <c r="L101" s="2613"/>
      <c r="M101" s="2613"/>
      <c r="N101" s="2613"/>
      <c r="O101" s="2613"/>
      <c r="P101" s="2613"/>
      <c r="Q101" s="2613"/>
      <c r="R101" s="2613"/>
      <c r="S101" s="2613"/>
      <c r="T101" s="2613"/>
      <c r="U101" s="2613"/>
      <c r="V101" s="2613"/>
      <c r="W101" s="2613"/>
      <c r="X101" s="2613"/>
      <c r="Y101" s="2613"/>
      <c r="Z101" s="2613"/>
      <c r="AA101" s="2613"/>
      <c r="AB101" s="2613"/>
      <c r="AC101" s="2613"/>
      <c r="AD101" s="2613"/>
      <c r="AE101" s="2613"/>
      <c r="AF101" s="2613"/>
      <c r="AG101" s="2613"/>
      <c r="AH101" s="2613"/>
      <c r="AI101" s="2613"/>
      <c r="AJ101" s="2614"/>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5">
        <f>Application!AC753</f>
        <v>0.596923076923077</v>
      </c>
      <c r="F103" s="2606"/>
      <c r="G103" s="2606"/>
      <c r="H103" s="2606"/>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5">
        <f ca="1">SUMIF(Application!AC718:AG752,0.2,Application!G718:J752)/Application!G753+SUMIF(Application!AC718:AG752,0.25,Application!G718:J752)/Application!G753+SUMIF(Application!AC718:AG752,0.3,Application!G718:J752)/Application!G753</f>
        <v>0.17692307692307693</v>
      </c>
      <c r="F104" s="2606"/>
      <c r="G104" s="2606"/>
      <c r="H104" s="2606"/>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5">
        <f ca="1">SUMIF(Application!AC718:AG752,0.35,Application!G718:J752)/Application!G753+SUMIF(Application!AC718:AG752,0.4,Application!G718:J752)/Application!G753+SUMIF(Application!AC718:AG752,0.45,Application!G718:J752)/Application!G753+SUMIF(Application!AC718:AG752,0.5,Application!G718:J752)/Application!G753</f>
        <v>0.2076923076923077</v>
      </c>
      <c r="F105" s="2606"/>
      <c r="G105" s="2606"/>
      <c r="H105" s="2606"/>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3">
        <f ca="1">IF(AND(E103&lt;=0.6,OR(AND(E104&gt;=0.1,E105&gt;=0.1),AND(E104&gt;0.1,(E104+E105)&gt;=0.2))),20,0)</f>
        <v>20</v>
      </c>
      <c r="F106" s="2604"/>
      <c r="G106" s="2604"/>
      <c r="H106" s="2604"/>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590">
        <f ca="1">MAX(AP95,AP106)</f>
        <v>20</v>
      </c>
      <c r="AL109" s="2591"/>
      <c r="AM109" s="2592"/>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4" t="s">
        <v>1314</v>
      </c>
      <c r="AF112" s="2464"/>
      <c r="AG112" s="2464"/>
      <c r="AH112" s="2464"/>
      <c r="AI112" s="2464"/>
      <c r="AJ112" s="2464"/>
      <c r="AK112" s="2464"/>
      <c r="AL112" s="540"/>
      <c r="AM112" s="540"/>
      <c r="AN112" s="535"/>
      <c r="AO112" s="536" t="str">
        <f>Application!B718</f>
        <v>1 Bedroom</v>
      </c>
      <c r="AQ112" s="536">
        <f>Application!O718</f>
        <v>858</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1458</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1757</v>
      </c>
    </row>
    <row r="115" spans="1:52" s="536" customFormat="1" ht="12.75" customHeight="1">
      <c r="A115" s="540"/>
      <c r="B115" s="2617" t="s">
        <v>544</v>
      </c>
      <c r="C115" s="2617"/>
      <c r="D115" s="547" t="s">
        <v>1315</v>
      </c>
      <c r="E115" s="2609" t="s">
        <v>1857</v>
      </c>
      <c r="F115" s="2610"/>
      <c r="G115" s="2610"/>
      <c r="H115" s="2610"/>
      <c r="I115" s="2610"/>
      <c r="J115" s="2610"/>
      <c r="K115" s="2610"/>
      <c r="L115" s="2610"/>
      <c r="M115" s="2610"/>
      <c r="N115" s="2610"/>
      <c r="O115" s="2610"/>
      <c r="P115" s="2610"/>
      <c r="Q115" s="2610"/>
      <c r="R115" s="2610"/>
      <c r="S115" s="2610"/>
      <c r="T115" s="2610"/>
      <c r="U115" s="2610"/>
      <c r="V115" s="2610"/>
      <c r="W115" s="2610"/>
      <c r="X115" s="2610"/>
      <c r="Y115" s="2610"/>
      <c r="Z115" s="2610"/>
      <c r="AA115" s="2610"/>
      <c r="AB115" s="2610"/>
      <c r="AC115" s="2610"/>
      <c r="AD115" s="2610"/>
      <c r="AE115" s="2610"/>
      <c r="AF115" s="2610"/>
      <c r="AG115" s="2610"/>
      <c r="AH115" s="2610"/>
      <c r="AI115" s="2610"/>
      <c r="AJ115" s="2611"/>
      <c r="AK115" s="540"/>
      <c r="AL115" s="540"/>
      <c r="AM115" s="540"/>
      <c r="AN115" s="535"/>
      <c r="AO115" s="536" t="str">
        <f>Application!B721</f>
        <v>1 Bedroom</v>
      </c>
      <c r="AQ115" s="536">
        <f>Application!O721</f>
        <v>2356</v>
      </c>
      <c r="AU115" s="536" t="s">
        <v>1840</v>
      </c>
      <c r="AV115" s="595" t="s">
        <v>1841</v>
      </c>
      <c r="AW115" s="536" t="s">
        <v>1842</v>
      </c>
    </row>
    <row r="116" spans="1:52" s="536" customFormat="1" ht="12.75" customHeight="1">
      <c r="A116" s="540"/>
      <c r="B116" s="539"/>
      <c r="C116" s="539"/>
      <c r="D116" s="539"/>
      <c r="E116" s="2612"/>
      <c r="F116" s="2613"/>
      <c r="G116" s="2613"/>
      <c r="H116" s="2613"/>
      <c r="I116" s="2613"/>
      <c r="J116" s="2613"/>
      <c r="K116" s="2613"/>
      <c r="L116" s="2613"/>
      <c r="M116" s="2613"/>
      <c r="N116" s="2613"/>
      <c r="O116" s="2613"/>
      <c r="P116" s="2613"/>
      <c r="Q116" s="2613"/>
      <c r="R116" s="2613"/>
      <c r="S116" s="2613"/>
      <c r="T116" s="2613"/>
      <c r="U116" s="2613"/>
      <c r="V116" s="2613"/>
      <c r="W116" s="2613"/>
      <c r="X116" s="2613"/>
      <c r="Y116" s="2613"/>
      <c r="Z116" s="2613"/>
      <c r="AA116" s="2613"/>
      <c r="AB116" s="2613"/>
      <c r="AC116" s="2613"/>
      <c r="AD116" s="2613"/>
      <c r="AE116" s="2613"/>
      <c r="AF116" s="2613"/>
      <c r="AG116" s="2613"/>
      <c r="AH116" s="2613"/>
      <c r="AI116" s="2613"/>
      <c r="AJ116" s="2614"/>
      <c r="AK116" s="540"/>
      <c r="AL116" s="540"/>
      <c r="AM116" s="540"/>
      <c r="AN116" s="535"/>
      <c r="AO116" s="536" t="str">
        <f>Application!B722</f>
        <v>2 Bedrooms</v>
      </c>
      <c r="AQ116" s="536">
        <f>Application!O722</f>
        <v>1042</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12"/>
      <c r="F117" s="2613"/>
      <c r="G117" s="2613"/>
      <c r="H117" s="2613"/>
      <c r="I117" s="2613"/>
      <c r="J117" s="2613"/>
      <c r="K117" s="2613"/>
      <c r="L117" s="2613"/>
      <c r="M117" s="2613"/>
      <c r="N117" s="2613"/>
      <c r="O117" s="2613"/>
      <c r="P117" s="2613"/>
      <c r="Q117" s="2613"/>
      <c r="R117" s="2613"/>
      <c r="S117" s="2613"/>
      <c r="T117" s="2613"/>
      <c r="U117" s="2613"/>
      <c r="V117" s="2613"/>
      <c r="W117" s="2613"/>
      <c r="X117" s="2613"/>
      <c r="Y117" s="2613"/>
      <c r="Z117" s="2613"/>
      <c r="AA117" s="2613"/>
      <c r="AB117" s="2613"/>
      <c r="AC117" s="2613"/>
      <c r="AD117" s="2613"/>
      <c r="AE117" s="2613"/>
      <c r="AF117" s="2613"/>
      <c r="AG117" s="2613"/>
      <c r="AH117" s="2613"/>
      <c r="AI117" s="2613"/>
      <c r="AJ117" s="2614"/>
      <c r="AK117" s="540"/>
      <c r="AL117" s="540"/>
      <c r="AM117" s="540"/>
      <c r="AN117" s="535"/>
      <c r="AO117" s="536" t="str">
        <f>Application!B723</f>
        <v>2 Bedrooms</v>
      </c>
      <c r="AQ117" s="536">
        <f>Application!O723</f>
        <v>1762</v>
      </c>
      <c r="AU117" s="856" t="str">
        <f>J124</f>
        <v>1-bedroom</v>
      </c>
      <c r="AV117" s="536">
        <f t="array" ref="AV117">SUM(IF(Application!B718:F752="1 Bedroom",Application!G718:J752))</f>
        <v>46</v>
      </c>
      <c r="AW117" s="1011">
        <f>AV117/AV122</f>
        <v>0.35384615384615387</v>
      </c>
    </row>
    <row r="118" spans="1:52" s="536" customFormat="1" ht="12.75" customHeight="1">
      <c r="A118" s="540"/>
      <c r="B118" s="539"/>
      <c r="C118" s="539"/>
      <c r="D118" s="539"/>
      <c r="E118" s="2612"/>
      <c r="F118" s="2613"/>
      <c r="G118" s="2613"/>
      <c r="H118" s="2613"/>
      <c r="I118" s="2613"/>
      <c r="J118" s="2613"/>
      <c r="K118" s="2613"/>
      <c r="L118" s="2613"/>
      <c r="M118" s="2613"/>
      <c r="N118" s="2613"/>
      <c r="O118" s="2613"/>
      <c r="P118" s="2613"/>
      <c r="Q118" s="2613"/>
      <c r="R118" s="2613"/>
      <c r="S118" s="2613"/>
      <c r="T118" s="2613"/>
      <c r="U118" s="2613"/>
      <c r="V118" s="2613"/>
      <c r="W118" s="2613"/>
      <c r="X118" s="2613"/>
      <c r="Y118" s="2613"/>
      <c r="Z118" s="2613"/>
      <c r="AA118" s="2613"/>
      <c r="AB118" s="2613"/>
      <c r="AC118" s="2613"/>
      <c r="AD118" s="2613"/>
      <c r="AE118" s="2613"/>
      <c r="AF118" s="2613"/>
      <c r="AG118" s="2613"/>
      <c r="AH118" s="2613"/>
      <c r="AI118" s="2613"/>
      <c r="AJ118" s="2614"/>
      <c r="AK118" s="540"/>
      <c r="AL118" s="540"/>
      <c r="AM118" s="540"/>
      <c r="AN118" s="535"/>
      <c r="AO118" s="536" t="str">
        <f>Application!B724</f>
        <v>2 Bedrooms</v>
      </c>
      <c r="AQ118" s="536">
        <f>Application!O724</f>
        <v>2121</v>
      </c>
      <c r="AU118" s="856" t="str">
        <f>O124</f>
        <v>2-bedroom</v>
      </c>
      <c r="AV118" s="536">
        <f t="array" ref="AV118">SUM(IF(Application!B718:F752="2 Bedrooms",Application!G718:J752))</f>
        <v>42</v>
      </c>
      <c r="AW118" s="1011">
        <f>AV118/AV122</f>
        <v>0.32307692307692309</v>
      </c>
    </row>
    <row r="119" spans="1:52" s="536" customFormat="1" ht="12.75" customHeight="1">
      <c r="A119" s="540"/>
      <c r="B119" s="539"/>
      <c r="C119" s="539"/>
      <c r="D119" s="539"/>
      <c r="E119" s="2612"/>
      <c r="F119" s="2613"/>
      <c r="G119" s="2613"/>
      <c r="H119" s="2613"/>
      <c r="I119" s="2613"/>
      <c r="J119" s="2613"/>
      <c r="K119" s="2613"/>
      <c r="L119" s="2613"/>
      <c r="M119" s="2613"/>
      <c r="N119" s="2613"/>
      <c r="O119" s="2613"/>
      <c r="P119" s="2613"/>
      <c r="Q119" s="2613"/>
      <c r="R119" s="2613"/>
      <c r="S119" s="2613"/>
      <c r="T119" s="2613"/>
      <c r="U119" s="2613"/>
      <c r="V119" s="2613"/>
      <c r="W119" s="2613"/>
      <c r="X119" s="2613"/>
      <c r="Y119" s="2613"/>
      <c r="Z119" s="2613"/>
      <c r="AA119" s="2613"/>
      <c r="AB119" s="2613"/>
      <c r="AC119" s="2613"/>
      <c r="AD119" s="2613"/>
      <c r="AE119" s="2613"/>
      <c r="AF119" s="2613"/>
      <c r="AG119" s="2613"/>
      <c r="AH119" s="2613"/>
      <c r="AI119" s="2613"/>
      <c r="AJ119" s="2614"/>
      <c r="AK119" s="540"/>
      <c r="AL119" s="540"/>
      <c r="AM119" s="540"/>
      <c r="AN119" s="535"/>
      <c r="AO119" s="536" t="str">
        <f>Application!B725</f>
        <v>2 Bedrooms</v>
      </c>
      <c r="AQ119" s="536">
        <f>Application!O725</f>
        <v>2619</v>
      </c>
      <c r="AU119" s="856" t="str">
        <f>T124</f>
        <v>3-bedroom</v>
      </c>
      <c r="AV119" s="536">
        <f t="array" ref="AV119">SUM(IF(Application!B718:F752="3 Bedrooms",Application!G718:J752))</f>
        <v>42</v>
      </c>
      <c r="AW119" s="1011">
        <f>AV119/AV122</f>
        <v>0.32307692307692309</v>
      </c>
    </row>
    <row r="120" spans="1:52" s="536" customFormat="1" ht="12.75" customHeight="1">
      <c r="A120" s="540"/>
      <c r="B120" s="539"/>
      <c r="C120" s="539"/>
      <c r="D120" s="539"/>
      <c r="E120" s="2612"/>
      <c r="F120" s="2613"/>
      <c r="G120" s="2613"/>
      <c r="H120" s="2613"/>
      <c r="I120" s="2613"/>
      <c r="J120" s="2613"/>
      <c r="K120" s="2613"/>
      <c r="L120" s="2613"/>
      <c r="M120" s="2613"/>
      <c r="N120" s="2613"/>
      <c r="O120" s="2613"/>
      <c r="P120" s="2613"/>
      <c r="Q120" s="2613"/>
      <c r="R120" s="2613"/>
      <c r="S120" s="2613"/>
      <c r="T120" s="2613"/>
      <c r="U120" s="2613"/>
      <c r="V120" s="2613"/>
      <c r="W120" s="2613"/>
      <c r="X120" s="2613"/>
      <c r="Y120" s="2613"/>
      <c r="Z120" s="2613"/>
      <c r="AA120" s="2613"/>
      <c r="AB120" s="2613"/>
      <c r="AC120" s="2613"/>
      <c r="AD120" s="2613"/>
      <c r="AE120" s="2613"/>
      <c r="AF120" s="2613"/>
      <c r="AG120" s="2613"/>
      <c r="AH120" s="2613"/>
      <c r="AI120" s="2613"/>
      <c r="AJ120" s="2614"/>
      <c r="AK120" s="540"/>
      <c r="AL120" s="540"/>
      <c r="AM120" s="540"/>
      <c r="AN120" s="535"/>
      <c r="AO120" s="536" t="str">
        <f>Application!B726</f>
        <v>3 Bedrooms</v>
      </c>
      <c r="AQ120" s="536">
        <f>Application!O726</f>
        <v>1202</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12"/>
      <c r="F121" s="2613"/>
      <c r="G121" s="2613"/>
      <c r="H121" s="2613"/>
      <c r="I121" s="2613"/>
      <c r="J121" s="2613"/>
      <c r="K121" s="2613"/>
      <c r="L121" s="2613"/>
      <c r="M121" s="2613"/>
      <c r="N121" s="2613"/>
      <c r="O121" s="2613"/>
      <c r="P121" s="2613"/>
      <c r="Q121" s="2613"/>
      <c r="R121" s="2613"/>
      <c r="S121" s="2613"/>
      <c r="T121" s="2613"/>
      <c r="U121" s="2613"/>
      <c r="V121" s="2613"/>
      <c r="W121" s="2613"/>
      <c r="X121" s="2613"/>
      <c r="Y121" s="2613"/>
      <c r="Z121" s="2613"/>
      <c r="AA121" s="2613"/>
      <c r="AB121" s="2613"/>
      <c r="AC121" s="2613"/>
      <c r="AD121" s="2613"/>
      <c r="AE121" s="2613"/>
      <c r="AF121" s="2613"/>
      <c r="AG121" s="2613"/>
      <c r="AH121" s="2613"/>
      <c r="AI121" s="2613"/>
      <c r="AJ121" s="2614"/>
      <c r="AK121" s="540"/>
      <c r="AL121" s="540"/>
      <c r="AM121" s="540"/>
      <c r="AN121" s="535"/>
      <c r="AO121" s="536" t="str">
        <f>Application!B727</f>
        <v>3 Bedrooms</v>
      </c>
      <c r="AQ121" s="536">
        <f>Application!O727</f>
        <v>2033</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12"/>
      <c r="F122" s="2613"/>
      <c r="G122" s="2613"/>
      <c r="H122" s="2613"/>
      <c r="I122" s="2613"/>
      <c r="J122" s="2613"/>
      <c r="K122" s="2613"/>
      <c r="L122" s="2613"/>
      <c r="M122" s="2613"/>
      <c r="N122" s="2613"/>
      <c r="O122" s="2613"/>
      <c r="P122" s="2613"/>
      <c r="Q122" s="2613"/>
      <c r="R122" s="2613"/>
      <c r="S122" s="2613"/>
      <c r="T122" s="2613"/>
      <c r="U122" s="2613"/>
      <c r="V122" s="2613"/>
      <c r="W122" s="2613"/>
      <c r="X122" s="2613"/>
      <c r="Y122" s="2613"/>
      <c r="Z122" s="2613"/>
      <c r="AA122" s="2613"/>
      <c r="AB122" s="2613"/>
      <c r="AC122" s="2613"/>
      <c r="AD122" s="2613"/>
      <c r="AE122" s="2613"/>
      <c r="AF122" s="2613"/>
      <c r="AG122" s="2613"/>
      <c r="AH122" s="2613"/>
      <c r="AI122" s="2613"/>
      <c r="AJ122" s="2614"/>
      <c r="AK122" s="540"/>
      <c r="AL122" s="540"/>
      <c r="AM122" s="540"/>
      <c r="AN122" s="535"/>
      <c r="AO122" s="536" t="str">
        <f>Application!B728</f>
        <v>3 Bedrooms</v>
      </c>
      <c r="AQ122" s="536">
        <f>Application!O728</f>
        <v>2448</v>
      </c>
      <c r="AV122" s="536">
        <f>SUM(AV116:AV121)</f>
        <v>130</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3 Bedrooms</v>
      </c>
      <c r="AQ123" s="536">
        <f>Application!O729</f>
        <v>3096</v>
      </c>
    </row>
    <row r="124" spans="1:52" s="536" customFormat="1" ht="12.75" customHeight="1">
      <c r="A124" s="540"/>
      <c r="B124" s="539"/>
      <c r="C124" s="540"/>
      <c r="D124" s="540"/>
      <c r="E124" s="2605" t="s">
        <v>1588</v>
      </c>
      <c r="F124" s="2606"/>
      <c r="G124" s="2606"/>
      <c r="H124" s="2606"/>
      <c r="I124" s="577"/>
      <c r="J124" s="2606" t="s">
        <v>1631</v>
      </c>
      <c r="K124" s="2606"/>
      <c r="L124" s="2606"/>
      <c r="M124" s="2606"/>
      <c r="N124" s="577"/>
      <c r="O124" s="2606" t="s">
        <v>1632</v>
      </c>
      <c r="P124" s="2606"/>
      <c r="Q124" s="2606"/>
      <c r="R124" s="2606"/>
      <c r="S124" s="577"/>
      <c r="T124" s="2606" t="s">
        <v>1334</v>
      </c>
      <c r="U124" s="2606"/>
      <c r="V124" s="2606"/>
      <c r="W124" s="2606"/>
      <c r="X124" s="577"/>
      <c r="Y124" s="2606" t="s">
        <v>1633</v>
      </c>
      <c r="Z124" s="2606"/>
      <c r="AA124" s="2606"/>
      <c r="AB124" s="2606"/>
      <c r="AC124" s="577"/>
      <c r="AD124" s="2606" t="s">
        <v>1634</v>
      </c>
      <c r="AE124" s="2606"/>
      <c r="AF124" s="2606"/>
      <c r="AG124" s="2606"/>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7"/>
      <c r="F127" s="2608"/>
      <c r="G127" s="2608"/>
      <c r="H127" s="2608"/>
      <c r="I127" s="864"/>
      <c r="J127" s="2608">
        <v>2807</v>
      </c>
      <c r="K127" s="2608"/>
      <c r="L127" s="2608"/>
      <c r="M127" s="2608"/>
      <c r="N127" s="864"/>
      <c r="O127" s="2608">
        <v>2991</v>
      </c>
      <c r="P127" s="2608"/>
      <c r="Q127" s="2608"/>
      <c r="R127" s="2608"/>
      <c r="S127" s="864"/>
      <c r="T127" s="2608">
        <v>3438</v>
      </c>
      <c r="U127" s="2608"/>
      <c r="V127" s="2608"/>
      <c r="W127" s="2608"/>
      <c r="X127" s="864"/>
      <c r="Y127" s="2608"/>
      <c r="Z127" s="2608"/>
      <c r="AA127" s="2608"/>
      <c r="AB127" s="2608"/>
      <c r="AC127" s="864"/>
      <c r="AD127" s="2608"/>
      <c r="AE127" s="2608"/>
      <c r="AF127" s="2608"/>
      <c r="AG127" s="2608"/>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5">
        <f>Application!DX670</f>
        <v>0</v>
      </c>
      <c r="F130" s="2616"/>
      <c r="G130" s="2616"/>
      <c r="H130" s="2616"/>
      <c r="I130" s="864"/>
      <c r="J130" s="2616">
        <f>Application!EC670</f>
        <v>1880.7391304347825</v>
      </c>
      <c r="K130" s="2616"/>
      <c r="L130" s="2616"/>
      <c r="M130" s="2616"/>
      <c r="N130" s="864"/>
      <c r="O130" s="2616">
        <f>Application!EH670</f>
        <v>2018.3809523809523</v>
      </c>
      <c r="P130" s="2616"/>
      <c r="Q130" s="2616"/>
      <c r="R130" s="2616"/>
      <c r="S130" s="868"/>
      <c r="T130" s="2616">
        <f>Application!EM670</f>
        <v>2208</v>
      </c>
      <c r="U130" s="2616"/>
      <c r="V130" s="2616"/>
      <c r="W130" s="2616"/>
      <c r="X130" s="868"/>
      <c r="Y130" s="2616">
        <f>Application!ER670</f>
        <v>0</v>
      </c>
      <c r="Z130" s="2616"/>
      <c r="AA130" s="2616"/>
      <c r="AB130" s="2616"/>
      <c r="AC130" s="868"/>
      <c r="AD130" s="2616">
        <f>Application!EW670</f>
        <v>0</v>
      </c>
      <c r="AE130" s="2616"/>
      <c r="AF130" s="2616"/>
      <c r="AG130" s="2616"/>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10" t="e">
        <f>(E127-E130)/E127</f>
        <v>#DIV/0!</v>
      </c>
      <c r="F133" s="2411"/>
      <c r="G133" s="2411"/>
      <c r="H133" s="2412"/>
      <c r="I133" s="577"/>
      <c r="J133" s="2410">
        <f>(J127-J130)/J127</f>
        <v>0.32998249717321604</v>
      </c>
      <c r="K133" s="2411"/>
      <c r="L133" s="2411"/>
      <c r="M133" s="2412"/>
      <c r="N133" s="577"/>
      <c r="O133" s="2410">
        <f>(O127-O130)/O127</f>
        <v>0.32518189489102228</v>
      </c>
      <c r="P133" s="2411"/>
      <c r="Q133" s="2411"/>
      <c r="R133" s="2412"/>
      <c r="S133" s="577"/>
      <c r="T133" s="2410">
        <f>(T127-T130)/T127</f>
        <v>0.35776614310645727</v>
      </c>
      <c r="U133" s="2411"/>
      <c r="V133" s="2411"/>
      <c r="W133" s="2412"/>
      <c r="X133" s="577"/>
      <c r="Y133" s="2410" t="e">
        <f>(Y127-Y130)/Y127</f>
        <v>#DIV/0!</v>
      </c>
      <c r="Z133" s="2411"/>
      <c r="AA133" s="2411"/>
      <c r="AB133" s="2412"/>
      <c r="AC133" s="577"/>
      <c r="AD133" s="2410" t="e">
        <f>(AD127-AD130)/AD127</f>
        <v>#DIV/0!</v>
      </c>
      <c r="AE133" s="2411"/>
      <c r="AF133" s="2411"/>
      <c r="AG133" s="2412"/>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8" t="e">
        <f>IF(((E133-0.1)*AW116)&gt;0,((E133-0.1)*AW116),0)</f>
        <v>#DIV/0!</v>
      </c>
      <c r="F136" s="2619"/>
      <c r="G136" s="2619"/>
      <c r="H136" s="2620"/>
      <c r="I136" s="577"/>
      <c r="J136" s="2618">
        <f>IF(((J133-0.1)*AW117)&gt;0,((J133-0.1)*AW117),0)</f>
        <v>8.1378422076676449E-2</v>
      </c>
      <c r="K136" s="2619"/>
      <c r="L136" s="2619"/>
      <c r="M136" s="2620"/>
      <c r="N136" s="577"/>
      <c r="O136" s="2618">
        <f>IF(((O133-0.1)*AW118)&gt;0,((O133-0.1)*AW118),0)</f>
        <v>7.2751073734022592E-2</v>
      </c>
      <c r="P136" s="2619"/>
      <c r="Q136" s="2619"/>
      <c r="R136" s="2620"/>
      <c r="S136" s="577"/>
      <c r="T136" s="2618">
        <f>IF(((T133-0.1)*AW119)&gt;0,((T133-0.1)*AW119),0)</f>
        <v>8.3278292388240055E-2</v>
      </c>
      <c r="U136" s="2619"/>
      <c r="V136" s="2619"/>
      <c r="W136" s="2620"/>
      <c r="X136" s="577"/>
      <c r="Y136" s="2618" t="e">
        <f>IF(((Y133-0.1)*AW120)&gt;0,((Y133-0.1)*AW120),0)</f>
        <v>#DIV/0!</v>
      </c>
      <c r="Z136" s="2619"/>
      <c r="AA136" s="2619"/>
      <c r="AB136" s="2620"/>
      <c r="AC136" s="577"/>
      <c r="AD136" s="2618" t="e">
        <f>IF(((AD133-0.1)*AW121)&gt;0,((AD133-0.1)*AW121),0)</f>
        <v>#DIV/0!</v>
      </c>
      <c r="AE136" s="2619"/>
      <c r="AF136" s="2619"/>
      <c r="AG136" s="2620"/>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10">
        <f>ROUNDDOWN(SUMIF(E136:AG136,"&gt;0"),2)</f>
        <v>0.23</v>
      </c>
      <c r="F138" s="2411"/>
      <c r="G138" s="2411"/>
      <c r="H138" s="2412"/>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90">
        <f>IF((E138*100)&gt;10,10,E138*100)</f>
        <v>10</v>
      </c>
      <c r="F139" s="2591"/>
      <c r="G139" s="2591"/>
      <c r="H139" s="2592"/>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590">
        <f>E139</f>
        <v>10</v>
      </c>
      <c r="AL143" s="2591"/>
      <c r="AM143" s="2592"/>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64" t="s">
        <v>1314</v>
      </c>
      <c r="AF146" s="2464"/>
      <c r="AG146" s="2464"/>
      <c r="AH146" s="2464"/>
      <c r="AI146" s="2464"/>
      <c r="AJ146" s="2464"/>
      <c r="AK146" s="2464"/>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4" t="s">
        <v>1338</v>
      </c>
      <c r="AG148" s="2524"/>
      <c r="AH148" s="2524"/>
      <c r="AI148" s="2524"/>
      <c r="AJ148" s="2524"/>
      <c r="AK148" s="2524"/>
      <c r="AL148" s="2524"/>
      <c r="AM148" s="539"/>
      <c r="AN148" s="535"/>
    </row>
    <row r="149" spans="1:42" s="536" customFormat="1" ht="12.75" customHeight="1">
      <c r="A149" s="538"/>
      <c r="B149" s="538" t="s">
        <v>531</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4" t="s">
        <v>2637</v>
      </c>
      <c r="C150" s="2594"/>
      <c r="D150" s="2594"/>
      <c r="E150" s="2594"/>
      <c r="F150" s="2594"/>
      <c r="G150" s="2594"/>
      <c r="H150" s="2594"/>
      <c r="I150" s="2594"/>
      <c r="J150" s="2594"/>
      <c r="K150" s="2594"/>
      <c r="L150" s="2594"/>
      <c r="M150" s="2594"/>
      <c r="N150" s="2594"/>
      <c r="O150" s="2594"/>
      <c r="P150" s="2594"/>
      <c r="Q150" s="2594"/>
      <c r="R150" s="2594"/>
      <c r="S150" s="2594"/>
      <c r="T150" s="2594"/>
      <c r="U150" s="2594"/>
      <c r="V150" s="2594"/>
      <c r="W150" s="2594"/>
      <c r="X150" s="2594"/>
      <c r="Y150" s="2594"/>
      <c r="Z150" s="2594"/>
      <c r="AA150" s="2594"/>
      <c r="AB150" s="2594"/>
      <c r="AC150" s="2594"/>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595" t="s">
        <v>1341</v>
      </c>
      <c r="C153" s="2595"/>
      <c r="D153" s="2595"/>
      <c r="E153" s="2595"/>
      <c r="F153" s="2595"/>
      <c r="G153" s="2595"/>
      <c r="H153" s="2595"/>
      <c r="I153" s="2595"/>
      <c r="J153" s="2595"/>
      <c r="K153" s="2595"/>
      <c r="L153" s="2595"/>
      <c r="M153" s="2595"/>
      <c r="N153" s="2595"/>
      <c r="O153" s="2595"/>
      <c r="P153" s="2595"/>
      <c r="Q153" s="2595"/>
      <c r="R153" s="2595"/>
      <c r="S153" s="2595"/>
      <c r="T153" s="2595"/>
      <c r="U153" s="2595"/>
      <c r="V153" s="2595"/>
      <c r="W153" s="2595"/>
      <c r="X153" s="2595"/>
      <c r="Y153" s="2595"/>
      <c r="Z153" s="2595"/>
      <c r="AA153" s="2595"/>
      <c r="AB153" s="2595"/>
      <c r="AC153" s="2595"/>
      <c r="AD153" s="2595"/>
      <c r="AE153" s="2595"/>
      <c r="AF153" s="2595"/>
      <c r="AG153" s="2595"/>
      <c r="AH153" s="2595"/>
      <c r="AI153" s="2595"/>
      <c r="AM153" s="539"/>
      <c r="AN153" s="535"/>
      <c r="AO153" s="476" t="s">
        <v>1341</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2252</v>
      </c>
      <c r="AP154" s="489">
        <v>7</v>
      </c>
    </row>
    <row r="155" spans="1:42" s="536" customFormat="1" ht="12.75" customHeight="1">
      <c r="A155" s="538"/>
      <c r="B155" s="539" t="s">
        <v>1342</v>
      </c>
      <c r="AB155" s="2396" t="s">
        <v>590</v>
      </c>
      <c r="AC155" s="2396"/>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595" t="s">
        <v>1343</v>
      </c>
      <c r="C158" s="2595"/>
      <c r="D158" s="2595"/>
      <c r="E158" s="2595"/>
      <c r="F158" s="2595"/>
      <c r="G158" s="2595"/>
      <c r="H158" s="2595"/>
      <c r="I158" s="2595"/>
      <c r="J158" s="2595"/>
      <c r="K158" s="2595"/>
      <c r="L158" s="2595"/>
      <c r="M158" s="2595"/>
      <c r="N158" s="2595"/>
      <c r="O158" s="2595"/>
      <c r="P158" s="2595"/>
      <c r="Q158" s="2595"/>
      <c r="R158" s="2595"/>
      <c r="S158" s="2595"/>
      <c r="T158" s="2595"/>
      <c r="U158" s="2595"/>
      <c r="V158" s="2595"/>
      <c r="W158" s="2595"/>
      <c r="X158" s="2595"/>
      <c r="Y158" s="2595"/>
      <c r="Z158" s="2595"/>
      <c r="AA158" s="2595"/>
      <c r="AB158" s="2595"/>
      <c r="AC158" s="2595"/>
      <c r="AD158" s="2595"/>
      <c r="AE158" s="2595"/>
      <c r="AF158" s="2595"/>
      <c r="AG158" s="2595"/>
      <c r="AH158" s="2595"/>
      <c r="AI158" s="2595"/>
      <c r="AJ158" s="2595"/>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3" t="s">
        <v>2475</v>
      </c>
      <c r="C161" s="2393"/>
      <c r="D161" s="2393"/>
      <c r="E161" s="2393"/>
      <c r="F161" s="2393"/>
      <c r="G161" s="2393"/>
      <c r="H161" s="2393"/>
      <c r="I161" s="2393"/>
      <c r="J161" s="2393"/>
      <c r="K161" s="2393"/>
      <c r="L161" s="2393"/>
      <c r="M161" s="2393"/>
      <c r="N161" s="2393"/>
      <c r="O161" s="2393"/>
      <c r="P161" s="2393"/>
      <c r="Q161" s="2393"/>
      <c r="R161" s="2393"/>
      <c r="S161" s="2393"/>
      <c r="T161" s="2393"/>
      <c r="U161" s="2393"/>
      <c r="V161" s="2393"/>
      <c r="W161" s="2393"/>
      <c r="X161" s="2393"/>
      <c r="Y161" s="2393"/>
      <c r="Z161" s="2393"/>
      <c r="AA161" s="2393"/>
      <c r="AB161" s="2393"/>
      <c r="AC161" s="2393"/>
      <c r="AD161" s="2393"/>
      <c r="AE161" s="2393"/>
      <c r="AF161" s="2393"/>
      <c r="AG161" s="2393"/>
      <c r="AH161" s="2393"/>
      <c r="AI161" s="2393"/>
      <c r="AJ161" s="2393"/>
      <c r="AK161" s="1180"/>
      <c r="AM161" s="539"/>
      <c r="AN161" s="535"/>
      <c r="AO161" s="476"/>
      <c r="AP161" s="489"/>
    </row>
    <row r="162" spans="1:42" s="536" customFormat="1" ht="12.75" customHeight="1">
      <c r="B162" s="2393"/>
      <c r="C162" s="2393"/>
      <c r="D162" s="2393"/>
      <c r="E162" s="2393"/>
      <c r="F162" s="2393"/>
      <c r="G162" s="2393"/>
      <c r="H162" s="2393"/>
      <c r="I162" s="2393"/>
      <c r="J162" s="2393"/>
      <c r="K162" s="2393"/>
      <c r="L162" s="2393"/>
      <c r="M162" s="2393"/>
      <c r="N162" s="2393"/>
      <c r="O162" s="2393"/>
      <c r="P162" s="2393"/>
      <c r="Q162" s="2393"/>
      <c r="R162" s="2393"/>
      <c r="S162" s="2393"/>
      <c r="T162" s="2393"/>
      <c r="U162" s="2393"/>
      <c r="V162" s="2393"/>
      <c r="W162" s="2393"/>
      <c r="X162" s="2393"/>
      <c r="Y162" s="2393"/>
      <c r="Z162" s="2393"/>
      <c r="AA162" s="2393"/>
      <c r="AB162" s="2393"/>
      <c r="AC162" s="2393"/>
      <c r="AD162" s="2393"/>
      <c r="AE162" s="2393"/>
      <c r="AF162" s="2393"/>
      <c r="AG162" s="2393"/>
      <c r="AH162" s="2393"/>
      <c r="AI162" s="2393"/>
      <c r="AJ162" s="2393"/>
      <c r="AK162" s="1180"/>
      <c r="AM162" s="539"/>
      <c r="AN162" s="535"/>
      <c r="AO162" s="476"/>
      <c r="AP162" s="489"/>
    </row>
    <row r="163" spans="1:42" s="536" customFormat="1" ht="12.75" customHeight="1">
      <c r="C163" s="2394" t="s">
        <v>2476</v>
      </c>
      <c r="D163" s="2394"/>
      <c r="E163" s="2394"/>
      <c r="F163" s="2394"/>
      <c r="G163" s="2394"/>
      <c r="H163" s="2394"/>
      <c r="I163" s="2394"/>
      <c r="J163" s="2394"/>
      <c r="K163" s="2394"/>
      <c r="L163" s="2394"/>
      <c r="M163" s="2394"/>
      <c r="N163" s="2394"/>
      <c r="O163" s="2394"/>
      <c r="P163" s="2394"/>
      <c r="Q163" s="2394"/>
      <c r="R163" s="2394"/>
      <c r="S163" s="2394"/>
      <c r="T163" s="2394"/>
      <c r="U163" s="2394"/>
      <c r="V163" s="2394"/>
      <c r="W163" s="2394"/>
      <c r="X163" s="2394"/>
      <c r="Y163" s="2394"/>
      <c r="Z163" s="2394"/>
      <c r="AA163" s="2394"/>
      <c r="AB163" s="2394"/>
      <c r="AC163" s="2394"/>
      <c r="AD163" s="2394"/>
      <c r="AE163" s="2394"/>
      <c r="AF163" s="2394"/>
      <c r="AG163" s="2394"/>
      <c r="AH163" s="2394"/>
      <c r="AI163" s="2394"/>
      <c r="AJ163" s="2394"/>
      <c r="AK163" s="1180"/>
      <c r="AM163" s="539"/>
      <c r="AN163" s="535"/>
      <c r="AO163" s="476"/>
      <c r="AP163" s="489"/>
    </row>
    <row r="164" spans="1:42" s="536" customFormat="1" ht="12.75" customHeight="1">
      <c r="B164" s="1180"/>
      <c r="C164" s="2395" t="s">
        <v>2474</v>
      </c>
      <c r="D164" s="2395"/>
      <c r="E164" s="2395"/>
      <c r="F164" s="2395"/>
      <c r="G164" s="2395"/>
      <c r="H164" s="2395"/>
      <c r="I164" s="2395"/>
      <c r="J164" s="2395"/>
      <c r="K164" s="2395"/>
      <c r="L164" s="2395"/>
      <c r="M164" s="2395"/>
      <c r="N164" s="2395"/>
      <c r="O164" s="2395"/>
      <c r="P164" s="2395"/>
      <c r="Q164" s="2395"/>
      <c r="R164" s="2395"/>
      <c r="S164" s="2395"/>
      <c r="T164" s="2395"/>
      <c r="U164" s="2395"/>
      <c r="V164" s="2395"/>
      <c r="W164" s="2395"/>
      <c r="X164" s="2395"/>
      <c r="Y164" s="2395"/>
      <c r="Z164" s="2395"/>
      <c r="AA164" s="1170"/>
      <c r="AB164" s="1170"/>
      <c r="AC164" s="1170"/>
      <c r="AD164" s="1170"/>
      <c r="AE164" s="1170"/>
      <c r="AF164" s="1170"/>
      <c r="AG164" s="1170"/>
      <c r="AH164" s="1170"/>
      <c r="AJ164" s="2396" t="s">
        <v>544</v>
      </c>
      <c r="AK164" s="2396"/>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84">
        <f>IF($AB$155="N/A",VLOOKUP($B$153,$AO$151:$AP$154,2,FALSE),VLOOKUP($B$158,$AO$156:$AP$158,2,FALSE))</f>
        <v>7</v>
      </c>
      <c r="AK166" s="2484"/>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4" t="s">
        <v>1352</v>
      </c>
      <c r="AG168" s="2524"/>
      <c r="AH168" s="2524"/>
      <c r="AI168" s="2524"/>
      <c r="AJ168" s="2524"/>
      <c r="AK168" s="2524"/>
      <c r="AL168" s="2524"/>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5" t="s">
        <v>1350</v>
      </c>
      <c r="D170" s="2595"/>
      <c r="E170" s="2595"/>
      <c r="F170" s="2595"/>
      <c r="G170" s="2595"/>
      <c r="H170" s="2595"/>
      <c r="I170" s="2595"/>
      <c r="J170" s="2595"/>
      <c r="K170" s="2595"/>
      <c r="L170" s="2595"/>
      <c r="M170" s="2595"/>
      <c r="N170" s="2595"/>
      <c r="O170" s="2595"/>
      <c r="P170" s="2595"/>
      <c r="Q170" s="2595"/>
      <c r="R170" s="2595"/>
      <c r="S170" s="2595"/>
      <c r="T170" s="2595"/>
      <c r="U170" s="2595"/>
      <c r="V170" s="2595"/>
      <c r="W170" s="2595"/>
      <c r="X170" s="2595"/>
      <c r="Y170" s="2595"/>
      <c r="Z170" s="2595"/>
      <c r="AA170" s="2595"/>
      <c r="AB170" s="2595"/>
      <c r="AC170" s="2595"/>
      <c r="AD170" s="2595"/>
      <c r="AE170" s="2595"/>
      <c r="AF170" s="2595"/>
      <c r="AG170" s="2595"/>
      <c r="AH170" s="2595"/>
      <c r="AI170" s="2595"/>
      <c r="AJ170" s="536"/>
      <c r="AK170" s="536"/>
      <c r="AL170" s="536"/>
      <c r="AM170" s="603"/>
      <c r="AN170" s="597"/>
      <c r="AO170" s="476" t="s">
        <v>306</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6" t="s">
        <v>590</v>
      </c>
      <c r="AG172" s="2396"/>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595" t="s">
        <v>1343</v>
      </c>
      <c r="D174" s="2595"/>
      <c r="E174" s="2595"/>
      <c r="F174" s="2595"/>
      <c r="G174" s="2595"/>
      <c r="H174" s="2595"/>
      <c r="I174" s="2595"/>
      <c r="J174" s="2595"/>
      <c r="K174" s="2595"/>
      <c r="L174" s="2595"/>
      <c r="M174" s="2595"/>
      <c r="N174" s="2595"/>
      <c r="O174" s="2595"/>
      <c r="P174" s="2595"/>
      <c r="Q174" s="2595"/>
      <c r="R174" s="2595"/>
      <c r="S174" s="2595"/>
      <c r="T174" s="2595"/>
      <c r="U174" s="2595"/>
      <c r="V174" s="2595"/>
      <c r="W174" s="2595"/>
      <c r="X174" s="2595"/>
      <c r="Y174" s="2595"/>
      <c r="Z174" s="2595"/>
      <c r="AA174" s="2595"/>
      <c r="AB174" s="2595"/>
      <c r="AC174" s="2595"/>
      <c r="AD174" s="2595"/>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596" t="str">
        <f>Application!AA335</f>
        <v xml:space="preserve">CONAM Management Corporation </v>
      </c>
      <c r="D178" s="2596"/>
      <c r="E178" s="2596"/>
      <c r="F178" s="2596"/>
      <c r="G178" s="2596"/>
      <c r="H178" s="2596"/>
      <c r="I178" s="2596"/>
      <c r="J178" s="2596"/>
      <c r="K178" s="2596"/>
      <c r="L178" s="2596"/>
      <c r="M178" s="2596"/>
      <c r="N178" s="2596"/>
      <c r="O178" s="2596"/>
      <c r="P178" s="2596"/>
      <c r="Q178" s="2596"/>
      <c r="R178" s="2596"/>
      <c r="S178" s="2596"/>
      <c r="T178" s="2596"/>
      <c r="U178" s="2596"/>
      <c r="V178" s="2596"/>
      <c r="W178" s="2596"/>
      <c r="X178" s="2596"/>
      <c r="Y178" s="2596"/>
      <c r="Z178" s="2596"/>
      <c r="AA178" s="2596"/>
      <c r="AB178" s="2596"/>
      <c r="AC178" s="2596"/>
      <c r="AD178" s="2596"/>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83">
        <f>IF($AF$172="N/A",VLOOKUP($C$170,$AO$170:$AP$173,2,FALSE),VLOOKUP($C$174,$AO$177:$AP$179,2,FALSE))</f>
        <v>3</v>
      </c>
      <c r="AK180" s="2483"/>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590">
        <f>$AJ$166+$AJ$180</f>
        <v>10</v>
      </c>
      <c r="AL183" s="2591"/>
      <c r="AM183" s="2592"/>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4" t="s">
        <v>1314</v>
      </c>
      <c r="AF186" s="2464"/>
      <c r="AG186" s="2464"/>
      <c r="AH186" s="2464"/>
      <c r="AI186" s="2464"/>
      <c r="AJ186" s="2464"/>
      <c r="AK186" s="2464"/>
      <c r="AL186" s="591"/>
      <c r="AN186" s="597"/>
      <c r="AP186" s="550" t="s">
        <v>1040</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593" t="s">
        <v>1040</v>
      </c>
      <c r="C188" s="2593"/>
      <c r="D188" s="2593"/>
      <c r="E188" s="2593"/>
      <c r="F188" s="2593"/>
      <c r="G188" s="2593"/>
      <c r="H188" s="2593"/>
      <c r="I188" s="2593"/>
      <c r="J188" s="2593"/>
      <c r="K188" s="2593"/>
      <c r="L188" s="2593"/>
      <c r="M188" s="2593"/>
      <c r="N188" s="2593"/>
      <c r="O188" s="2593"/>
      <c r="P188" s="2593"/>
      <c r="Q188" s="2593"/>
      <c r="R188" s="2593"/>
      <c r="S188" s="2593"/>
      <c r="T188" s="2593"/>
      <c r="U188" s="2593"/>
      <c r="V188" s="2593"/>
      <c r="W188" s="2593"/>
      <c r="X188" s="2593"/>
      <c r="Y188" s="2593"/>
      <c r="Z188" s="2593"/>
      <c r="AA188" s="2593"/>
      <c r="AB188" s="2593"/>
      <c r="AC188" s="2593"/>
      <c r="AD188" s="536"/>
      <c r="AE188" s="536"/>
      <c r="AF188" s="2524" t="s">
        <v>1363</v>
      </c>
      <c r="AG188" s="2524"/>
      <c r="AH188" s="2524"/>
      <c r="AI188" s="2524"/>
      <c r="AJ188" s="2524"/>
      <c r="AK188" s="2524"/>
      <c r="AL188" s="2524"/>
      <c r="AN188" s="597"/>
      <c r="AP188" s="550" t="s">
        <v>1042</v>
      </c>
      <c r="AQ188" s="550">
        <v>10</v>
      </c>
    </row>
    <row r="189" spans="1:73" s="550" customFormat="1" ht="12.75" customHeight="1">
      <c r="A189" s="536"/>
      <c r="B189" s="2395" t="s">
        <v>1726</v>
      </c>
      <c r="C189" s="2395"/>
      <c r="D189" s="2395"/>
      <c r="E189" s="2395"/>
      <c r="F189" s="2395"/>
      <c r="G189" s="2395"/>
      <c r="H189" s="2395"/>
      <c r="I189" s="2395"/>
      <c r="J189" s="2395"/>
      <c r="K189" s="2395"/>
      <c r="L189" s="2395"/>
      <c r="M189" s="2395"/>
      <c r="N189" s="2395"/>
      <c r="O189" s="2395"/>
      <c r="P189" s="2395"/>
      <c r="Q189" s="2395"/>
      <c r="R189" s="2395"/>
      <c r="S189" s="2395"/>
      <c r="T189" s="2594" t="s">
        <v>590</v>
      </c>
      <c r="U189" s="2594"/>
      <c r="V189" s="2594"/>
      <c r="W189" s="2594"/>
      <c r="X189" s="2594"/>
      <c r="Y189" s="2594"/>
      <c r="Z189" s="2594"/>
      <c r="AA189" s="2594"/>
      <c r="AB189" s="2594"/>
      <c r="AC189" s="2594"/>
      <c r="AD189" s="536"/>
      <c r="AE189" s="536"/>
      <c r="AF189" s="536"/>
      <c r="AG189" s="536"/>
      <c r="AH189" s="536"/>
      <c r="AI189" s="536"/>
      <c r="AJ189" s="543"/>
      <c r="AK189" s="595"/>
      <c r="AL189" s="595"/>
      <c r="AM189" s="595"/>
      <c r="AN189" s="597"/>
      <c r="AP189" s="550" t="s">
        <v>1364</v>
      </c>
      <c r="AQ189" s="550">
        <v>10</v>
      </c>
      <c r="AS189" s="550" t="s">
        <v>590</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31">
        <f>IF(AK84&gt;0,VLOOKUP($B$188,AP185:AQ191,2,FALSE),0)</f>
        <v>10</v>
      </c>
      <c r="AL191" s="2432"/>
      <c r="AM191" s="2433"/>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4" t="s">
        <v>1372</v>
      </c>
      <c r="AF194" s="2464"/>
      <c r="AG194" s="2464"/>
      <c r="AH194" s="2464"/>
      <c r="AI194" s="2464"/>
      <c r="AJ194" s="2464"/>
      <c r="AK194" s="2464"/>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7" t="s">
        <v>2715</v>
      </c>
      <c r="C199" s="2587"/>
      <c r="D199" s="2587"/>
      <c r="E199" s="2587"/>
      <c r="F199" s="2587"/>
      <c r="G199" s="2587"/>
      <c r="H199" s="2587"/>
      <c r="I199" s="2587"/>
      <c r="J199" s="2587"/>
      <c r="K199" s="2587"/>
      <c r="L199" s="2587"/>
      <c r="M199" s="2587"/>
      <c r="N199" s="2587"/>
      <c r="O199" s="2587"/>
      <c r="P199" s="2587"/>
      <c r="Q199" s="2587"/>
      <c r="R199" s="2587"/>
      <c r="S199" s="2587"/>
      <c r="T199" s="2587"/>
      <c r="U199" s="2587"/>
      <c r="V199" s="2587"/>
      <c r="W199" s="2587"/>
      <c r="X199" s="2587"/>
      <c r="Y199" s="2587"/>
      <c r="Z199" s="2587"/>
      <c r="AA199" s="2587"/>
      <c r="AB199" s="2587"/>
      <c r="AC199" s="846"/>
      <c r="AD199" s="2577">
        <v>6000000</v>
      </c>
      <c r="AE199" s="2577"/>
      <c r="AF199" s="2577"/>
      <c r="AG199" s="2577"/>
      <c r="AH199" s="2577"/>
      <c r="AI199" s="2577"/>
      <c r="AJ199" s="2577"/>
      <c r="AK199" s="610"/>
    </row>
    <row r="200" spans="1:40">
      <c r="A200" s="605"/>
      <c r="B200" s="2587"/>
      <c r="C200" s="2587"/>
      <c r="D200" s="2587"/>
      <c r="E200" s="2587"/>
      <c r="F200" s="2587"/>
      <c r="G200" s="2587"/>
      <c r="H200" s="2587"/>
      <c r="I200" s="2587"/>
      <c r="J200" s="2587"/>
      <c r="K200" s="2587"/>
      <c r="L200" s="2587"/>
      <c r="M200" s="2587"/>
      <c r="N200" s="2587"/>
      <c r="O200" s="2587"/>
      <c r="P200" s="2587"/>
      <c r="Q200" s="2587"/>
      <c r="R200" s="2587"/>
      <c r="S200" s="2587"/>
      <c r="T200" s="2587"/>
      <c r="U200" s="2587"/>
      <c r="V200" s="2587"/>
      <c r="W200" s="2587"/>
      <c r="X200" s="2587"/>
      <c r="Y200" s="2587"/>
      <c r="Z200" s="2587"/>
      <c r="AA200" s="2587"/>
      <c r="AB200" s="2587"/>
      <c r="AC200" s="846"/>
      <c r="AD200" s="2577"/>
      <c r="AE200" s="2577"/>
      <c r="AF200" s="2577"/>
      <c r="AG200" s="2577"/>
      <c r="AH200" s="2577"/>
      <c r="AI200" s="2577"/>
      <c r="AJ200" s="2577"/>
      <c r="AK200" s="610"/>
    </row>
    <row r="201" spans="1:40">
      <c r="A201" s="605"/>
      <c r="B201" s="2587"/>
      <c r="C201" s="2587"/>
      <c r="D201" s="2587"/>
      <c r="E201" s="2587"/>
      <c r="F201" s="2587"/>
      <c r="G201" s="2587"/>
      <c r="H201" s="2587"/>
      <c r="I201" s="2587"/>
      <c r="J201" s="2587"/>
      <c r="K201" s="2587"/>
      <c r="L201" s="2587"/>
      <c r="M201" s="2587"/>
      <c r="N201" s="2587"/>
      <c r="O201" s="2587"/>
      <c r="P201" s="2587"/>
      <c r="Q201" s="2587"/>
      <c r="R201" s="2587"/>
      <c r="S201" s="2587"/>
      <c r="T201" s="2587"/>
      <c r="U201" s="2587"/>
      <c r="V201" s="2587"/>
      <c r="W201" s="2587"/>
      <c r="X201" s="2587"/>
      <c r="Y201" s="2587"/>
      <c r="Z201" s="2587"/>
      <c r="AA201" s="2587"/>
      <c r="AB201" s="2587"/>
      <c r="AC201" s="846"/>
      <c r="AD201" s="2577"/>
      <c r="AE201" s="2577"/>
      <c r="AF201" s="2577"/>
      <c r="AG201" s="2577"/>
      <c r="AH201" s="2577"/>
      <c r="AI201" s="2577"/>
      <c r="AJ201" s="2577"/>
      <c r="AK201" s="610"/>
    </row>
    <row r="202" spans="1:40">
      <c r="A202" s="605"/>
      <c r="B202" s="2587"/>
      <c r="C202" s="2587"/>
      <c r="D202" s="2587"/>
      <c r="E202" s="2587"/>
      <c r="F202" s="2587"/>
      <c r="G202" s="2587"/>
      <c r="H202" s="2587"/>
      <c r="I202" s="2587"/>
      <c r="J202" s="2587"/>
      <c r="K202" s="2587"/>
      <c r="L202" s="2587"/>
      <c r="M202" s="2587"/>
      <c r="N202" s="2587"/>
      <c r="O202" s="2587"/>
      <c r="P202" s="2587"/>
      <c r="Q202" s="2587"/>
      <c r="R202" s="2587"/>
      <c r="S202" s="2587"/>
      <c r="T202" s="2587"/>
      <c r="U202" s="2587"/>
      <c r="V202" s="2587"/>
      <c r="W202" s="2587"/>
      <c r="X202" s="2587"/>
      <c r="Y202" s="2587"/>
      <c r="Z202" s="2587"/>
      <c r="AA202" s="2587"/>
      <c r="AB202" s="2587"/>
      <c r="AC202" s="846"/>
      <c r="AD202" s="2577"/>
      <c r="AE202" s="2577"/>
      <c r="AF202" s="2577"/>
      <c r="AG202" s="2577"/>
      <c r="AH202" s="2577"/>
      <c r="AI202" s="2577"/>
      <c r="AJ202" s="2577"/>
      <c r="AK202" s="610"/>
    </row>
    <row r="203" spans="1:40">
      <c r="A203" s="605"/>
      <c r="B203" s="2587"/>
      <c r="C203" s="2587"/>
      <c r="D203" s="2587"/>
      <c r="E203" s="2587"/>
      <c r="F203" s="2587"/>
      <c r="G203" s="2587"/>
      <c r="H203" s="2587"/>
      <c r="I203" s="2587"/>
      <c r="J203" s="2587"/>
      <c r="K203" s="2587"/>
      <c r="L203" s="2587"/>
      <c r="M203" s="2587"/>
      <c r="N203" s="2587"/>
      <c r="O203" s="2587"/>
      <c r="P203" s="2587"/>
      <c r="Q203" s="2587"/>
      <c r="R203" s="2587"/>
      <c r="S203" s="2587"/>
      <c r="T203" s="2587"/>
      <c r="U203" s="2587"/>
      <c r="V203" s="2587"/>
      <c r="W203" s="2587"/>
      <c r="X203" s="2587"/>
      <c r="Y203" s="2587"/>
      <c r="Z203" s="2587"/>
      <c r="AA203" s="2587"/>
      <c r="AB203" s="2587"/>
      <c r="AC203" s="846"/>
      <c r="AD203" s="2577"/>
      <c r="AE203" s="2577"/>
      <c r="AF203" s="2577"/>
      <c r="AG203" s="2577"/>
      <c r="AH203" s="2577"/>
      <c r="AI203" s="2577"/>
      <c r="AJ203" s="2577"/>
      <c r="AK203" s="610"/>
    </row>
    <row r="204" spans="1:40">
      <c r="A204" s="605"/>
      <c r="B204" s="2587"/>
      <c r="C204" s="2587"/>
      <c r="D204" s="2587"/>
      <c r="E204" s="2587"/>
      <c r="F204" s="2587"/>
      <c r="G204" s="2587"/>
      <c r="H204" s="2587"/>
      <c r="I204" s="2587"/>
      <c r="J204" s="2587"/>
      <c r="K204" s="2587"/>
      <c r="L204" s="2587"/>
      <c r="M204" s="2587"/>
      <c r="N204" s="2587"/>
      <c r="O204" s="2587"/>
      <c r="P204" s="2587"/>
      <c r="Q204" s="2587"/>
      <c r="R204" s="2587"/>
      <c r="S204" s="2587"/>
      <c r="T204" s="2587"/>
      <c r="U204" s="2587"/>
      <c r="V204" s="2587"/>
      <c r="W204" s="2587"/>
      <c r="X204" s="2587"/>
      <c r="Y204" s="2587"/>
      <c r="Z204" s="2587"/>
      <c r="AA204" s="2587"/>
      <c r="AB204" s="2587"/>
      <c r="AC204" s="846"/>
      <c r="AD204" s="2577"/>
      <c r="AE204" s="2577"/>
      <c r="AF204" s="2577"/>
      <c r="AG204" s="2577"/>
      <c r="AH204" s="2577"/>
      <c r="AI204" s="2577"/>
      <c r="AJ204" s="2577"/>
      <c r="AK204" s="610"/>
    </row>
    <row r="205" spans="1:40">
      <c r="A205" s="605"/>
      <c r="B205" s="2587"/>
      <c r="C205" s="2587"/>
      <c r="D205" s="2587"/>
      <c r="E205" s="2587"/>
      <c r="F205" s="2587"/>
      <c r="G205" s="2587"/>
      <c r="H205" s="2587"/>
      <c r="I205" s="2587"/>
      <c r="J205" s="2587"/>
      <c r="K205" s="2587"/>
      <c r="L205" s="2587"/>
      <c r="M205" s="2587"/>
      <c r="N205" s="2587"/>
      <c r="O205" s="2587"/>
      <c r="P205" s="2587"/>
      <c r="Q205" s="2587"/>
      <c r="R205" s="2587"/>
      <c r="S205" s="2587"/>
      <c r="T205" s="2587"/>
      <c r="U205" s="2587"/>
      <c r="V205" s="2587"/>
      <c r="W205" s="2587"/>
      <c r="X205" s="2587"/>
      <c r="Y205" s="2587"/>
      <c r="Z205" s="2587"/>
      <c r="AA205" s="2587"/>
      <c r="AB205" s="2587"/>
      <c r="AC205" s="846"/>
      <c r="AD205" s="2577"/>
      <c r="AE205" s="2577"/>
      <c r="AF205" s="2577"/>
      <c r="AG205" s="2577"/>
      <c r="AH205" s="2577"/>
      <c r="AI205" s="2577"/>
      <c r="AJ205" s="2577"/>
      <c r="AK205" s="610"/>
    </row>
    <row r="206" spans="1:40">
      <c r="A206" s="605"/>
      <c r="B206" s="2587"/>
      <c r="C206" s="2587"/>
      <c r="D206" s="2587"/>
      <c r="E206" s="2587"/>
      <c r="F206" s="2587"/>
      <c r="G206" s="2587"/>
      <c r="H206" s="2587"/>
      <c r="I206" s="2587"/>
      <c r="J206" s="2587"/>
      <c r="K206" s="2587"/>
      <c r="L206" s="2587"/>
      <c r="M206" s="2587"/>
      <c r="N206" s="2587"/>
      <c r="O206" s="2587"/>
      <c r="P206" s="2587"/>
      <c r="Q206" s="2587"/>
      <c r="R206" s="2587"/>
      <c r="S206" s="2587"/>
      <c r="T206" s="2587"/>
      <c r="U206" s="2587"/>
      <c r="V206" s="2587"/>
      <c r="W206" s="2587"/>
      <c r="X206" s="2587"/>
      <c r="Y206" s="2587"/>
      <c r="Z206" s="2587"/>
      <c r="AA206" s="2587"/>
      <c r="AB206" s="2587"/>
      <c r="AC206" s="846"/>
      <c r="AD206" s="2577"/>
      <c r="AE206" s="2577"/>
      <c r="AF206" s="2577"/>
      <c r="AG206" s="2577"/>
      <c r="AH206" s="2577"/>
      <c r="AI206" s="2577"/>
      <c r="AJ206" s="2577"/>
      <c r="AK206" s="610"/>
    </row>
    <row r="207" spans="1:40">
      <c r="A207" s="605"/>
      <c r="B207" s="2587"/>
      <c r="C207" s="2587"/>
      <c r="D207" s="2587"/>
      <c r="E207" s="2587"/>
      <c r="F207" s="2587"/>
      <c r="G207" s="2587"/>
      <c r="H207" s="2587"/>
      <c r="I207" s="2587"/>
      <c r="J207" s="2587"/>
      <c r="K207" s="2587"/>
      <c r="L207" s="2587"/>
      <c r="M207" s="2587"/>
      <c r="N207" s="2587"/>
      <c r="O207" s="2587"/>
      <c r="P207" s="2587"/>
      <c r="Q207" s="2587"/>
      <c r="R207" s="2587"/>
      <c r="S207" s="2587"/>
      <c r="T207" s="2587"/>
      <c r="U207" s="2587"/>
      <c r="V207" s="2587"/>
      <c r="W207" s="2587"/>
      <c r="X207" s="2587"/>
      <c r="Y207" s="2587"/>
      <c r="Z207" s="2587"/>
      <c r="AA207" s="2587"/>
      <c r="AB207" s="2587"/>
      <c r="AC207" s="846"/>
      <c r="AD207" s="2577"/>
      <c r="AE207" s="2577"/>
      <c r="AF207" s="2577"/>
      <c r="AG207" s="2577"/>
      <c r="AH207" s="2577"/>
      <c r="AI207" s="2577"/>
      <c r="AJ207" s="2577"/>
      <c r="AK207" s="610"/>
    </row>
    <row r="208" spans="1:40">
      <c r="A208" s="605"/>
      <c r="B208" s="2587"/>
      <c r="C208" s="2587"/>
      <c r="D208" s="2587"/>
      <c r="E208" s="2587"/>
      <c r="F208" s="2587"/>
      <c r="G208" s="2587"/>
      <c r="H208" s="2587"/>
      <c r="I208" s="2587"/>
      <c r="J208" s="2587"/>
      <c r="K208" s="2587"/>
      <c r="L208" s="2587"/>
      <c r="M208" s="2587"/>
      <c r="N208" s="2587"/>
      <c r="O208" s="2587"/>
      <c r="P208" s="2587"/>
      <c r="Q208" s="2587"/>
      <c r="R208" s="2587"/>
      <c r="S208" s="2587"/>
      <c r="T208" s="2587"/>
      <c r="U208" s="2587"/>
      <c r="V208" s="2587"/>
      <c r="W208" s="2587"/>
      <c r="X208" s="2587"/>
      <c r="Y208" s="2587"/>
      <c r="Z208" s="2587"/>
      <c r="AA208" s="2587"/>
      <c r="AB208" s="2587"/>
      <c r="AC208" s="846"/>
      <c r="AD208" s="2577"/>
      <c r="AE208" s="2577"/>
      <c r="AF208" s="2577"/>
      <c r="AG208" s="2577"/>
      <c r="AH208" s="2577"/>
      <c r="AI208" s="2577"/>
      <c r="AJ208" s="2577"/>
      <c r="AK208" s="610"/>
    </row>
    <row r="209" spans="1:37">
      <c r="A209" s="605"/>
      <c r="B209" s="2602" t="s">
        <v>1627</v>
      </c>
      <c r="C209" s="2602"/>
      <c r="D209" s="2602"/>
      <c r="E209" s="2602"/>
      <c r="F209" s="2602"/>
      <c r="G209" s="2602"/>
      <c r="H209" s="2602"/>
      <c r="I209" s="2602"/>
      <c r="J209" s="2602"/>
      <c r="K209" s="2602"/>
      <c r="L209" s="2602"/>
      <c r="M209" s="2602"/>
      <c r="N209" s="2602"/>
      <c r="O209" s="2602"/>
      <c r="P209" s="2602"/>
      <c r="Q209" s="2602"/>
      <c r="R209" s="2602"/>
      <c r="S209" s="2602"/>
      <c r="T209" s="2602"/>
      <c r="U209" s="2602"/>
      <c r="V209" s="2602"/>
      <c r="W209" s="2602"/>
      <c r="X209" s="2602"/>
      <c r="Y209" s="2602"/>
      <c r="Z209" s="2602"/>
      <c r="AA209" s="2602"/>
      <c r="AB209" s="2602"/>
      <c r="AC209" s="536"/>
      <c r="AD209" s="2575">
        <f>AB260</f>
        <v>0</v>
      </c>
      <c r="AE209" s="2575"/>
      <c r="AF209" s="2575"/>
      <c r="AG209" s="2575"/>
      <c r="AH209" s="2575"/>
      <c r="AI209" s="2575"/>
      <c r="AJ209" s="2575"/>
      <c r="AK209" s="610"/>
    </row>
    <row r="210" spans="1:37">
      <c r="A210" s="605"/>
      <c r="B210" s="2449" t="s">
        <v>1590</v>
      </c>
      <c r="C210" s="2449"/>
      <c r="D210" s="2449"/>
      <c r="E210" s="2449"/>
      <c r="F210" s="2449"/>
      <c r="G210" s="2449"/>
      <c r="H210" s="2449"/>
      <c r="I210" s="2449"/>
      <c r="J210" s="2449"/>
      <c r="K210" s="2449"/>
      <c r="L210" s="2449"/>
      <c r="M210" s="2449"/>
      <c r="N210" s="2449"/>
      <c r="O210" s="2449"/>
      <c r="P210" s="2449"/>
      <c r="Q210" s="2449"/>
      <c r="R210" s="2449"/>
      <c r="S210" s="2449"/>
      <c r="T210" s="2449"/>
      <c r="U210" s="2449"/>
      <c r="V210" s="2449"/>
      <c r="W210" s="2449"/>
      <c r="X210" s="2449"/>
      <c r="Y210" s="2449"/>
      <c r="Z210" s="2449"/>
      <c r="AA210" s="2449"/>
      <c r="AB210" s="2449"/>
      <c r="AC210" s="846"/>
      <c r="AD210" s="2576">
        <f>'Sources and Uses Budget'!B15</f>
        <v>0</v>
      </c>
      <c r="AE210" s="2576"/>
      <c r="AF210" s="2576"/>
      <c r="AG210" s="2576"/>
      <c r="AH210" s="2576"/>
      <c r="AI210" s="2576"/>
      <c r="AJ210" s="2576"/>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898</v>
      </c>
      <c r="AC211" s="536"/>
      <c r="AD211" s="2581">
        <f>SUM(AD199:AJ209)-AD210</f>
        <v>6000000</v>
      </c>
      <c r="AE211" s="2581"/>
      <c r="AF211" s="2581"/>
      <c r="AG211" s="2581"/>
      <c r="AH211" s="2581"/>
      <c r="AI211" s="2581"/>
      <c r="AJ211" s="2581"/>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600" t="s">
        <v>1607</v>
      </c>
      <c r="J222" s="2600"/>
      <c r="K222" s="2600"/>
      <c r="L222" s="536"/>
      <c r="M222" s="536"/>
      <c r="N222" s="536"/>
      <c r="O222" s="536"/>
      <c r="P222" s="536"/>
      <c r="Q222" s="536"/>
      <c r="R222" s="536"/>
      <c r="S222" s="536"/>
      <c r="T222" s="2415" t="s">
        <v>1601</v>
      </c>
      <c r="U222" s="2415"/>
      <c r="V222" s="2415"/>
      <c r="W222" s="2415"/>
      <c r="X222" s="2415"/>
      <c r="Y222" s="2415"/>
      <c r="Z222" s="849"/>
      <c r="AA222" s="489"/>
      <c r="AB222" s="2597" t="s">
        <v>1602</v>
      </c>
      <c r="AC222" s="2597"/>
      <c r="AD222" s="2597"/>
      <c r="AE222" s="2597"/>
      <c r="AF222" s="2597"/>
      <c r="AG222" s="2597"/>
      <c r="AH222" s="827"/>
      <c r="AI222" s="827"/>
      <c r="AJ222" s="827"/>
      <c r="AK222" s="610"/>
    </row>
    <row r="223" spans="1:37">
      <c r="A223" s="605"/>
      <c r="B223" s="2598" t="s">
        <v>1587</v>
      </c>
      <c r="C223" s="2598"/>
      <c r="D223" s="2598"/>
      <c r="E223" s="2598"/>
      <c r="F223" s="2598"/>
      <c r="G223" s="2598"/>
      <c r="I223" s="2599" t="s">
        <v>1608</v>
      </c>
      <c r="J223" s="2599"/>
      <c r="K223" s="2599"/>
      <c r="L223" s="1008"/>
      <c r="N223" s="2450" t="s">
        <v>1603</v>
      </c>
      <c r="O223" s="2450"/>
      <c r="P223" s="2450"/>
      <c r="Q223" s="2450"/>
      <c r="R223" s="2450"/>
      <c r="T223" s="2450" t="s">
        <v>1604</v>
      </c>
      <c r="U223" s="2450"/>
      <c r="V223" s="2450"/>
      <c r="W223" s="2450"/>
      <c r="X223" s="2450"/>
      <c r="Y223" s="2450"/>
      <c r="Z223" s="850"/>
      <c r="AA223" s="489"/>
      <c r="AB223" s="2465" t="s">
        <v>1605</v>
      </c>
      <c r="AC223" s="2465"/>
      <c r="AD223" s="2465"/>
      <c r="AE223" s="2465"/>
      <c r="AF223" s="2465"/>
      <c r="AG223" s="2465"/>
      <c r="AH223" s="827"/>
      <c r="AI223" s="827"/>
      <c r="AJ223" s="827"/>
      <c r="AK223" s="610"/>
    </row>
    <row r="224" spans="1:37">
      <c r="A224" s="605"/>
      <c r="B224" s="2466" t="s">
        <v>1183</v>
      </c>
      <c r="C224" s="2466"/>
      <c r="D224" s="2466"/>
      <c r="E224" s="2466"/>
      <c r="F224" s="2466"/>
      <c r="G224" s="2466"/>
      <c r="H224" s="852"/>
      <c r="I224" s="2419"/>
      <c r="J224" s="2419"/>
      <c r="K224" s="2419"/>
      <c r="L224" s="1008"/>
      <c r="N224" s="2417"/>
      <c r="O224" s="2417"/>
      <c r="P224" s="2417"/>
      <c r="Q224" s="2417"/>
      <c r="R224" s="2417"/>
      <c r="T224" s="2416"/>
      <c r="U224" s="2416"/>
      <c r="V224" s="2416"/>
      <c r="W224" s="2416"/>
      <c r="X224" s="2416"/>
      <c r="Y224" s="2416"/>
      <c r="Z224" s="851"/>
      <c r="AA224" s="851"/>
      <c r="AB224" s="2414">
        <f t="shared" ref="AB224:AB233" si="0">MAX(($T224-$N224)*$I224*12,0)</f>
        <v>0</v>
      </c>
      <c r="AC224" s="2414"/>
      <c r="AD224" s="2414"/>
      <c r="AE224" s="2414"/>
      <c r="AF224" s="2414"/>
      <c r="AG224" s="2414"/>
      <c r="AH224" s="827"/>
      <c r="AI224" s="827"/>
      <c r="AJ224" s="827"/>
      <c r="AK224" s="610"/>
    </row>
    <row r="225" spans="1:37">
      <c r="A225" s="605"/>
      <c r="B225" s="2466" t="s">
        <v>1183</v>
      </c>
      <c r="C225" s="2466"/>
      <c r="D225" s="2466"/>
      <c r="E225" s="2466"/>
      <c r="F225" s="2466"/>
      <c r="G225" s="2466"/>
      <c r="I225" s="2419"/>
      <c r="J225" s="2419"/>
      <c r="K225" s="2419"/>
      <c r="L225" s="1008"/>
      <c r="N225" s="2417"/>
      <c r="O225" s="2417"/>
      <c r="P225" s="2417"/>
      <c r="Q225" s="2417"/>
      <c r="R225" s="2417"/>
      <c r="T225" s="2416"/>
      <c r="U225" s="2416"/>
      <c r="V225" s="2416"/>
      <c r="W225" s="2416"/>
      <c r="X225" s="2416"/>
      <c r="Y225" s="2416"/>
      <c r="Z225" s="851"/>
      <c r="AA225" s="851"/>
      <c r="AB225" s="2414">
        <f t="shared" si="0"/>
        <v>0</v>
      </c>
      <c r="AC225" s="2414"/>
      <c r="AD225" s="2414"/>
      <c r="AE225" s="2414"/>
      <c r="AF225" s="2414"/>
      <c r="AG225" s="2414"/>
      <c r="AH225" s="827"/>
      <c r="AI225" s="827"/>
      <c r="AJ225" s="827"/>
      <c r="AK225" s="610"/>
    </row>
    <row r="226" spans="1:37">
      <c r="A226" s="605"/>
      <c r="B226" s="2466" t="s">
        <v>1183</v>
      </c>
      <c r="C226" s="2466"/>
      <c r="D226" s="2466"/>
      <c r="E226" s="2466"/>
      <c r="F226" s="2466"/>
      <c r="G226" s="2466"/>
      <c r="I226" s="2419"/>
      <c r="J226" s="2419"/>
      <c r="K226" s="2419"/>
      <c r="L226" s="1008"/>
      <c r="N226" s="2417"/>
      <c r="O226" s="2417"/>
      <c r="P226" s="2417"/>
      <c r="Q226" s="2417"/>
      <c r="R226" s="2417"/>
      <c r="T226" s="2416"/>
      <c r="U226" s="2416"/>
      <c r="V226" s="2416"/>
      <c r="W226" s="2416"/>
      <c r="X226" s="2416"/>
      <c r="Y226" s="2416"/>
      <c r="Z226" s="851"/>
      <c r="AA226" s="851"/>
      <c r="AB226" s="2414">
        <f t="shared" si="0"/>
        <v>0</v>
      </c>
      <c r="AC226" s="2414"/>
      <c r="AD226" s="2414"/>
      <c r="AE226" s="2414"/>
      <c r="AF226" s="2414"/>
      <c r="AG226" s="2414"/>
      <c r="AH226" s="827"/>
      <c r="AI226" s="827"/>
      <c r="AJ226" s="827"/>
      <c r="AK226" s="610"/>
    </row>
    <row r="227" spans="1:37">
      <c r="A227" s="605"/>
      <c r="B227" s="2466" t="s">
        <v>1183</v>
      </c>
      <c r="C227" s="2466"/>
      <c r="D227" s="2466"/>
      <c r="E227" s="2466"/>
      <c r="F227" s="2466"/>
      <c r="G227" s="2466"/>
      <c r="I227" s="2419"/>
      <c r="J227" s="2419"/>
      <c r="K227" s="2419"/>
      <c r="L227" s="1008"/>
      <c r="N227" s="2417"/>
      <c r="O227" s="2417"/>
      <c r="P227" s="2417"/>
      <c r="Q227" s="2417"/>
      <c r="R227" s="2417"/>
      <c r="T227" s="2416"/>
      <c r="U227" s="2416"/>
      <c r="V227" s="2416"/>
      <c r="W227" s="2416"/>
      <c r="X227" s="2416"/>
      <c r="Y227" s="2416"/>
      <c r="Z227" s="851"/>
      <c r="AA227" s="851"/>
      <c r="AB227" s="2414">
        <f t="shared" si="0"/>
        <v>0</v>
      </c>
      <c r="AC227" s="2414"/>
      <c r="AD227" s="2414"/>
      <c r="AE227" s="2414"/>
      <c r="AF227" s="2414"/>
      <c r="AG227" s="2414"/>
      <c r="AH227" s="827"/>
      <c r="AI227" s="827"/>
      <c r="AJ227" s="827"/>
      <c r="AK227" s="610"/>
    </row>
    <row r="228" spans="1:37">
      <c r="A228" s="605"/>
      <c r="B228" s="2466" t="s">
        <v>1183</v>
      </c>
      <c r="C228" s="2466"/>
      <c r="D228" s="2466"/>
      <c r="E228" s="2466"/>
      <c r="F228" s="2466"/>
      <c r="G228" s="2466"/>
      <c r="I228" s="2419"/>
      <c r="J228" s="2419"/>
      <c r="K228" s="2419"/>
      <c r="L228" s="1015"/>
      <c r="N228" s="2417"/>
      <c r="O228" s="2417"/>
      <c r="P228" s="2417"/>
      <c r="Q228" s="2417"/>
      <c r="R228" s="2417"/>
      <c r="T228" s="2416"/>
      <c r="U228" s="2416"/>
      <c r="V228" s="2416"/>
      <c r="W228" s="2416"/>
      <c r="X228" s="2416"/>
      <c r="Y228" s="2416"/>
      <c r="Z228" s="851"/>
      <c r="AA228" s="851"/>
      <c r="AB228" s="2414">
        <f t="shared" si="0"/>
        <v>0</v>
      </c>
      <c r="AC228" s="2414"/>
      <c r="AD228" s="2414"/>
      <c r="AE228" s="2414"/>
      <c r="AF228" s="2414"/>
      <c r="AG228" s="2414"/>
      <c r="AH228" s="827"/>
      <c r="AI228" s="827"/>
      <c r="AJ228" s="827"/>
      <c r="AK228" s="610"/>
    </row>
    <row r="229" spans="1:37">
      <c r="A229" s="605"/>
      <c r="B229" s="2466" t="s">
        <v>1183</v>
      </c>
      <c r="C229" s="2466"/>
      <c r="D229" s="2466"/>
      <c r="E229" s="2466"/>
      <c r="F229" s="2466"/>
      <c r="G229" s="2466"/>
      <c r="I229" s="2419"/>
      <c r="J229" s="2419"/>
      <c r="K229" s="2419"/>
      <c r="L229" s="1015"/>
      <c r="N229" s="2417"/>
      <c r="O229" s="2417"/>
      <c r="P229" s="2417"/>
      <c r="Q229" s="2417"/>
      <c r="R229" s="2417"/>
      <c r="T229" s="2416"/>
      <c r="U229" s="2416"/>
      <c r="V229" s="2416"/>
      <c r="W229" s="2416"/>
      <c r="X229" s="2416"/>
      <c r="Y229" s="2416"/>
      <c r="Z229" s="851"/>
      <c r="AA229" s="851"/>
      <c r="AB229" s="2414">
        <f t="shared" si="0"/>
        <v>0</v>
      </c>
      <c r="AC229" s="2414"/>
      <c r="AD229" s="2414"/>
      <c r="AE229" s="2414"/>
      <c r="AF229" s="2414"/>
      <c r="AG229" s="2414"/>
      <c r="AH229" s="827"/>
      <c r="AI229" s="827"/>
      <c r="AJ229" s="827"/>
      <c r="AK229" s="610"/>
    </row>
    <row r="230" spans="1:37">
      <c r="A230" s="605"/>
      <c r="B230" s="2466" t="s">
        <v>1183</v>
      </c>
      <c r="C230" s="2466"/>
      <c r="D230" s="2466"/>
      <c r="E230" s="2466"/>
      <c r="F230" s="2466"/>
      <c r="G230" s="2466"/>
      <c r="I230" s="2419"/>
      <c r="J230" s="2419"/>
      <c r="K230" s="2419"/>
      <c r="L230" s="1015"/>
      <c r="N230" s="2417"/>
      <c r="O230" s="2417"/>
      <c r="P230" s="2417"/>
      <c r="Q230" s="2417"/>
      <c r="R230" s="2417"/>
      <c r="T230" s="2416"/>
      <c r="U230" s="2416"/>
      <c r="V230" s="2416"/>
      <c r="W230" s="2416"/>
      <c r="X230" s="2416"/>
      <c r="Y230" s="2416"/>
      <c r="Z230" s="851"/>
      <c r="AA230" s="851"/>
      <c r="AB230" s="2414">
        <f t="shared" si="0"/>
        <v>0</v>
      </c>
      <c r="AC230" s="2414"/>
      <c r="AD230" s="2414"/>
      <c r="AE230" s="2414"/>
      <c r="AF230" s="2414"/>
      <c r="AG230" s="2414"/>
      <c r="AH230" s="827"/>
      <c r="AI230" s="827"/>
      <c r="AJ230" s="827"/>
      <c r="AK230" s="610"/>
    </row>
    <row r="231" spans="1:37">
      <c r="A231" s="605"/>
      <c r="B231" s="2466" t="s">
        <v>1183</v>
      </c>
      <c r="C231" s="2466"/>
      <c r="D231" s="2466"/>
      <c r="E231" s="2466"/>
      <c r="F231" s="2466"/>
      <c r="G231" s="2466"/>
      <c r="I231" s="2419"/>
      <c r="J231" s="2419"/>
      <c r="K231" s="2419"/>
      <c r="L231" s="1015"/>
      <c r="N231" s="2417"/>
      <c r="O231" s="2417"/>
      <c r="P231" s="2417"/>
      <c r="Q231" s="2417"/>
      <c r="R231" s="2417"/>
      <c r="T231" s="2416"/>
      <c r="U231" s="2416"/>
      <c r="V231" s="2416"/>
      <c r="W231" s="2416"/>
      <c r="X231" s="2416"/>
      <c r="Y231" s="2416"/>
      <c r="Z231" s="851"/>
      <c r="AA231" s="851"/>
      <c r="AB231" s="2414">
        <f t="shared" si="0"/>
        <v>0</v>
      </c>
      <c r="AC231" s="2414"/>
      <c r="AD231" s="2414"/>
      <c r="AE231" s="2414"/>
      <c r="AF231" s="2414"/>
      <c r="AG231" s="2414"/>
      <c r="AH231" s="827"/>
      <c r="AI231" s="827"/>
      <c r="AJ231" s="827"/>
      <c r="AK231" s="610"/>
    </row>
    <row r="232" spans="1:37">
      <c r="A232" s="605"/>
      <c r="B232" s="2466" t="s">
        <v>1183</v>
      </c>
      <c r="C232" s="2466"/>
      <c r="D232" s="2466"/>
      <c r="E232" s="2466"/>
      <c r="F232" s="2466"/>
      <c r="G232" s="2466"/>
      <c r="I232" s="2419"/>
      <c r="J232" s="2419"/>
      <c r="K232" s="2419"/>
      <c r="L232" s="1015"/>
      <c r="N232" s="2417"/>
      <c r="O232" s="2417"/>
      <c r="P232" s="2417"/>
      <c r="Q232" s="2417"/>
      <c r="R232" s="2417"/>
      <c r="T232" s="2416"/>
      <c r="U232" s="2416"/>
      <c r="V232" s="2416"/>
      <c r="W232" s="2416"/>
      <c r="X232" s="2416"/>
      <c r="Y232" s="2416"/>
      <c r="Z232" s="851"/>
      <c r="AA232" s="851"/>
      <c r="AB232" s="2414">
        <f t="shared" si="0"/>
        <v>0</v>
      </c>
      <c r="AC232" s="2414"/>
      <c r="AD232" s="2414"/>
      <c r="AE232" s="2414"/>
      <c r="AF232" s="2414"/>
      <c r="AG232" s="2414"/>
      <c r="AH232" s="827"/>
      <c r="AI232" s="827"/>
      <c r="AJ232" s="827"/>
      <c r="AK232" s="610"/>
    </row>
    <row r="233" spans="1:37">
      <c r="A233" s="605"/>
      <c r="B233" s="2466" t="s">
        <v>1183</v>
      </c>
      <c r="C233" s="2466"/>
      <c r="D233" s="2466"/>
      <c r="E233" s="2466"/>
      <c r="F233" s="2466"/>
      <c r="G233" s="2466"/>
      <c r="I233" s="2601"/>
      <c r="J233" s="2601"/>
      <c r="K233" s="2601"/>
      <c r="L233" s="1015"/>
      <c r="N233" s="2417"/>
      <c r="O233" s="2417"/>
      <c r="P233" s="2417"/>
      <c r="Q233" s="2417"/>
      <c r="R233" s="2417"/>
      <c r="T233" s="2416"/>
      <c r="U233" s="2416"/>
      <c r="V233" s="2416"/>
      <c r="W233" s="2416"/>
      <c r="X233" s="2416"/>
      <c r="Y233" s="2416"/>
      <c r="Z233" s="851"/>
      <c r="AA233" s="851"/>
      <c r="AB233" s="2420">
        <f t="shared" si="0"/>
        <v>0</v>
      </c>
      <c r="AC233" s="2420"/>
      <c r="AD233" s="2420"/>
      <c r="AE233" s="2420"/>
      <c r="AF233" s="2420"/>
      <c r="AG233" s="2420"/>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14">
        <f>SUM(AB224:AB233)</f>
        <v>0</v>
      </c>
      <c r="AC234" s="2414"/>
      <c r="AD234" s="2414"/>
      <c r="AE234" s="2414"/>
      <c r="AF234" s="2414"/>
      <c r="AG234" s="2414"/>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51"/>
      <c r="AC240" s="2451"/>
      <c r="AD240" s="2451"/>
      <c r="AE240" s="2451"/>
      <c r="AF240" s="2451"/>
      <c r="AG240" s="2451"/>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51"/>
      <c r="AC243" s="2451"/>
      <c r="AD243" s="2451"/>
      <c r="AE243" s="2451"/>
      <c r="AF243" s="2451"/>
      <c r="AG243" s="2451"/>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3"/>
      <c r="AC244" s="2413"/>
      <c r="AD244" s="2413"/>
      <c r="AE244" s="2413"/>
      <c r="AF244" s="2413"/>
      <c r="AG244" s="2413"/>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21">
        <f>IFERROR(AB243/AB244,0)</f>
        <v>0</v>
      </c>
      <c r="AC245" s="2421"/>
      <c r="AD245" s="2421"/>
      <c r="AE245" s="2421"/>
      <c r="AF245" s="2421"/>
      <c r="AG245" s="2421"/>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20">
        <f>MAX(AB240,AB245)</f>
        <v>0</v>
      </c>
      <c r="AC247" s="2420"/>
      <c r="AD247" s="2420"/>
      <c r="AE247" s="2420"/>
      <c r="AF247" s="2420"/>
      <c r="AG247" s="2420"/>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4">
        <f>AB234+AB247</f>
        <v>0</v>
      </c>
      <c r="AC250" s="2414"/>
      <c r="AD250" s="2414"/>
      <c r="AE250" s="2414"/>
      <c r="AF250" s="2414"/>
      <c r="AG250" s="2414"/>
      <c r="AH250" s="610"/>
      <c r="AI250" s="610"/>
      <c r="AJ250" s="610"/>
      <c r="AK250" s="610"/>
    </row>
    <row r="251" spans="1:37">
      <c r="A251" s="605"/>
      <c r="B251" s="476" t="s">
        <v>837</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5">
        <v>0.05</v>
      </c>
      <c r="AC251" s="2585"/>
      <c r="AD251" s="2585"/>
      <c r="AE251" s="2585"/>
      <c r="AF251" s="2585"/>
      <c r="AG251" s="2585"/>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6">
        <f>AB250-(AB250*AB251)</f>
        <v>0</v>
      </c>
      <c r="AC252" s="2586"/>
      <c r="AD252" s="2586"/>
      <c r="AE252" s="2586"/>
      <c r="AF252" s="2586"/>
      <c r="AG252" s="2586"/>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4">
        <f>AB252/AB258</f>
        <v>0</v>
      </c>
      <c r="AC254" s="2414"/>
      <c r="AD254" s="2414"/>
      <c r="AE254" s="2414"/>
      <c r="AF254" s="2414"/>
      <c r="AG254" s="2414"/>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7">
        <v>15</v>
      </c>
      <c r="AC256" s="2597"/>
      <c r="AD256" s="2597"/>
      <c r="AE256" s="2597"/>
      <c r="AF256" s="2597"/>
      <c r="AG256" s="2597"/>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8">
        <v>0.04</v>
      </c>
      <c r="AC257" s="2588"/>
      <c r="AD257" s="2588"/>
      <c r="AE257" s="2588"/>
      <c r="AF257" s="2588"/>
      <c r="AG257" s="2588"/>
      <c r="AH257" s="610"/>
      <c r="AI257" s="610"/>
      <c r="AJ257" s="610"/>
      <c r="AK257" s="610"/>
    </row>
    <row r="258" spans="1:37">
      <c r="A258" s="605"/>
      <c r="B258" s="476" t="s">
        <v>849</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9">
        <v>1.1499999999999999</v>
      </c>
      <c r="AC258" s="2589"/>
      <c r="AD258" s="2589"/>
      <c r="AE258" s="2589"/>
      <c r="AF258" s="2589"/>
      <c r="AG258" s="2589"/>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8">
        <f>PV(AB257/12,AB256*12,-AB254/12, ,0)</f>
        <v>0</v>
      </c>
      <c r="AC260" s="2579"/>
      <c r="AD260" s="2579"/>
      <c r="AE260" s="2579"/>
      <c r="AF260" s="2579"/>
      <c r="AG260" s="2580"/>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82">
        <f>IFERROR(('Sources and Uses Budget'!D105/'Sources and Uses Budget'!B105),0)</f>
        <v>0</v>
      </c>
      <c r="AC266" s="2583"/>
      <c r="AD266" s="2583"/>
      <c r="AE266" s="2583"/>
      <c r="AF266" s="2583"/>
      <c r="AG266" s="2584"/>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8">
        <f>AD211*(1-AB266)</f>
        <v>6000000</v>
      </c>
      <c r="AH268" s="2428"/>
      <c r="AI268" s="2428"/>
      <c r="AJ268" s="2428"/>
      <c r="AK268" s="2428"/>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8">
        <f>'Sources and Uses Budget'!C105</f>
        <v>68611339</v>
      </c>
      <c r="AH269" s="2428"/>
      <c r="AI269" s="2428"/>
      <c r="AJ269" s="2428"/>
      <c r="AK269" s="2428"/>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4">
        <f>ROUNDDOWN(IF(AND(C292="Yes",AK84=10),((AG268*2)/AG269),AG268/AG269),2)</f>
        <v>0.17</v>
      </c>
      <c r="AH270" s="2574"/>
      <c r="AI270" s="2574"/>
      <c r="AJ270" s="2574"/>
      <c r="AK270" s="2574"/>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563">
        <f>IFERROR(IF(AG270=0,0,IF((AG270*100)&gt;8,8,(AG270*100))),0)</f>
        <v>8</v>
      </c>
      <c r="AL273" s="2563"/>
      <c r="AM273" s="2564"/>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45" t="s">
        <v>544</v>
      </c>
      <c r="D278" s="2445"/>
      <c r="E278" s="547"/>
      <c r="F278" s="2397" t="s">
        <v>2024</v>
      </c>
      <c r="G278" s="2398"/>
      <c r="H278" s="2398"/>
      <c r="I278" s="2398"/>
      <c r="J278" s="2398"/>
      <c r="K278" s="2398"/>
      <c r="L278" s="2398"/>
      <c r="M278" s="2398"/>
      <c r="N278" s="2398"/>
      <c r="O278" s="2398"/>
      <c r="P278" s="2398"/>
      <c r="Q278" s="2398"/>
      <c r="R278" s="2398"/>
      <c r="S278" s="2398"/>
      <c r="T278" s="2398"/>
      <c r="U278" s="2398"/>
      <c r="V278" s="2398"/>
      <c r="W278" s="2398"/>
      <c r="X278" s="2398"/>
      <c r="Y278" s="2398"/>
      <c r="Z278" s="2398"/>
      <c r="AA278" s="2398"/>
      <c r="AB278" s="2398"/>
      <c r="AC278" s="2398"/>
      <c r="AD278" s="2399"/>
      <c r="AE278" s="550"/>
      <c r="AF278" s="635"/>
      <c r="AG278" s="2572" t="s">
        <v>1363</v>
      </c>
      <c r="AH278" s="2572"/>
      <c r="AI278" s="2572"/>
      <c r="AJ278" s="2572"/>
      <c r="AK278" s="550"/>
      <c r="AL278" s="550"/>
      <c r="AM278" s="550"/>
      <c r="AO278" s="550"/>
    </row>
    <row r="279" spans="1:52" ht="13.7" customHeight="1">
      <c r="A279" s="550"/>
      <c r="B279" s="596"/>
      <c r="C279" s="636"/>
      <c r="D279" s="550"/>
      <c r="E279" s="547"/>
      <c r="F279" s="2400"/>
      <c r="G279" s="2401"/>
      <c r="H279" s="2401"/>
      <c r="I279" s="2401"/>
      <c r="J279" s="2401"/>
      <c r="K279" s="2401"/>
      <c r="L279" s="2401"/>
      <c r="M279" s="2401"/>
      <c r="N279" s="2401"/>
      <c r="O279" s="2401"/>
      <c r="P279" s="2401"/>
      <c r="Q279" s="2401"/>
      <c r="R279" s="2401"/>
      <c r="S279" s="2401"/>
      <c r="T279" s="2401"/>
      <c r="U279" s="2401"/>
      <c r="V279" s="2401"/>
      <c r="W279" s="2401"/>
      <c r="X279" s="2401"/>
      <c r="Y279" s="2401"/>
      <c r="Z279" s="2401"/>
      <c r="AA279" s="2401"/>
      <c r="AB279" s="2401"/>
      <c r="AC279" s="2401"/>
      <c r="AD279" s="2402"/>
      <c r="AE279" s="550"/>
      <c r="AF279" s="635"/>
      <c r="AG279" s="635"/>
      <c r="AH279" s="635"/>
      <c r="AI279" s="635"/>
      <c r="AJ279" s="550"/>
      <c r="AK279" s="550"/>
      <c r="AL279" s="550"/>
      <c r="AM279" s="550"/>
      <c r="AO279" s="550"/>
    </row>
    <row r="280" spans="1:52">
      <c r="A280" s="550"/>
      <c r="B280" s="596"/>
      <c r="C280" s="636"/>
      <c r="D280" s="550"/>
      <c r="E280" s="547"/>
      <c r="F280" s="2400"/>
      <c r="G280" s="2401"/>
      <c r="H280" s="2401"/>
      <c r="I280" s="2401"/>
      <c r="J280" s="2401"/>
      <c r="K280" s="2401"/>
      <c r="L280" s="2401"/>
      <c r="M280" s="2401"/>
      <c r="N280" s="2401"/>
      <c r="O280" s="2401"/>
      <c r="P280" s="2401"/>
      <c r="Q280" s="2401"/>
      <c r="R280" s="2401"/>
      <c r="S280" s="2401"/>
      <c r="T280" s="2401"/>
      <c r="U280" s="2401"/>
      <c r="V280" s="2401"/>
      <c r="W280" s="2401"/>
      <c r="X280" s="2401"/>
      <c r="Y280" s="2401"/>
      <c r="Z280" s="2401"/>
      <c r="AA280" s="2401"/>
      <c r="AB280" s="2401"/>
      <c r="AC280" s="2401"/>
      <c r="AD280" s="2402"/>
      <c r="AE280" s="550"/>
      <c r="AF280" s="635"/>
      <c r="AG280" s="635"/>
      <c r="AH280" s="635"/>
      <c r="AI280" s="635"/>
      <c r="AJ280" s="550"/>
      <c r="AK280" s="550"/>
      <c r="AL280" s="550"/>
      <c r="AM280" s="550"/>
      <c r="AO280" s="550"/>
      <c r="AP280" s="637"/>
    </row>
    <row r="281" spans="1:52">
      <c r="A281" s="550"/>
      <c r="B281" s="596"/>
      <c r="C281" s="636"/>
      <c r="D281" s="550"/>
      <c r="E281" s="547"/>
      <c r="F281" s="2400"/>
      <c r="G281" s="2401"/>
      <c r="H281" s="2401"/>
      <c r="I281" s="2401"/>
      <c r="J281" s="2401"/>
      <c r="K281" s="2401"/>
      <c r="L281" s="2401"/>
      <c r="M281" s="2401"/>
      <c r="N281" s="2401"/>
      <c r="O281" s="2401"/>
      <c r="P281" s="2401"/>
      <c r="Q281" s="2401"/>
      <c r="R281" s="2401"/>
      <c r="S281" s="2401"/>
      <c r="T281" s="2401"/>
      <c r="U281" s="2401"/>
      <c r="V281" s="2401"/>
      <c r="W281" s="2401"/>
      <c r="X281" s="2401"/>
      <c r="Y281" s="2401"/>
      <c r="Z281" s="2401"/>
      <c r="AA281" s="2401"/>
      <c r="AB281" s="2401"/>
      <c r="AC281" s="2401"/>
      <c r="AD281" s="2402"/>
      <c r="AE281" s="550"/>
      <c r="AF281" s="635"/>
      <c r="AG281" s="635"/>
      <c r="AH281" s="635"/>
      <c r="AI281" s="635"/>
      <c r="AJ281" s="550"/>
      <c r="AK281" s="550"/>
      <c r="AL281" s="550"/>
      <c r="AM281" s="550"/>
      <c r="AO281" s="550"/>
      <c r="AP281" s="637"/>
    </row>
    <row r="282" spans="1:52" ht="13.7" customHeight="1">
      <c r="A282" s="550"/>
      <c r="B282" s="596"/>
      <c r="C282" s="2573"/>
      <c r="D282" s="2573"/>
      <c r="E282" s="547"/>
      <c r="F282" s="2403"/>
      <c r="G282" s="2404"/>
      <c r="H282" s="2404"/>
      <c r="I282" s="2404"/>
      <c r="J282" s="2404"/>
      <c r="K282" s="2404"/>
      <c r="L282" s="2404"/>
      <c r="M282" s="2404"/>
      <c r="N282" s="2404"/>
      <c r="O282" s="2404"/>
      <c r="P282" s="2404"/>
      <c r="Q282" s="2404"/>
      <c r="R282" s="2404"/>
      <c r="S282" s="2404"/>
      <c r="T282" s="2404"/>
      <c r="U282" s="2404"/>
      <c r="V282" s="2404"/>
      <c r="W282" s="2404"/>
      <c r="X282" s="2404"/>
      <c r="Y282" s="2404"/>
      <c r="Z282" s="2404"/>
      <c r="AA282" s="2404"/>
      <c r="AB282" s="2404"/>
      <c r="AC282" s="2404"/>
      <c r="AD282" s="2405"/>
      <c r="AE282" s="550"/>
      <c r="AF282" s="635"/>
      <c r="AG282" s="2572"/>
      <c r="AH282" s="2572"/>
      <c r="AI282" s="2572"/>
      <c r="AJ282" s="2572"/>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563">
        <f>IF($C$278="yes",10,0)</f>
        <v>10</v>
      </c>
      <c r="AL285" s="2563"/>
      <c r="AM285" s="2564"/>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1853</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4" t="s">
        <v>1382</v>
      </c>
      <c r="B292" s="1634"/>
      <c r="C292" s="2396" t="s">
        <v>544</v>
      </c>
      <c r="D292" s="2445"/>
      <c r="E292" s="547"/>
      <c r="F292" s="2565" t="s">
        <v>1383</v>
      </c>
      <c r="G292" s="2566"/>
      <c r="H292" s="2566"/>
      <c r="I292" s="2566"/>
      <c r="J292" s="2566"/>
      <c r="K292" s="2566"/>
      <c r="L292" s="2566"/>
      <c r="M292" s="2566"/>
      <c r="N292" s="2566"/>
      <c r="O292" s="2566"/>
      <c r="P292" s="2566"/>
      <c r="Q292" s="2566"/>
      <c r="R292" s="2566"/>
      <c r="S292" s="2566"/>
      <c r="T292" s="2566"/>
      <c r="U292" s="2566"/>
      <c r="V292" s="2566"/>
      <c r="W292" s="2566"/>
      <c r="X292" s="2566"/>
      <c r="Y292" s="2566"/>
      <c r="Z292" s="2566"/>
      <c r="AA292" s="2566"/>
      <c r="AB292" s="2566"/>
      <c r="AC292" s="2566"/>
      <c r="AD292" s="2567"/>
      <c r="AE292" s="642"/>
      <c r="AF292" s="550"/>
      <c r="AG292" s="2568" t="s">
        <v>2017</v>
      </c>
      <c r="AH292" s="2568"/>
      <c r="AI292" s="2568"/>
      <c r="AJ292" s="2568"/>
      <c r="AK292" s="2568"/>
      <c r="AL292" s="550"/>
      <c r="AM292" s="550"/>
      <c r="AN292" s="73"/>
      <c r="AO292" s="14"/>
      <c r="AP292" s="30"/>
      <c r="AS292" s="570"/>
      <c r="AT292" s="570"/>
      <c r="AU292" s="570"/>
      <c r="AV292" s="32"/>
      <c r="AW292" s="32"/>
    </row>
    <row r="293" spans="1:49">
      <c r="A293" s="640"/>
      <c r="B293" s="596"/>
      <c r="F293" s="2423"/>
      <c r="G293" s="2424"/>
      <c r="H293" s="2424"/>
      <c r="I293" s="2424"/>
      <c r="J293" s="2424"/>
      <c r="K293" s="2424"/>
      <c r="L293" s="2424"/>
      <c r="M293" s="2424"/>
      <c r="N293" s="2424"/>
      <c r="O293" s="2424"/>
      <c r="P293" s="2424"/>
      <c r="Q293" s="2424"/>
      <c r="R293" s="2424"/>
      <c r="S293" s="2424"/>
      <c r="T293" s="2424"/>
      <c r="U293" s="2424"/>
      <c r="V293" s="2424"/>
      <c r="W293" s="2424"/>
      <c r="X293" s="2424"/>
      <c r="Y293" s="2424"/>
      <c r="Z293" s="2424"/>
      <c r="AA293" s="2424"/>
      <c r="AB293" s="2424"/>
      <c r="AC293" s="2424"/>
      <c r="AD293" s="2425"/>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23"/>
      <c r="G294" s="2424"/>
      <c r="H294" s="2424"/>
      <c r="I294" s="2424"/>
      <c r="J294" s="2424"/>
      <c r="K294" s="2424"/>
      <c r="L294" s="2424"/>
      <c r="M294" s="2424"/>
      <c r="N294" s="2424"/>
      <c r="O294" s="2424"/>
      <c r="P294" s="2424"/>
      <c r="Q294" s="2424"/>
      <c r="R294" s="2424"/>
      <c r="S294" s="2424"/>
      <c r="T294" s="2424"/>
      <c r="U294" s="2424"/>
      <c r="V294" s="2424"/>
      <c r="W294" s="2424"/>
      <c r="X294" s="2424"/>
      <c r="Y294" s="2424"/>
      <c r="Z294" s="2424"/>
      <c r="AA294" s="2424"/>
      <c r="AB294" s="2424"/>
      <c r="AC294" s="2424"/>
      <c r="AD294" s="2425"/>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23" t="s">
        <v>2025</v>
      </c>
      <c r="G295" s="2424"/>
      <c r="H295" s="2424"/>
      <c r="I295" s="2424"/>
      <c r="J295" s="2424"/>
      <c r="K295" s="2424"/>
      <c r="L295" s="2424"/>
      <c r="M295" s="2424"/>
      <c r="N295" s="2424"/>
      <c r="O295" s="2424"/>
      <c r="P295" s="2424"/>
      <c r="Q295" s="2424"/>
      <c r="R295" s="2424"/>
      <c r="S295" s="2424"/>
      <c r="T295" s="2424"/>
      <c r="U295" s="2424"/>
      <c r="V295" s="2424"/>
      <c r="W295" s="2424"/>
      <c r="X295" s="2424"/>
      <c r="Y295" s="2424"/>
      <c r="Z295" s="2424"/>
      <c r="AA295" s="2424"/>
      <c r="AB295" s="2424"/>
      <c r="AC295" s="2424"/>
      <c r="AD295" s="2425"/>
      <c r="AE295" s="642"/>
      <c r="AF295" s="551"/>
      <c r="AH295" s="551"/>
      <c r="AI295" s="551"/>
      <c r="AJ295" s="550"/>
      <c r="AK295" s="550"/>
      <c r="AL295" s="550"/>
      <c r="AM295" s="550"/>
      <c r="AN295" s="73"/>
      <c r="AO295" s="14"/>
      <c r="AP295" s="611">
        <f>MAX(AP293,AP294)</f>
        <v>10</v>
      </c>
      <c r="AQ295" s="574" t="s">
        <v>1316</v>
      </c>
      <c r="AS295" s="570"/>
      <c r="AT295" s="570"/>
      <c r="AU295" s="570"/>
      <c r="AV295" s="32"/>
      <c r="AW295" s="32"/>
    </row>
    <row r="296" spans="1:49">
      <c r="A296" s="640"/>
      <c r="B296" s="596"/>
      <c r="F296" s="2423"/>
      <c r="G296" s="2424"/>
      <c r="H296" s="2424"/>
      <c r="I296" s="2424"/>
      <c r="J296" s="2424"/>
      <c r="K296" s="2424"/>
      <c r="L296" s="2424"/>
      <c r="M296" s="2424"/>
      <c r="N296" s="2424"/>
      <c r="O296" s="2424"/>
      <c r="P296" s="2424"/>
      <c r="Q296" s="2424"/>
      <c r="R296" s="2424"/>
      <c r="S296" s="2424"/>
      <c r="T296" s="2424"/>
      <c r="U296" s="2424"/>
      <c r="V296" s="2424"/>
      <c r="W296" s="2424"/>
      <c r="X296" s="2424"/>
      <c r="Y296" s="2424"/>
      <c r="Z296" s="2424"/>
      <c r="AA296" s="2424"/>
      <c r="AB296" s="2424"/>
      <c r="AC296" s="2424"/>
      <c r="AD296" s="2425"/>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3" t="s">
        <v>1384</v>
      </c>
      <c r="G297" s="2424"/>
      <c r="H297" s="2424"/>
      <c r="I297" s="2424"/>
      <c r="J297" s="2424"/>
      <c r="K297" s="2424"/>
      <c r="L297" s="2424"/>
      <c r="M297" s="2424"/>
      <c r="N297" s="2424"/>
      <c r="O297" s="2424"/>
      <c r="P297" s="2424"/>
      <c r="Q297" s="2424"/>
      <c r="R297" s="2424"/>
      <c r="S297" s="2424"/>
      <c r="T297" s="2424"/>
      <c r="U297" s="2424"/>
      <c r="V297" s="2424"/>
      <c r="W297" s="2424"/>
      <c r="X297" s="2424"/>
      <c r="Y297" s="2424"/>
      <c r="Z297" s="2424"/>
      <c r="AA297" s="2424"/>
      <c r="AB297" s="2424"/>
      <c r="AC297" s="2424"/>
      <c r="AD297" s="2425"/>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3"/>
      <c r="G298" s="2424"/>
      <c r="H298" s="2424"/>
      <c r="I298" s="2424"/>
      <c r="J298" s="2424"/>
      <c r="K298" s="2424"/>
      <c r="L298" s="2424"/>
      <c r="M298" s="2424"/>
      <c r="N298" s="2424"/>
      <c r="O298" s="2424"/>
      <c r="P298" s="2424"/>
      <c r="Q298" s="2424"/>
      <c r="R298" s="2424"/>
      <c r="S298" s="2424"/>
      <c r="T298" s="2424"/>
      <c r="U298" s="2424"/>
      <c r="V298" s="2424"/>
      <c r="W298" s="2424"/>
      <c r="X298" s="2424"/>
      <c r="Y298" s="2424"/>
      <c r="Z298" s="2424"/>
      <c r="AA298" s="2424"/>
      <c r="AB298" s="2424"/>
      <c r="AC298" s="2424"/>
      <c r="AD298" s="2425"/>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3" t="s">
        <v>1385</v>
      </c>
      <c r="G299" s="2424"/>
      <c r="H299" s="2424"/>
      <c r="I299" s="2424"/>
      <c r="J299" s="2424"/>
      <c r="K299" s="2424"/>
      <c r="L299" s="2424"/>
      <c r="M299" s="2424"/>
      <c r="N299" s="2424"/>
      <c r="O299" s="2424"/>
      <c r="P299" s="2424"/>
      <c r="Q299" s="2424"/>
      <c r="R299" s="2424"/>
      <c r="S299" s="2424"/>
      <c r="T299" s="2424"/>
      <c r="U299" s="2424"/>
      <c r="V299" s="2424"/>
      <c r="W299" s="2424"/>
      <c r="X299" s="2424"/>
      <c r="Y299" s="2424"/>
      <c r="Z299" s="2424"/>
      <c r="AA299" s="2424"/>
      <c r="AB299" s="2424"/>
      <c r="AC299" s="2424"/>
      <c r="AD299" s="2425"/>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6"/>
      <c r="G300" s="2427"/>
      <c r="H300" s="2427"/>
      <c r="I300" s="2427"/>
      <c r="J300" s="2427"/>
      <c r="K300" s="2427"/>
      <c r="L300" s="2427"/>
      <c r="M300" s="2427"/>
      <c r="N300" s="2427"/>
      <c r="O300" s="2427"/>
      <c r="P300" s="2427"/>
      <c r="Q300" s="2427"/>
      <c r="R300" s="2427"/>
      <c r="S300" s="2427"/>
      <c r="T300" s="2427"/>
      <c r="U300" s="2427"/>
      <c r="V300" s="2427"/>
      <c r="W300" s="2427"/>
      <c r="X300" s="2427"/>
      <c r="Y300" s="2427"/>
      <c r="Z300" s="2427"/>
      <c r="AA300" s="2427"/>
      <c r="AB300" s="2427"/>
      <c r="AC300" s="2427"/>
      <c r="AD300" s="2562"/>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4" t="s">
        <v>1386</v>
      </c>
      <c r="B302" s="1634"/>
      <c r="C302" s="2445" t="s">
        <v>590</v>
      </c>
      <c r="D302" s="2445"/>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547" t="s">
        <v>2019</v>
      </c>
      <c r="G303" s="2548"/>
      <c r="H303" s="2548"/>
      <c r="I303" s="2548"/>
      <c r="J303" s="2548"/>
      <c r="K303" s="2548"/>
      <c r="L303" s="2548"/>
      <c r="M303" s="2548"/>
      <c r="N303" s="2548"/>
      <c r="O303" s="2548"/>
      <c r="P303" s="2548"/>
      <c r="Q303" s="2548"/>
      <c r="R303" s="2548"/>
      <c r="S303" s="2548"/>
      <c r="T303" s="2548"/>
      <c r="U303" s="2548"/>
      <c r="V303" s="2548"/>
      <c r="W303" s="2548"/>
      <c r="X303" s="2548"/>
      <c r="Y303" s="2548"/>
      <c r="Z303" s="2548"/>
      <c r="AA303" s="2548"/>
      <c r="AB303" s="2548"/>
      <c r="AC303" s="2548"/>
      <c r="AD303" s="2549"/>
      <c r="AE303" s="551"/>
      <c r="AF303" s="551"/>
      <c r="AG303" s="551"/>
      <c r="AH303" s="551"/>
      <c r="AI303" s="551"/>
      <c r="AJ303" s="550"/>
      <c r="AK303" s="550"/>
      <c r="AL303" s="550"/>
      <c r="AM303" s="550"/>
      <c r="AR303" s="648"/>
    </row>
    <row r="304" spans="1:49" ht="15" customHeight="1">
      <c r="A304" s="550"/>
      <c r="B304" s="551"/>
      <c r="C304" s="550"/>
      <c r="D304" s="551"/>
      <c r="E304" s="550"/>
      <c r="F304" s="2547"/>
      <c r="G304" s="2548"/>
      <c r="H304" s="2548"/>
      <c r="I304" s="2548"/>
      <c r="J304" s="2548"/>
      <c r="K304" s="2548"/>
      <c r="L304" s="2548"/>
      <c r="M304" s="2548"/>
      <c r="N304" s="2548"/>
      <c r="O304" s="2548"/>
      <c r="P304" s="2548"/>
      <c r="Q304" s="2548"/>
      <c r="R304" s="2548"/>
      <c r="S304" s="2548"/>
      <c r="T304" s="2548"/>
      <c r="U304" s="2548"/>
      <c r="V304" s="2548"/>
      <c r="W304" s="2548"/>
      <c r="X304" s="2548"/>
      <c r="Y304" s="2548"/>
      <c r="Z304" s="2548"/>
      <c r="AA304" s="2548"/>
      <c r="AB304" s="2548"/>
      <c r="AC304" s="2548"/>
      <c r="AD304" s="2549"/>
      <c r="AE304" s="551"/>
      <c r="AF304" s="551"/>
      <c r="AG304" s="551"/>
      <c r="AH304" s="551"/>
      <c r="AI304" s="551"/>
      <c r="AJ304" s="550"/>
      <c r="AK304" s="550"/>
      <c r="AL304" s="550"/>
      <c r="AM304" s="550"/>
      <c r="AR304" s="648"/>
    </row>
    <row r="305" spans="1:44">
      <c r="A305" s="550"/>
      <c r="B305" s="551"/>
      <c r="C305" s="550"/>
      <c r="D305" s="551"/>
      <c r="E305" s="550"/>
      <c r="F305" s="2547"/>
      <c r="G305" s="2548"/>
      <c r="H305" s="2548"/>
      <c r="I305" s="2548"/>
      <c r="J305" s="2548"/>
      <c r="K305" s="2548"/>
      <c r="L305" s="2548"/>
      <c r="M305" s="2548"/>
      <c r="N305" s="2548"/>
      <c r="O305" s="2548"/>
      <c r="P305" s="2548"/>
      <c r="Q305" s="2548"/>
      <c r="R305" s="2548"/>
      <c r="S305" s="2548"/>
      <c r="T305" s="2548"/>
      <c r="U305" s="2548"/>
      <c r="V305" s="2548"/>
      <c r="W305" s="2548"/>
      <c r="X305" s="2548"/>
      <c r="Y305" s="2548"/>
      <c r="Z305" s="2548"/>
      <c r="AA305" s="2548"/>
      <c r="AB305" s="2548"/>
      <c r="AC305" s="2548"/>
      <c r="AD305" s="2549"/>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9"/>
      <c r="G306" s="2570"/>
      <c r="H306" s="2570"/>
      <c r="I306" s="2570"/>
      <c r="J306" s="2570"/>
      <c r="K306" s="2570"/>
      <c r="L306" s="2570"/>
      <c r="M306" s="2570"/>
      <c r="N306" s="2570"/>
      <c r="O306" s="2570"/>
      <c r="P306" s="2570"/>
      <c r="Q306" s="2570"/>
      <c r="R306" s="2570"/>
      <c r="S306" s="2570"/>
      <c r="T306" s="2570"/>
      <c r="U306" s="2570"/>
      <c r="V306" s="2570"/>
      <c r="W306" s="2570"/>
      <c r="X306" s="2570"/>
      <c r="Y306" s="2570"/>
      <c r="Z306" s="2570"/>
      <c r="AA306" s="2570"/>
      <c r="AB306" s="2570"/>
      <c r="AC306" s="2570"/>
      <c r="AD306" s="2571"/>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4" t="s">
        <v>1389</v>
      </c>
      <c r="B310" s="1634"/>
      <c r="C310" s="2445" t="s">
        <v>590</v>
      </c>
      <c r="D310" s="2445"/>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423" t="s">
        <v>2026</v>
      </c>
      <c r="G311" s="2424"/>
      <c r="H311" s="2424"/>
      <c r="I311" s="2424"/>
      <c r="J311" s="2424"/>
      <c r="K311" s="2424"/>
      <c r="L311" s="2424"/>
      <c r="M311" s="2424"/>
      <c r="N311" s="2424"/>
      <c r="O311" s="2424"/>
      <c r="P311" s="2424"/>
      <c r="Q311" s="2424"/>
      <c r="R311" s="2424"/>
      <c r="S311" s="2424"/>
      <c r="T311" s="2424"/>
      <c r="U311" s="2424"/>
      <c r="V311" s="2424"/>
      <c r="W311" s="2424"/>
      <c r="X311" s="2424"/>
      <c r="Y311" s="2424"/>
      <c r="Z311" s="2424"/>
      <c r="AA311" s="2424"/>
      <c r="AB311" s="2424"/>
      <c r="AC311" s="2424"/>
      <c r="AD311" s="2425"/>
      <c r="AE311" s="551"/>
      <c r="AF311" s="551"/>
      <c r="AG311" s="539"/>
      <c r="AH311" s="551"/>
      <c r="AI311" s="551"/>
      <c r="AJ311" s="550"/>
      <c r="AK311" s="550"/>
      <c r="AL311" s="550"/>
      <c r="AM311" s="550"/>
      <c r="AN311" s="73"/>
      <c r="AO311" s="14"/>
      <c r="AP311" s="557" t="s">
        <v>1183</v>
      </c>
    </row>
    <row r="312" spans="1:44" hidden="1">
      <c r="F312" s="2423"/>
      <c r="G312" s="2424"/>
      <c r="H312" s="2424"/>
      <c r="I312" s="2424"/>
      <c r="J312" s="2424"/>
      <c r="K312" s="2424"/>
      <c r="L312" s="2424"/>
      <c r="M312" s="2424"/>
      <c r="N312" s="2424"/>
      <c r="O312" s="2424"/>
      <c r="P312" s="2424"/>
      <c r="Q312" s="2424"/>
      <c r="R312" s="2424"/>
      <c r="S312" s="2424"/>
      <c r="T312" s="2424"/>
      <c r="U312" s="2424"/>
      <c r="V312" s="2424"/>
      <c r="W312" s="2424"/>
      <c r="X312" s="2424"/>
      <c r="Y312" s="2424"/>
      <c r="Z312" s="2424"/>
      <c r="AA312" s="2424"/>
      <c r="AB312" s="2424"/>
      <c r="AC312" s="2424"/>
      <c r="AD312" s="2425"/>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50" t="s">
        <v>1183</v>
      </c>
      <c r="G316" s="2551"/>
      <c r="H316" s="2551"/>
      <c r="I316" s="2551"/>
      <c r="J316" s="2551"/>
      <c r="K316" s="2551"/>
      <c r="L316" s="2551"/>
      <c r="M316" s="2551"/>
      <c r="N316" s="2551"/>
      <c r="O316" s="2551"/>
      <c r="P316" s="2551"/>
      <c r="Q316" s="2551"/>
      <c r="R316" s="2551"/>
      <c r="S316" s="2551"/>
      <c r="T316" s="2551"/>
      <c r="U316" s="2551"/>
      <c r="V316" s="2551"/>
      <c r="W316" s="2551"/>
      <c r="X316" s="2551"/>
      <c r="Y316" s="2551"/>
      <c r="Z316" s="2551"/>
      <c r="AA316" s="2551"/>
      <c r="AB316" s="2551"/>
      <c r="AC316" s="2551"/>
      <c r="AD316" s="2552"/>
      <c r="AE316" s="642"/>
      <c r="AF316" s="642"/>
      <c r="AG316" s="642"/>
      <c r="AH316" s="642"/>
      <c r="AI316" s="642"/>
      <c r="AJ316" s="642"/>
      <c r="AK316" s="642"/>
      <c r="AL316" s="550"/>
      <c r="AM316" s="550"/>
      <c r="AN316" s="73"/>
      <c r="AO316" s="14"/>
      <c r="AP316" s="30"/>
    </row>
    <row r="317" spans="1:44" hidden="1">
      <c r="A317" s="550"/>
      <c r="B317" s="551"/>
      <c r="C317" s="730"/>
      <c r="D317" s="730"/>
      <c r="E317" s="547"/>
      <c r="F317" s="2550"/>
      <c r="G317" s="2551"/>
      <c r="H317" s="2551"/>
      <c r="I317" s="2551"/>
      <c r="J317" s="2551"/>
      <c r="K317" s="2551"/>
      <c r="L317" s="2551"/>
      <c r="M317" s="2551"/>
      <c r="N317" s="2551"/>
      <c r="O317" s="2551"/>
      <c r="P317" s="2551"/>
      <c r="Q317" s="2551"/>
      <c r="R317" s="2551"/>
      <c r="S317" s="2551"/>
      <c r="T317" s="2551"/>
      <c r="U317" s="2551"/>
      <c r="V317" s="2551"/>
      <c r="W317" s="2551"/>
      <c r="X317" s="2551"/>
      <c r="Y317" s="2551"/>
      <c r="Z317" s="2551"/>
      <c r="AA317" s="2551"/>
      <c r="AB317" s="2551"/>
      <c r="AC317" s="2551"/>
      <c r="AD317" s="2552"/>
      <c r="AE317" s="551"/>
      <c r="AF317" s="551"/>
      <c r="AG317" s="539"/>
      <c r="AH317" s="551"/>
      <c r="AI317" s="551"/>
      <c r="AJ317" s="550"/>
      <c r="AK317" s="550"/>
      <c r="AL317" s="550"/>
      <c r="AM317" s="550"/>
      <c r="AN317" s="73"/>
      <c r="AO317" s="14"/>
      <c r="AP317" s="30"/>
    </row>
    <row r="318" spans="1:44" hidden="1">
      <c r="A318" s="550"/>
      <c r="B318" s="551"/>
      <c r="C318" s="730"/>
      <c r="D318" s="730"/>
      <c r="E318" s="547"/>
      <c r="F318" s="2550"/>
      <c r="G318" s="2551"/>
      <c r="H318" s="2551"/>
      <c r="I318" s="2551"/>
      <c r="J318" s="2551"/>
      <c r="K318" s="2551"/>
      <c r="L318" s="2551"/>
      <c r="M318" s="2551"/>
      <c r="N318" s="2551"/>
      <c r="O318" s="2551"/>
      <c r="P318" s="2551"/>
      <c r="Q318" s="2551"/>
      <c r="R318" s="2551"/>
      <c r="S318" s="2551"/>
      <c r="T318" s="2551"/>
      <c r="U318" s="2551"/>
      <c r="V318" s="2551"/>
      <c r="W318" s="2551"/>
      <c r="X318" s="2551"/>
      <c r="Y318" s="2551"/>
      <c r="Z318" s="2551"/>
      <c r="AA318" s="2551"/>
      <c r="AB318" s="2551"/>
      <c r="AC318" s="2551"/>
      <c r="AD318" s="2552"/>
      <c r="AE318" s="551"/>
      <c r="AF318" s="551"/>
      <c r="AG318" s="539"/>
      <c r="AH318" s="551"/>
      <c r="AI318" s="551"/>
      <c r="AJ318" s="550"/>
      <c r="AK318" s="550"/>
      <c r="AL318" s="550"/>
      <c r="AM318" s="550"/>
      <c r="AN318" s="73"/>
      <c r="AO318" s="14"/>
      <c r="AP318" s="30"/>
    </row>
    <row r="319" spans="1:44" hidden="1">
      <c r="A319" s="550"/>
      <c r="B319" s="551"/>
      <c r="C319" s="730"/>
      <c r="D319" s="730"/>
      <c r="E319" s="547"/>
      <c r="F319" s="2550"/>
      <c r="G319" s="2551"/>
      <c r="H319" s="2551"/>
      <c r="I319" s="2551"/>
      <c r="J319" s="2551"/>
      <c r="K319" s="2551"/>
      <c r="L319" s="2551"/>
      <c r="M319" s="2551"/>
      <c r="N319" s="2551"/>
      <c r="O319" s="2551"/>
      <c r="P319" s="2551"/>
      <c r="Q319" s="2551"/>
      <c r="R319" s="2551"/>
      <c r="S319" s="2551"/>
      <c r="T319" s="2551"/>
      <c r="U319" s="2551"/>
      <c r="V319" s="2551"/>
      <c r="W319" s="2551"/>
      <c r="X319" s="2551"/>
      <c r="Y319" s="2551"/>
      <c r="Z319" s="2551"/>
      <c r="AA319" s="2551"/>
      <c r="AB319" s="2551"/>
      <c r="AC319" s="2551"/>
      <c r="AD319" s="2552"/>
      <c r="AE319" s="551"/>
      <c r="AF319" s="551"/>
      <c r="AG319" s="539"/>
      <c r="AH319" s="551"/>
      <c r="AI319" s="551"/>
      <c r="AJ319" s="550"/>
      <c r="AK319" s="550"/>
      <c r="AL319" s="550"/>
      <c r="AM319" s="550"/>
      <c r="AN319" s="73"/>
      <c r="AO319" s="14"/>
      <c r="AP319" s="30"/>
    </row>
    <row r="320" spans="1:44" hidden="1">
      <c r="A320" s="550"/>
      <c r="B320" s="551"/>
      <c r="C320" s="730"/>
      <c r="D320" s="730"/>
      <c r="E320" s="547"/>
      <c r="F320" s="2553"/>
      <c r="G320" s="2554"/>
      <c r="H320" s="2554"/>
      <c r="I320" s="2554"/>
      <c r="J320" s="2554"/>
      <c r="K320" s="2554"/>
      <c r="L320" s="2554"/>
      <c r="M320" s="2554"/>
      <c r="N320" s="2554"/>
      <c r="O320" s="2554"/>
      <c r="P320" s="2554"/>
      <c r="Q320" s="2554"/>
      <c r="R320" s="2554"/>
      <c r="S320" s="2554"/>
      <c r="T320" s="2554"/>
      <c r="U320" s="2554"/>
      <c r="V320" s="2554"/>
      <c r="W320" s="2554"/>
      <c r="X320" s="2554"/>
      <c r="Y320" s="2554"/>
      <c r="Z320" s="2554"/>
      <c r="AA320" s="2554"/>
      <c r="AB320" s="2554"/>
      <c r="AC320" s="2554"/>
      <c r="AD320" s="2555"/>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1183</v>
      </c>
    </row>
    <row r="324" spans="1:42" ht="12.75" hidden="1" customHeight="1">
      <c r="A324" s="550"/>
      <c r="B324" s="551"/>
      <c r="C324" s="730"/>
      <c r="D324" s="730"/>
      <c r="E324" s="547"/>
      <c r="F324" s="656"/>
      <c r="G324" s="575" t="s">
        <v>686</v>
      </c>
      <c r="H324" s="575"/>
      <c r="I324" s="2556" t="s">
        <v>1183</v>
      </c>
      <c r="J324" s="2556"/>
      <c r="K324" s="2556"/>
      <c r="L324" s="2556"/>
      <c r="M324" s="2556"/>
      <c r="N324" s="2556"/>
      <c r="O324" s="2556"/>
      <c r="P324" s="2556"/>
      <c r="Q324" s="2556"/>
      <c r="R324" s="2556"/>
      <c r="S324" s="2556"/>
      <c r="T324" s="2556"/>
      <c r="U324" s="2556"/>
      <c r="V324" s="2556"/>
      <c r="W324" s="2556"/>
      <c r="X324" s="2556"/>
      <c r="Y324" s="2556"/>
      <c r="Z324" s="2556"/>
      <c r="AA324" s="2556"/>
      <c r="AB324" s="2556"/>
      <c r="AC324" s="2556"/>
      <c r="AD324" s="2557"/>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56"/>
      <c r="J325" s="2556"/>
      <c r="K325" s="2556"/>
      <c r="L325" s="2556"/>
      <c r="M325" s="2556"/>
      <c r="N325" s="2556"/>
      <c r="O325" s="2556"/>
      <c r="P325" s="2556"/>
      <c r="Q325" s="2556"/>
      <c r="R325" s="2556"/>
      <c r="S325" s="2556"/>
      <c r="T325" s="2556"/>
      <c r="U325" s="2556"/>
      <c r="V325" s="2556"/>
      <c r="W325" s="2556"/>
      <c r="X325" s="2556"/>
      <c r="Y325" s="2556"/>
      <c r="Z325" s="2556"/>
      <c r="AA325" s="2556"/>
      <c r="AB325" s="2556"/>
      <c r="AC325" s="2556"/>
      <c r="AD325" s="2557"/>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56"/>
      <c r="J326" s="2556"/>
      <c r="K326" s="2556"/>
      <c r="L326" s="2556"/>
      <c r="M326" s="2556"/>
      <c r="N326" s="2556"/>
      <c r="O326" s="2556"/>
      <c r="P326" s="2556"/>
      <c r="Q326" s="2556"/>
      <c r="R326" s="2556"/>
      <c r="S326" s="2556"/>
      <c r="T326" s="2556"/>
      <c r="U326" s="2556"/>
      <c r="V326" s="2556"/>
      <c r="W326" s="2556"/>
      <c r="X326" s="2556"/>
      <c r="Y326" s="2556"/>
      <c r="Z326" s="2556"/>
      <c r="AA326" s="2556"/>
      <c r="AB326" s="2556"/>
      <c r="AC326" s="2556"/>
      <c r="AD326" s="2557"/>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58"/>
      <c r="J327" s="2558"/>
      <c r="K327" s="2558"/>
      <c r="L327" s="2558"/>
      <c r="M327" s="2558"/>
      <c r="N327" s="2558"/>
      <c r="O327" s="2558"/>
      <c r="P327" s="2558"/>
      <c r="Q327" s="2558"/>
      <c r="R327" s="2558"/>
      <c r="S327" s="2558"/>
      <c r="T327" s="2558"/>
      <c r="U327" s="2558"/>
      <c r="V327" s="2558"/>
      <c r="W327" s="2558"/>
      <c r="X327" s="2558"/>
      <c r="Y327" s="2558"/>
      <c r="Z327" s="2558"/>
      <c r="AA327" s="2558"/>
      <c r="AB327" s="2558"/>
      <c r="AC327" s="2558"/>
      <c r="AD327" s="2559"/>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508</v>
      </c>
      <c r="H329" s="551"/>
      <c r="I329" s="2556" t="s">
        <v>1183</v>
      </c>
      <c r="J329" s="2556"/>
      <c r="K329" s="2556"/>
      <c r="L329" s="2556"/>
      <c r="M329" s="2556"/>
      <c r="N329" s="2556"/>
      <c r="O329" s="2556"/>
      <c r="P329" s="2556"/>
      <c r="Q329" s="2556"/>
      <c r="R329" s="2556"/>
      <c r="S329" s="2556"/>
      <c r="T329" s="2556"/>
      <c r="U329" s="2556"/>
      <c r="V329" s="2556"/>
      <c r="W329" s="2556"/>
      <c r="X329" s="2556"/>
      <c r="Y329" s="2556"/>
      <c r="Z329" s="2556"/>
      <c r="AA329" s="2556"/>
      <c r="AB329" s="2556"/>
      <c r="AC329" s="2556"/>
      <c r="AD329" s="2557"/>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6"/>
      <c r="J330" s="2556"/>
      <c r="K330" s="2556"/>
      <c r="L330" s="2556"/>
      <c r="M330" s="2556"/>
      <c r="N330" s="2556"/>
      <c r="O330" s="2556"/>
      <c r="P330" s="2556"/>
      <c r="Q330" s="2556"/>
      <c r="R330" s="2556"/>
      <c r="S330" s="2556"/>
      <c r="T330" s="2556"/>
      <c r="U330" s="2556"/>
      <c r="V330" s="2556"/>
      <c r="W330" s="2556"/>
      <c r="X330" s="2556"/>
      <c r="Y330" s="2556"/>
      <c r="Z330" s="2556"/>
      <c r="AA330" s="2556"/>
      <c r="AB330" s="2556"/>
      <c r="AC330" s="2556"/>
      <c r="AD330" s="2557"/>
      <c r="AE330" s="551"/>
      <c r="AF330" s="551"/>
      <c r="AG330" s="539"/>
      <c r="AH330" s="551"/>
      <c r="AI330" s="551"/>
      <c r="AJ330" s="550"/>
      <c r="AK330" s="550"/>
      <c r="AL330" s="550"/>
      <c r="AM330" s="550"/>
      <c r="AN330" s="73"/>
      <c r="AO330" s="14"/>
      <c r="AP330" s="557" t="s">
        <v>1183</v>
      </c>
    </row>
    <row r="331" spans="1:42" hidden="1">
      <c r="A331" s="550"/>
      <c r="B331" s="551"/>
      <c r="C331" s="651"/>
      <c r="D331" s="651"/>
      <c r="E331" s="547"/>
      <c r="F331" s="657"/>
      <c r="G331" s="658"/>
      <c r="H331" s="658"/>
      <c r="I331" s="2558"/>
      <c r="J331" s="2558"/>
      <c r="K331" s="2558"/>
      <c r="L331" s="2558"/>
      <c r="M331" s="2558"/>
      <c r="N331" s="2558"/>
      <c r="O331" s="2558"/>
      <c r="P331" s="2558"/>
      <c r="Q331" s="2558"/>
      <c r="R331" s="2558"/>
      <c r="S331" s="2558"/>
      <c r="T331" s="2558"/>
      <c r="U331" s="2558"/>
      <c r="V331" s="2558"/>
      <c r="W331" s="2558"/>
      <c r="X331" s="2558"/>
      <c r="Y331" s="2558"/>
      <c r="Z331" s="2558"/>
      <c r="AA331" s="2558"/>
      <c r="AB331" s="2558"/>
      <c r="AC331" s="2558"/>
      <c r="AD331" s="2559"/>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34" t="s">
        <v>1392</v>
      </c>
      <c r="B333" s="1634"/>
      <c r="C333" s="2445" t="s">
        <v>590</v>
      </c>
      <c r="D333" s="2445"/>
      <c r="E333" s="547"/>
      <c r="F333" s="2544" t="s">
        <v>2027</v>
      </c>
      <c r="G333" s="2545"/>
      <c r="H333" s="2545"/>
      <c r="I333" s="2545"/>
      <c r="J333" s="2545"/>
      <c r="K333" s="2545"/>
      <c r="L333" s="2545"/>
      <c r="M333" s="2545"/>
      <c r="N333" s="2545"/>
      <c r="O333" s="2545"/>
      <c r="P333" s="2545"/>
      <c r="Q333" s="2545"/>
      <c r="R333" s="2545"/>
      <c r="S333" s="2545"/>
      <c r="T333" s="2545"/>
      <c r="U333" s="2545"/>
      <c r="V333" s="2545"/>
      <c r="W333" s="2545"/>
      <c r="X333" s="2545"/>
      <c r="Y333" s="2545"/>
      <c r="Z333" s="2545"/>
      <c r="AA333" s="2545"/>
      <c r="AB333" s="2545"/>
      <c r="AC333" s="2545"/>
      <c r="AD333" s="2546"/>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547"/>
      <c r="G334" s="2548"/>
      <c r="H334" s="2548"/>
      <c r="I334" s="2548"/>
      <c r="J334" s="2548"/>
      <c r="K334" s="2548"/>
      <c r="L334" s="2548"/>
      <c r="M334" s="2548"/>
      <c r="N334" s="2548"/>
      <c r="O334" s="2548"/>
      <c r="P334" s="2548"/>
      <c r="Q334" s="2548"/>
      <c r="R334" s="2548"/>
      <c r="S334" s="2548"/>
      <c r="T334" s="2548"/>
      <c r="U334" s="2548"/>
      <c r="V334" s="2548"/>
      <c r="W334" s="2548"/>
      <c r="X334" s="2548"/>
      <c r="Y334" s="2548"/>
      <c r="Z334" s="2548"/>
      <c r="AA334" s="2548"/>
      <c r="AB334" s="2548"/>
      <c r="AC334" s="2548"/>
      <c r="AD334" s="2549"/>
      <c r="AE334" s="551"/>
      <c r="AF334" s="551"/>
      <c r="AG334" s="551"/>
      <c r="AH334" s="551"/>
      <c r="AI334" s="551"/>
      <c r="AJ334" s="550"/>
      <c r="AK334" s="550"/>
      <c r="AL334" s="550"/>
      <c r="AM334" s="550"/>
      <c r="AN334" s="73"/>
      <c r="AO334" s="14"/>
    </row>
    <row r="335" spans="1:42" ht="15" hidden="1" customHeight="1">
      <c r="A335" s="550"/>
      <c r="B335" s="551"/>
      <c r="C335" s="551"/>
      <c r="D335" s="551"/>
      <c r="E335" s="551"/>
      <c r="F335" s="2547"/>
      <c r="G335" s="2548"/>
      <c r="H335" s="2548"/>
      <c r="I335" s="2548"/>
      <c r="J335" s="2548"/>
      <c r="K335" s="2548"/>
      <c r="L335" s="2548"/>
      <c r="M335" s="2548"/>
      <c r="N335" s="2548"/>
      <c r="O335" s="2548"/>
      <c r="P335" s="2548"/>
      <c r="Q335" s="2548"/>
      <c r="R335" s="2548"/>
      <c r="S335" s="2548"/>
      <c r="T335" s="2548"/>
      <c r="U335" s="2548"/>
      <c r="V335" s="2548"/>
      <c r="W335" s="2548"/>
      <c r="X335" s="2548"/>
      <c r="Y335" s="2548"/>
      <c r="Z335" s="2548"/>
      <c r="AA335" s="2548"/>
      <c r="AB335" s="2548"/>
      <c r="AC335" s="2548"/>
      <c r="AD335" s="2549"/>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31">
        <f>IF(NOT(OR(Application!M355="Yes",Application!M356="Yes")),0,AP295)</f>
        <v>10</v>
      </c>
      <c r="AL338" s="2432"/>
      <c r="AM338" s="2433"/>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844</v>
      </c>
      <c r="C341" s="536"/>
      <c r="AC341" s="539"/>
      <c r="AE341" s="2464" t="s">
        <v>1314</v>
      </c>
      <c r="AF341" s="2464"/>
      <c r="AG341" s="2464"/>
      <c r="AH341" s="2464"/>
      <c r="AI341" s="2464"/>
      <c r="AJ341" s="2464"/>
      <c r="AK341" s="2464"/>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40" t="s">
        <v>1454</v>
      </c>
      <c r="D343" s="2440"/>
      <c r="E343" s="2440"/>
      <c r="F343" s="2440"/>
      <c r="G343" s="2440"/>
      <c r="H343" s="2440"/>
      <c r="I343" s="2440"/>
      <c r="J343" s="2440"/>
      <c r="K343" s="2440"/>
      <c r="L343" s="2440"/>
      <c r="M343" s="2440"/>
      <c r="N343" s="2440"/>
      <c r="O343" s="2440"/>
      <c r="P343" s="2440"/>
      <c r="Q343" s="2440"/>
      <c r="R343" s="2440"/>
      <c r="S343" s="2440"/>
      <c r="T343" s="2440"/>
      <c r="U343" s="2440"/>
      <c r="V343" s="2440"/>
      <c r="W343" s="2440"/>
      <c r="X343" s="2440"/>
      <c r="Y343" s="2440"/>
      <c r="Z343" s="2440"/>
      <c r="AA343" s="2440"/>
      <c r="AB343" s="2440"/>
      <c r="AC343" s="2440"/>
      <c r="AD343" s="2440"/>
      <c r="AE343" s="2440"/>
      <c r="AF343" s="2440"/>
      <c r="AG343" s="2440"/>
      <c r="AH343" s="2440"/>
      <c r="AI343" s="2440"/>
      <c r="AJ343" s="2440"/>
      <c r="AK343" s="603"/>
      <c r="AL343" s="603"/>
      <c r="AM343" s="603"/>
      <c r="AN343" s="597"/>
    </row>
    <row r="344" spans="1:44" s="550" customFormat="1" ht="12.75" customHeight="1">
      <c r="A344" s="603"/>
      <c r="B344" s="611"/>
      <c r="C344" s="2440"/>
      <c r="D344" s="2440"/>
      <c r="E344" s="2440"/>
      <c r="F344" s="2440"/>
      <c r="G344" s="2440"/>
      <c r="H344" s="2440"/>
      <c r="I344" s="2440"/>
      <c r="J344" s="2440"/>
      <c r="K344" s="2440"/>
      <c r="L344" s="2440"/>
      <c r="M344" s="2440"/>
      <c r="N344" s="2440"/>
      <c r="O344" s="2440"/>
      <c r="P344" s="2440"/>
      <c r="Q344" s="2440"/>
      <c r="R344" s="2440"/>
      <c r="S344" s="2440"/>
      <c r="T344" s="2440"/>
      <c r="U344" s="2440"/>
      <c r="V344" s="2440"/>
      <c r="W344" s="2440"/>
      <c r="X344" s="2440"/>
      <c r="Y344" s="2440"/>
      <c r="Z344" s="2440"/>
      <c r="AA344" s="2440"/>
      <c r="AB344" s="2440"/>
      <c r="AC344" s="2440"/>
      <c r="AD344" s="2440"/>
      <c r="AE344" s="2440"/>
      <c r="AF344" s="2440"/>
      <c r="AG344" s="2440"/>
      <c r="AH344" s="2440"/>
      <c r="AI344" s="2440"/>
      <c r="AJ344" s="2440"/>
      <c r="AK344" s="603"/>
      <c r="AL344" s="603"/>
      <c r="AM344" s="603"/>
      <c r="AN344" s="597"/>
    </row>
    <row r="345" spans="1:44" s="550" customFormat="1" ht="12.75" customHeight="1">
      <c r="A345" s="603"/>
      <c r="B345" s="611"/>
      <c r="C345" s="2440"/>
      <c r="D345" s="2440"/>
      <c r="E345" s="2440"/>
      <c r="F345" s="2440"/>
      <c r="G345" s="2440"/>
      <c r="H345" s="2440"/>
      <c r="I345" s="2440"/>
      <c r="J345" s="2440"/>
      <c r="K345" s="2440"/>
      <c r="L345" s="2440"/>
      <c r="M345" s="2440"/>
      <c r="N345" s="2440"/>
      <c r="O345" s="2440"/>
      <c r="P345" s="2440"/>
      <c r="Q345" s="2440"/>
      <c r="R345" s="2440"/>
      <c r="S345" s="2440"/>
      <c r="T345" s="2440"/>
      <c r="U345" s="2440"/>
      <c r="V345" s="2440"/>
      <c r="W345" s="2440"/>
      <c r="X345" s="2440"/>
      <c r="Y345" s="2440"/>
      <c r="Z345" s="2440"/>
      <c r="AA345" s="2440"/>
      <c r="AB345" s="2440"/>
      <c r="AC345" s="2440"/>
      <c r="AD345" s="2440"/>
      <c r="AE345" s="2440"/>
      <c r="AF345" s="2440"/>
      <c r="AG345" s="2440"/>
      <c r="AH345" s="2440"/>
      <c r="AI345" s="2440"/>
      <c r="AJ345" s="2440"/>
      <c r="AK345" s="603"/>
      <c r="AL345" s="603"/>
      <c r="AM345" s="603"/>
      <c r="AN345" s="597"/>
      <c r="AQ345" s="570"/>
    </row>
    <row r="346" spans="1:44" s="550" customFormat="1" ht="12.75" customHeight="1">
      <c r="A346" s="603"/>
      <c r="B346" s="611"/>
      <c r="C346" s="2440"/>
      <c r="D346" s="2440"/>
      <c r="E346" s="2440"/>
      <c r="F346" s="2440"/>
      <c r="G346" s="2440"/>
      <c r="H346" s="2440"/>
      <c r="I346" s="2440"/>
      <c r="J346" s="2440"/>
      <c r="K346" s="2440"/>
      <c r="L346" s="2440"/>
      <c r="M346" s="2440"/>
      <c r="N346" s="2440"/>
      <c r="O346" s="2440"/>
      <c r="P346" s="2440"/>
      <c r="Q346" s="2440"/>
      <c r="R346" s="2440"/>
      <c r="S346" s="2440"/>
      <c r="T346" s="2440"/>
      <c r="U346" s="2440"/>
      <c r="V346" s="2440"/>
      <c r="W346" s="2440"/>
      <c r="X346" s="2440"/>
      <c r="Y346" s="2440"/>
      <c r="Z346" s="2440"/>
      <c r="AA346" s="2440"/>
      <c r="AB346" s="2440"/>
      <c r="AC346" s="2440"/>
      <c r="AD346" s="2440"/>
      <c r="AE346" s="2440"/>
      <c r="AF346" s="2440"/>
      <c r="AG346" s="2440"/>
      <c r="AH346" s="2440"/>
      <c r="AI346" s="2440"/>
      <c r="AJ346" s="2440"/>
      <c r="AK346" s="603"/>
      <c r="AL346" s="603"/>
      <c r="AM346" s="603"/>
      <c r="AN346" s="597"/>
      <c r="AQ346" s="570"/>
    </row>
    <row r="347" spans="1:44" s="550" customFormat="1" ht="12.4" customHeight="1">
      <c r="A347" s="603"/>
      <c r="B347" s="611"/>
      <c r="C347" s="2440"/>
      <c r="D347" s="2440"/>
      <c r="E347" s="2440"/>
      <c r="F347" s="2440"/>
      <c r="G347" s="2440"/>
      <c r="H347" s="2440"/>
      <c r="I347" s="2440"/>
      <c r="J347" s="2440"/>
      <c r="K347" s="2440"/>
      <c r="L347" s="2440"/>
      <c r="M347" s="2440"/>
      <c r="N347" s="2440"/>
      <c r="O347" s="2440"/>
      <c r="P347" s="2440"/>
      <c r="Q347" s="2440"/>
      <c r="R347" s="2440"/>
      <c r="S347" s="2440"/>
      <c r="T347" s="2440"/>
      <c r="U347" s="2440"/>
      <c r="V347" s="2440"/>
      <c r="W347" s="2440"/>
      <c r="X347" s="2440"/>
      <c r="Y347" s="2440"/>
      <c r="Z347" s="2440"/>
      <c r="AA347" s="2440"/>
      <c r="AB347" s="2440"/>
      <c r="AC347" s="2440"/>
      <c r="AD347" s="2440"/>
      <c r="AE347" s="2440"/>
      <c r="AF347" s="2440"/>
      <c r="AG347" s="2440"/>
      <c r="AH347" s="2440"/>
      <c r="AI347" s="2440"/>
      <c r="AJ347" s="2440"/>
      <c r="AK347" s="603"/>
      <c r="AL347" s="603"/>
      <c r="AM347" s="603"/>
      <c r="AN347" s="597"/>
      <c r="AQ347" s="570"/>
      <c r="AR347" s="570"/>
    </row>
    <row r="348" spans="1:44" s="550" customFormat="1" ht="45.75" customHeight="1">
      <c r="A348" s="603"/>
      <c r="B348" s="611"/>
      <c r="C348" s="2440" t="s">
        <v>2092</v>
      </c>
      <c r="D348" s="2440"/>
      <c r="E348" s="2440"/>
      <c r="F348" s="2440"/>
      <c r="G348" s="2440"/>
      <c r="H348" s="2440"/>
      <c r="I348" s="2440"/>
      <c r="J348" s="2440"/>
      <c r="K348" s="2440"/>
      <c r="L348" s="2440"/>
      <c r="M348" s="2440"/>
      <c r="N348" s="2440"/>
      <c r="O348" s="2440"/>
      <c r="P348" s="2440"/>
      <c r="Q348" s="2440"/>
      <c r="R348" s="2440"/>
      <c r="S348" s="2440"/>
      <c r="T348" s="2440"/>
      <c r="U348" s="2440"/>
      <c r="V348" s="2440"/>
      <c r="W348" s="2440"/>
      <c r="X348" s="2440"/>
      <c r="Y348" s="2440"/>
      <c r="Z348" s="2440"/>
      <c r="AA348" s="2440"/>
      <c r="AB348" s="2440"/>
      <c r="AC348" s="2440"/>
      <c r="AD348" s="2440"/>
      <c r="AE348" s="2440"/>
      <c r="AF348" s="2440"/>
      <c r="AG348" s="2440"/>
      <c r="AH348" s="2440"/>
      <c r="AI348" s="2440"/>
      <c r="AJ348" s="2440"/>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40" t="s">
        <v>2207</v>
      </c>
      <c r="D350" s="2440"/>
      <c r="E350" s="2440"/>
      <c r="F350" s="2440"/>
      <c r="G350" s="2440"/>
      <c r="H350" s="2440"/>
      <c r="I350" s="2440"/>
      <c r="J350" s="2440"/>
      <c r="K350" s="2440"/>
      <c r="L350" s="2440"/>
      <c r="M350" s="2440"/>
      <c r="N350" s="2440"/>
      <c r="O350" s="2440"/>
      <c r="P350" s="2440"/>
      <c r="Q350" s="2440"/>
      <c r="R350" s="2440"/>
      <c r="S350" s="2440"/>
      <c r="T350" s="2440"/>
      <c r="U350" s="2440"/>
      <c r="V350" s="2440"/>
      <c r="W350" s="2440"/>
      <c r="X350" s="2440"/>
      <c r="Y350" s="2440"/>
      <c r="Z350" s="2440"/>
      <c r="AA350" s="2440"/>
      <c r="AB350" s="2440"/>
      <c r="AC350" s="2440"/>
      <c r="AD350" s="2440"/>
      <c r="AE350" s="2440"/>
      <c r="AF350" s="2440"/>
      <c r="AG350" s="2440"/>
      <c r="AH350" s="2440"/>
      <c r="AI350" s="2440"/>
      <c r="AJ350" s="2440"/>
      <c r="AK350" s="603"/>
      <c r="AL350" s="603"/>
      <c r="AM350" s="603"/>
      <c r="AN350" s="597"/>
      <c r="AQ350" s="570"/>
      <c r="AR350" s="570"/>
    </row>
    <row r="351" spans="1:44" s="550" customFormat="1" ht="30" customHeight="1">
      <c r="A351" s="603"/>
      <c r="B351" s="611"/>
      <c r="C351" s="2440"/>
      <c r="D351" s="2440"/>
      <c r="E351" s="2440"/>
      <c r="F351" s="2440"/>
      <c r="G351" s="2440"/>
      <c r="H351" s="2440"/>
      <c r="I351" s="2440"/>
      <c r="J351" s="2440"/>
      <c r="K351" s="2440"/>
      <c r="L351" s="2440"/>
      <c r="M351" s="2440"/>
      <c r="N351" s="2440"/>
      <c r="O351" s="2440"/>
      <c r="P351" s="2440"/>
      <c r="Q351" s="2440"/>
      <c r="R351" s="2440"/>
      <c r="S351" s="2440"/>
      <c r="T351" s="2440"/>
      <c r="U351" s="2440"/>
      <c r="V351" s="2440"/>
      <c r="W351" s="2440"/>
      <c r="X351" s="2440"/>
      <c r="Y351" s="2440"/>
      <c r="Z351" s="2440"/>
      <c r="AA351" s="2440"/>
      <c r="AB351" s="2440"/>
      <c r="AC351" s="2440"/>
      <c r="AD351" s="2440"/>
      <c r="AE351" s="2440"/>
      <c r="AF351" s="2440"/>
      <c r="AG351" s="2440"/>
      <c r="AH351" s="2440"/>
      <c r="AI351" s="2440"/>
      <c r="AJ351" s="2440"/>
      <c r="AK351" s="603"/>
      <c r="AL351" s="603"/>
      <c r="AM351" s="603"/>
      <c r="AN351" s="597"/>
      <c r="AR351" s="570"/>
    </row>
    <row r="352" spans="1:44" s="550" customFormat="1" ht="12.75" customHeight="1">
      <c r="A352" s="603"/>
      <c r="B352" s="611"/>
      <c r="C352" s="2440"/>
      <c r="D352" s="2440"/>
      <c r="E352" s="2440"/>
      <c r="F352" s="2440"/>
      <c r="G352" s="2440"/>
      <c r="H352" s="2440"/>
      <c r="I352" s="2440"/>
      <c r="J352" s="2440"/>
      <c r="K352" s="2440"/>
      <c r="L352" s="2440"/>
      <c r="M352" s="2440"/>
      <c r="N352" s="2440"/>
      <c r="O352" s="2440"/>
      <c r="P352" s="2440"/>
      <c r="Q352" s="2440"/>
      <c r="R352" s="2440"/>
      <c r="S352" s="2440"/>
      <c r="T352" s="2440"/>
      <c r="U352" s="2440"/>
      <c r="V352" s="2440"/>
      <c r="W352" s="2440"/>
      <c r="X352" s="2440"/>
      <c r="Y352" s="2440"/>
      <c r="Z352" s="2440"/>
      <c r="AA352" s="2440"/>
      <c r="AB352" s="2440"/>
      <c r="AC352" s="2440"/>
      <c r="AD352" s="2440"/>
      <c r="AE352" s="2440"/>
      <c r="AF352" s="2440"/>
      <c r="AG352" s="2440"/>
      <c r="AH352" s="2440"/>
      <c r="AI352" s="2440"/>
      <c r="AJ352" s="2440"/>
      <c r="AK352" s="603"/>
      <c r="AL352" s="603"/>
      <c r="AM352" s="603"/>
      <c r="AN352" s="597"/>
      <c r="AR352" s="570"/>
    </row>
    <row r="353" spans="1:46" s="550" customFormat="1" ht="12.75" customHeight="1">
      <c r="A353" s="603"/>
      <c r="B353" s="611"/>
      <c r="C353" s="2440" t="s">
        <v>1455</v>
      </c>
      <c r="D353" s="2440"/>
      <c r="E353" s="2440"/>
      <c r="F353" s="2440"/>
      <c r="G353" s="2440"/>
      <c r="H353" s="2440"/>
      <c r="I353" s="2440"/>
      <c r="J353" s="2440"/>
      <c r="K353" s="2440"/>
      <c r="L353" s="2440"/>
      <c r="M353" s="2440"/>
      <c r="N353" s="2440"/>
      <c r="O353" s="2440"/>
      <c r="P353" s="2440"/>
      <c r="Q353" s="2440"/>
      <c r="R353" s="2440"/>
      <c r="S353" s="2440"/>
      <c r="T353" s="2440"/>
      <c r="U353" s="2440"/>
      <c r="V353" s="2440"/>
      <c r="W353" s="2440"/>
      <c r="X353" s="2440"/>
      <c r="Y353" s="2440"/>
      <c r="Z353" s="2440"/>
      <c r="AA353" s="2440"/>
      <c r="AB353" s="2440"/>
      <c r="AC353" s="2440"/>
      <c r="AD353" s="2440"/>
      <c r="AE353" s="2440"/>
      <c r="AF353" s="2440"/>
      <c r="AG353" s="2440"/>
      <c r="AH353" s="2440"/>
      <c r="AI353" s="2440"/>
      <c r="AJ353" s="2440"/>
      <c r="AK353" s="603"/>
      <c r="AL353" s="603"/>
      <c r="AM353" s="603"/>
      <c r="AN353" s="597"/>
      <c r="AQ353" s="570"/>
      <c r="AR353" s="570"/>
    </row>
    <row r="354" spans="1:46" s="550" customFormat="1" ht="12.75" customHeight="1">
      <c r="A354" s="603"/>
      <c r="B354" s="611"/>
      <c r="C354" s="2440"/>
      <c r="D354" s="2440"/>
      <c r="E354" s="2440"/>
      <c r="F354" s="2440"/>
      <c r="G354" s="2440"/>
      <c r="H354" s="2440"/>
      <c r="I354" s="2440"/>
      <c r="J354" s="2440"/>
      <c r="K354" s="2440"/>
      <c r="L354" s="2440"/>
      <c r="M354" s="2440"/>
      <c r="N354" s="2440"/>
      <c r="O354" s="2440"/>
      <c r="P354" s="2440"/>
      <c r="Q354" s="2440"/>
      <c r="R354" s="2440"/>
      <c r="S354" s="2440"/>
      <c r="T354" s="2440"/>
      <c r="U354" s="2440"/>
      <c r="V354" s="2440"/>
      <c r="W354" s="2440"/>
      <c r="X354" s="2440"/>
      <c r="Y354" s="2440"/>
      <c r="Z354" s="2440"/>
      <c r="AA354" s="2440"/>
      <c r="AB354" s="2440"/>
      <c r="AC354" s="2440"/>
      <c r="AD354" s="2440"/>
      <c r="AE354" s="2440"/>
      <c r="AF354" s="2440"/>
      <c r="AG354" s="2440"/>
      <c r="AH354" s="2440"/>
      <c r="AI354" s="2440"/>
      <c r="AJ354" s="2440"/>
      <c r="AK354" s="603"/>
      <c r="AL354" s="603"/>
      <c r="AM354" s="603"/>
      <c r="AN354" s="597"/>
      <c r="AQ354" s="570"/>
      <c r="AR354" s="570"/>
    </row>
    <row r="355" spans="1:46" s="550" customFormat="1" ht="13.15" customHeight="1">
      <c r="A355" s="603"/>
      <c r="B355" s="611"/>
      <c r="C355" s="2440"/>
      <c r="D355" s="2440"/>
      <c r="E355" s="2440"/>
      <c r="F355" s="2440"/>
      <c r="G355" s="2440"/>
      <c r="H355" s="2440"/>
      <c r="I355" s="2440"/>
      <c r="J355" s="2440"/>
      <c r="K355" s="2440"/>
      <c r="L355" s="2440"/>
      <c r="M355" s="2440"/>
      <c r="N355" s="2440"/>
      <c r="O355" s="2440"/>
      <c r="P355" s="2440"/>
      <c r="Q355" s="2440"/>
      <c r="R355" s="2440"/>
      <c r="S355" s="2440"/>
      <c r="T355" s="2440"/>
      <c r="U355" s="2440"/>
      <c r="V355" s="2440"/>
      <c r="W355" s="2440"/>
      <c r="X355" s="2440"/>
      <c r="Y355" s="2440"/>
      <c r="Z355" s="2440"/>
      <c r="AA355" s="2440"/>
      <c r="AB355" s="2440"/>
      <c r="AC355" s="2440"/>
      <c r="AD355" s="2440"/>
      <c r="AE355" s="2440"/>
      <c r="AF355" s="2440"/>
      <c r="AG355" s="2440"/>
      <c r="AH355" s="2440"/>
      <c r="AI355" s="2440"/>
      <c r="AJ355" s="2440"/>
      <c r="AK355" s="603"/>
      <c r="AL355" s="603"/>
      <c r="AM355" s="603"/>
      <c r="AN355" s="597"/>
      <c r="AQ355" s="570"/>
      <c r="AR355" s="570"/>
    </row>
    <row r="356" spans="1:46" s="550" customFormat="1" ht="12.75" customHeight="1">
      <c r="A356" s="603"/>
      <c r="B356" s="611"/>
      <c r="C356" s="2440"/>
      <c r="D356" s="2440"/>
      <c r="E356" s="2440"/>
      <c r="F356" s="2440"/>
      <c r="G356" s="2440"/>
      <c r="H356" s="2440"/>
      <c r="I356" s="2440"/>
      <c r="J356" s="2440"/>
      <c r="K356" s="2440"/>
      <c r="L356" s="2440"/>
      <c r="M356" s="2440"/>
      <c r="N356" s="2440"/>
      <c r="O356" s="2440"/>
      <c r="P356" s="2440"/>
      <c r="Q356" s="2440"/>
      <c r="R356" s="2440"/>
      <c r="S356" s="2440"/>
      <c r="T356" s="2440"/>
      <c r="U356" s="2440"/>
      <c r="V356" s="2440"/>
      <c r="W356" s="2440"/>
      <c r="X356" s="2440"/>
      <c r="Y356" s="2440"/>
      <c r="Z356" s="2440"/>
      <c r="AA356" s="2440"/>
      <c r="AB356" s="2440"/>
      <c r="AC356" s="2440"/>
      <c r="AD356" s="2440"/>
      <c r="AE356" s="2440"/>
      <c r="AF356" s="2440"/>
      <c r="AG356" s="2440"/>
      <c r="AH356" s="2440"/>
      <c r="AI356" s="2440"/>
      <c r="AJ356" s="2440"/>
      <c r="AK356" s="603"/>
      <c r="AL356" s="603"/>
      <c r="AM356" s="603"/>
      <c r="AN356" s="597"/>
      <c r="AO356" s="694"/>
      <c r="AP356" s="694"/>
      <c r="AQ356" s="570"/>
    </row>
    <row r="357" spans="1:46" s="550" customFormat="1" ht="11.85" customHeight="1">
      <c r="A357" s="603"/>
      <c r="B357" s="611"/>
      <c r="C357" s="2440"/>
      <c r="D357" s="2440"/>
      <c r="E357" s="2440"/>
      <c r="F357" s="2440"/>
      <c r="G357" s="2440"/>
      <c r="H357" s="2440"/>
      <c r="I357" s="2440"/>
      <c r="J357" s="2440"/>
      <c r="K357" s="2440"/>
      <c r="L357" s="2440"/>
      <c r="M357" s="2440"/>
      <c r="N357" s="2440"/>
      <c r="O357" s="2440"/>
      <c r="P357" s="2440"/>
      <c r="Q357" s="2440"/>
      <c r="R357" s="2440"/>
      <c r="S357" s="2440"/>
      <c r="T357" s="2440"/>
      <c r="U357" s="2440"/>
      <c r="V357" s="2440"/>
      <c r="W357" s="2440"/>
      <c r="X357" s="2440"/>
      <c r="Y357" s="2440"/>
      <c r="Z357" s="2440"/>
      <c r="AA357" s="2440"/>
      <c r="AB357" s="2440"/>
      <c r="AC357" s="2440"/>
      <c r="AD357" s="2440"/>
      <c r="AE357" s="2440"/>
      <c r="AF357" s="2440"/>
      <c r="AG357" s="2440"/>
      <c r="AH357" s="2440"/>
      <c r="AI357" s="2440"/>
      <c r="AJ357" s="2440"/>
      <c r="AK357" s="603"/>
      <c r="AL357" s="603"/>
      <c r="AM357" s="603"/>
      <c r="AN357" s="597"/>
      <c r="AO357" s="695" t="s">
        <v>112</v>
      </c>
      <c r="AP357" s="696">
        <f>IF(C381="Yes",5,0)</f>
        <v>0</v>
      </c>
      <c r="AS357" s="539" t="s">
        <v>1456</v>
      </c>
    </row>
    <row r="358" spans="1:46" s="550" customFormat="1" ht="12.75" customHeight="1">
      <c r="A358" s="603"/>
      <c r="B358" s="611"/>
      <c r="C358" s="2440"/>
      <c r="D358" s="2440"/>
      <c r="E358" s="2440"/>
      <c r="F358" s="2440"/>
      <c r="G358" s="2440"/>
      <c r="H358" s="2440"/>
      <c r="I358" s="2440"/>
      <c r="J358" s="2440"/>
      <c r="K358" s="2440"/>
      <c r="L358" s="2440"/>
      <c r="M358" s="2440"/>
      <c r="N358" s="2440"/>
      <c r="O358" s="2440"/>
      <c r="P358" s="2440"/>
      <c r="Q358" s="2440"/>
      <c r="R358" s="2440"/>
      <c r="S358" s="2440"/>
      <c r="T358" s="2440"/>
      <c r="U358" s="2440"/>
      <c r="V358" s="2440"/>
      <c r="W358" s="2440"/>
      <c r="X358" s="2440"/>
      <c r="Y358" s="2440"/>
      <c r="Z358" s="2440"/>
      <c r="AA358" s="2440"/>
      <c r="AB358" s="2440"/>
      <c r="AC358" s="2440"/>
      <c r="AD358" s="2440"/>
      <c r="AE358" s="2440"/>
      <c r="AF358" s="2440"/>
      <c r="AG358" s="2440"/>
      <c r="AH358" s="2440"/>
      <c r="AI358" s="2440"/>
      <c r="AJ358" s="2440"/>
      <c r="AK358" s="603"/>
      <c r="AL358" s="603"/>
      <c r="AM358" s="603"/>
      <c r="AN358" s="597"/>
      <c r="AO358" s="695" t="s">
        <v>113</v>
      </c>
      <c r="AP358" s="696">
        <f>IF(C389="Yes",5,0)</f>
        <v>0</v>
      </c>
      <c r="AS358" s="2406">
        <f>IF(Application!D211="Non-Targeted",(SUM(AQ366+AQ375)),AS362)</f>
        <v>10</v>
      </c>
      <c r="AT358" s="2406"/>
    </row>
    <row r="359" spans="1:46" s="550" customFormat="1" ht="12.75" customHeight="1">
      <c r="A359" s="603"/>
      <c r="B359" s="611"/>
      <c r="C359" s="2440"/>
      <c r="D359" s="2440"/>
      <c r="E359" s="2440"/>
      <c r="F359" s="2440"/>
      <c r="G359" s="2440"/>
      <c r="H359" s="2440"/>
      <c r="I359" s="2440"/>
      <c r="J359" s="2440"/>
      <c r="K359" s="2440"/>
      <c r="L359" s="2440"/>
      <c r="M359" s="2440"/>
      <c r="N359" s="2440"/>
      <c r="O359" s="2440"/>
      <c r="P359" s="2440"/>
      <c r="Q359" s="2440"/>
      <c r="R359" s="2440"/>
      <c r="S359" s="2440"/>
      <c r="T359" s="2440"/>
      <c r="U359" s="2440"/>
      <c r="V359" s="2440"/>
      <c r="W359" s="2440"/>
      <c r="X359" s="2440"/>
      <c r="Y359" s="2440"/>
      <c r="Z359" s="2440"/>
      <c r="AA359" s="2440"/>
      <c r="AB359" s="2440"/>
      <c r="AC359" s="2440"/>
      <c r="AD359" s="2440"/>
      <c r="AE359" s="2440"/>
      <c r="AF359" s="2440"/>
      <c r="AG359" s="2440"/>
      <c r="AH359" s="2440"/>
      <c r="AI359" s="2440"/>
      <c r="AJ359" s="2440"/>
      <c r="AK359" s="603"/>
      <c r="AL359" s="603"/>
      <c r="AM359" s="603"/>
      <c r="AN359" s="597"/>
      <c r="AO359" s="695" t="s">
        <v>119</v>
      </c>
      <c r="AP359" s="696">
        <f>IF(C397="Yes",7,0)</f>
        <v>7</v>
      </c>
      <c r="AS359" s="539" t="s">
        <v>1457</v>
      </c>
    </row>
    <row r="360" spans="1:46" s="550" customFormat="1" ht="12.75" customHeight="1">
      <c r="A360" s="603"/>
      <c r="B360" s="611"/>
      <c r="C360" s="2440"/>
      <c r="D360" s="2440"/>
      <c r="E360" s="2440"/>
      <c r="F360" s="2440"/>
      <c r="G360" s="2440"/>
      <c r="H360" s="2440"/>
      <c r="I360" s="2440"/>
      <c r="J360" s="2440"/>
      <c r="K360" s="2440"/>
      <c r="L360" s="2440"/>
      <c r="M360" s="2440"/>
      <c r="N360" s="2440"/>
      <c r="O360" s="2440"/>
      <c r="P360" s="2440"/>
      <c r="Q360" s="2440"/>
      <c r="R360" s="2440"/>
      <c r="S360" s="2440"/>
      <c r="T360" s="2440"/>
      <c r="U360" s="2440"/>
      <c r="V360" s="2440"/>
      <c r="W360" s="2440"/>
      <c r="X360" s="2440"/>
      <c r="Y360" s="2440"/>
      <c r="Z360" s="2440"/>
      <c r="AA360" s="2440"/>
      <c r="AB360" s="2440"/>
      <c r="AC360" s="2440"/>
      <c r="AD360" s="2440"/>
      <c r="AE360" s="2440"/>
      <c r="AF360" s="2440"/>
      <c r="AG360" s="2440"/>
      <c r="AH360" s="2440"/>
      <c r="AI360" s="2440"/>
      <c r="AJ360" s="2440"/>
      <c r="AK360" s="603"/>
      <c r="AL360" s="603"/>
      <c r="AM360" s="603"/>
      <c r="AN360" s="597"/>
      <c r="AO360" s="597"/>
      <c r="AP360" s="696">
        <f>IF(C399="Yes",5,0)</f>
        <v>0</v>
      </c>
      <c r="AS360" s="2406">
        <f>IF(AND(AQ366&gt;0,AQ375&gt;0),(AQ366+AQ375)/2,0)</f>
        <v>0</v>
      </c>
      <c r="AT360" s="2406"/>
    </row>
    <row r="361" spans="1:46" s="550" customFormat="1" ht="12.75" customHeight="1">
      <c r="A361" s="603"/>
      <c r="B361" s="611"/>
      <c r="C361" s="2440"/>
      <c r="D361" s="2440"/>
      <c r="E361" s="2440"/>
      <c r="F361" s="2440"/>
      <c r="G361" s="2440"/>
      <c r="H361" s="2440"/>
      <c r="I361" s="2440"/>
      <c r="J361" s="2440"/>
      <c r="K361" s="2440"/>
      <c r="L361" s="2440"/>
      <c r="M361" s="2440"/>
      <c r="N361" s="2440"/>
      <c r="O361" s="2440"/>
      <c r="P361" s="2440"/>
      <c r="Q361" s="2440"/>
      <c r="R361" s="2440"/>
      <c r="S361" s="2440"/>
      <c r="T361" s="2440"/>
      <c r="U361" s="2440"/>
      <c r="V361" s="2440"/>
      <c r="W361" s="2440"/>
      <c r="X361" s="2440"/>
      <c r="Y361" s="2440"/>
      <c r="Z361" s="2440"/>
      <c r="AA361" s="2440"/>
      <c r="AB361" s="2440"/>
      <c r="AC361" s="2440"/>
      <c r="AD361" s="2440"/>
      <c r="AE361" s="2440"/>
      <c r="AF361" s="2440"/>
      <c r="AG361" s="2440"/>
      <c r="AH361" s="2440"/>
      <c r="AI361" s="2440"/>
      <c r="AJ361" s="2440"/>
      <c r="AK361" s="603"/>
      <c r="AL361" s="603"/>
      <c r="AM361" s="603"/>
      <c r="AN361" s="597"/>
      <c r="AO361" s="695" t="s">
        <v>580</v>
      </c>
      <c r="AP361" s="696">
        <f>IF(C407="Yes",5,0)</f>
        <v>0</v>
      </c>
      <c r="AS361" s="539" t="s">
        <v>1878</v>
      </c>
    </row>
    <row r="362" spans="1:46" s="550" customFormat="1" ht="12.75" customHeight="1">
      <c r="A362" s="603"/>
      <c r="B362" s="611"/>
      <c r="C362" s="2534" t="s">
        <v>2231</v>
      </c>
      <c r="D362" s="2534"/>
      <c r="E362" s="2534"/>
      <c r="F362" s="2534"/>
      <c r="G362" s="2534"/>
      <c r="H362" s="2534"/>
      <c r="I362" s="2534"/>
      <c r="J362" s="2534"/>
      <c r="K362" s="2534"/>
      <c r="L362" s="2534"/>
      <c r="M362" s="2534"/>
      <c r="N362" s="2534"/>
      <c r="O362" s="2534"/>
      <c r="P362" s="2534"/>
      <c r="Q362" s="2534"/>
      <c r="R362" s="2534"/>
      <c r="S362" s="2534"/>
      <c r="T362" s="2534"/>
      <c r="U362" s="2534"/>
      <c r="V362" s="2534"/>
      <c r="W362" s="2534"/>
      <c r="X362" s="2534"/>
      <c r="Y362" s="2534"/>
      <c r="Z362" s="2534"/>
      <c r="AA362" s="2534"/>
      <c r="AB362" s="2534"/>
      <c r="AC362" s="2534"/>
      <c r="AD362" s="2534"/>
      <c r="AE362" s="2534"/>
      <c r="AF362" s="2534"/>
      <c r="AG362" s="2534"/>
      <c r="AH362" s="2534"/>
      <c r="AI362" s="2534"/>
      <c r="AJ362" s="2534"/>
      <c r="AK362" s="603"/>
      <c r="AL362" s="603"/>
      <c r="AM362" s="603"/>
      <c r="AN362" s="597"/>
      <c r="AO362" s="597"/>
      <c r="AP362" s="696">
        <f>IF(C409="Yes",3,0)</f>
        <v>3</v>
      </c>
      <c r="AS362" s="2406">
        <f>IF(AQ366=0,AQ375,AQ366)</f>
        <v>10</v>
      </c>
      <c r="AT362" s="2406"/>
    </row>
    <row r="363" spans="1:46" s="550" customFormat="1" ht="12.75" customHeight="1">
      <c r="A363" s="603"/>
      <c r="B363" s="611"/>
      <c r="C363" s="2534"/>
      <c r="D363" s="2534"/>
      <c r="E363" s="2534"/>
      <c r="F363" s="2534"/>
      <c r="G363" s="2534"/>
      <c r="H363" s="2534"/>
      <c r="I363" s="2534"/>
      <c r="J363" s="2534"/>
      <c r="K363" s="2534"/>
      <c r="L363" s="2534"/>
      <c r="M363" s="2534"/>
      <c r="N363" s="2534"/>
      <c r="O363" s="2534"/>
      <c r="P363" s="2534"/>
      <c r="Q363" s="2534"/>
      <c r="R363" s="2534"/>
      <c r="S363" s="2534"/>
      <c r="T363" s="2534"/>
      <c r="U363" s="2534"/>
      <c r="V363" s="2534"/>
      <c r="W363" s="2534"/>
      <c r="X363" s="2534"/>
      <c r="Y363" s="2534"/>
      <c r="Z363" s="2534"/>
      <c r="AA363" s="2534"/>
      <c r="AB363" s="2534"/>
      <c r="AC363" s="2534"/>
      <c r="AD363" s="2534"/>
      <c r="AE363" s="2534"/>
      <c r="AF363" s="2534"/>
      <c r="AG363" s="2534"/>
      <c r="AH363" s="2534"/>
      <c r="AI363" s="2534"/>
      <c r="AJ363" s="2534"/>
      <c r="AK363" s="603"/>
      <c r="AL363" s="603"/>
      <c r="AM363" s="603"/>
      <c r="AN363" s="597"/>
      <c r="AO363" s="695" t="s">
        <v>762</v>
      </c>
      <c r="AP363" s="696">
        <f>IF(C412="Yes",5,0)</f>
        <v>0</v>
      </c>
    </row>
    <row r="364" spans="1:46" s="550" customFormat="1" ht="12.75" customHeight="1">
      <c r="A364" s="603"/>
      <c r="B364" s="611"/>
      <c r="C364" s="2534"/>
      <c r="D364" s="2534"/>
      <c r="E364" s="2534"/>
      <c r="F364" s="2534"/>
      <c r="G364" s="2534"/>
      <c r="H364" s="2534"/>
      <c r="I364" s="2534"/>
      <c r="J364" s="2534"/>
      <c r="K364" s="2534"/>
      <c r="L364" s="2534"/>
      <c r="M364" s="2534"/>
      <c r="N364" s="2534"/>
      <c r="O364" s="2534"/>
      <c r="P364" s="2534"/>
      <c r="Q364" s="2534"/>
      <c r="R364" s="2534"/>
      <c r="S364" s="2534"/>
      <c r="T364" s="2534"/>
      <c r="U364" s="2534"/>
      <c r="V364" s="2534"/>
      <c r="W364" s="2534"/>
      <c r="X364" s="2534"/>
      <c r="Y364" s="2534"/>
      <c r="Z364" s="2534"/>
      <c r="AA364" s="2534"/>
      <c r="AB364" s="2534"/>
      <c r="AC364" s="2534"/>
      <c r="AD364" s="2534"/>
      <c r="AE364" s="2534"/>
      <c r="AF364" s="2534"/>
      <c r="AG364" s="2534"/>
      <c r="AH364" s="2534"/>
      <c r="AI364" s="2534"/>
      <c r="AJ364" s="2534"/>
      <c r="AK364" s="603"/>
      <c r="AL364" s="603"/>
      <c r="AM364" s="603"/>
      <c r="AN364" s="597"/>
      <c r="AO364" s="695" t="s">
        <v>583</v>
      </c>
      <c r="AP364" s="696">
        <f>IF(C421="Yes",5,0)</f>
        <v>0</v>
      </c>
    </row>
    <row r="365" spans="1:46" s="550" customFormat="1" ht="11.85" customHeight="1">
      <c r="A365" s="603"/>
      <c r="B365" s="611"/>
      <c r="C365" s="2534"/>
      <c r="D365" s="2534"/>
      <c r="E365" s="2534"/>
      <c r="F365" s="2534"/>
      <c r="G365" s="2534"/>
      <c r="H365" s="2534"/>
      <c r="I365" s="2534"/>
      <c r="J365" s="2534"/>
      <c r="K365" s="2534"/>
      <c r="L365" s="2534"/>
      <c r="M365" s="2534"/>
      <c r="N365" s="2534"/>
      <c r="O365" s="2534"/>
      <c r="P365" s="2534"/>
      <c r="Q365" s="2534"/>
      <c r="R365" s="2534"/>
      <c r="S365" s="2534"/>
      <c r="T365" s="2534"/>
      <c r="U365" s="2534"/>
      <c r="V365" s="2534"/>
      <c r="W365" s="2534"/>
      <c r="X365" s="2534"/>
      <c r="Y365" s="2534"/>
      <c r="Z365" s="2534"/>
      <c r="AA365" s="2534"/>
      <c r="AB365" s="2534"/>
      <c r="AC365" s="2534"/>
      <c r="AD365" s="2534"/>
      <c r="AE365" s="2534"/>
      <c r="AF365" s="2534"/>
      <c r="AG365" s="2534"/>
      <c r="AH365" s="2534"/>
      <c r="AI365" s="2534"/>
      <c r="AJ365" s="2534"/>
      <c r="AK365" s="603"/>
      <c r="AL365" s="603"/>
      <c r="AM365" s="603"/>
      <c r="AN365" s="597"/>
      <c r="AO365" s="697"/>
      <c r="AP365" s="698">
        <f>IF(C423="Yes",3,0)</f>
        <v>0</v>
      </c>
    </row>
    <row r="366" spans="1:46" s="550" customFormat="1" ht="12.4" customHeight="1">
      <c r="A366" s="603"/>
      <c r="B366" s="611"/>
      <c r="C366" s="2534"/>
      <c r="D366" s="2534"/>
      <c r="E366" s="2534"/>
      <c r="F366" s="2534"/>
      <c r="G366" s="2534"/>
      <c r="H366" s="2534"/>
      <c r="I366" s="2534"/>
      <c r="J366" s="2534"/>
      <c r="K366" s="2534"/>
      <c r="L366" s="2534"/>
      <c r="M366" s="2534"/>
      <c r="N366" s="2534"/>
      <c r="O366" s="2534"/>
      <c r="P366" s="2534"/>
      <c r="Q366" s="2534"/>
      <c r="R366" s="2534"/>
      <c r="S366" s="2534"/>
      <c r="T366" s="2534"/>
      <c r="U366" s="2534"/>
      <c r="V366" s="2534"/>
      <c r="W366" s="2534"/>
      <c r="X366" s="2534"/>
      <c r="Y366" s="2534"/>
      <c r="Z366" s="2534"/>
      <c r="AA366" s="2534"/>
      <c r="AB366" s="2534"/>
      <c r="AC366" s="2534"/>
      <c r="AD366" s="2534"/>
      <c r="AE366" s="2534"/>
      <c r="AF366" s="2534"/>
      <c r="AG366" s="2534"/>
      <c r="AH366" s="2534"/>
      <c r="AI366" s="2534"/>
      <c r="AJ366" s="2534"/>
      <c r="AK366" s="603"/>
      <c r="AL366" s="603"/>
      <c r="AM366" s="603"/>
      <c r="AN366" s="597"/>
      <c r="AO366" s="699" t="s">
        <v>226</v>
      </c>
      <c r="AP366" s="700">
        <f>SUM(AP357:AP365)</f>
        <v>10</v>
      </c>
      <c r="AQ366" s="2443">
        <f>IF(AP366&gt;0,AP366,0)</f>
        <v>10</v>
      </c>
      <c r="AR366" s="2443"/>
    </row>
    <row r="367" spans="1:46" s="550" customFormat="1" ht="12.75" customHeight="1">
      <c r="A367" s="603"/>
      <c r="B367" s="611"/>
      <c r="C367" s="2534"/>
      <c r="D367" s="2534"/>
      <c r="E367" s="2534"/>
      <c r="F367" s="2534"/>
      <c r="G367" s="2534"/>
      <c r="H367" s="2534"/>
      <c r="I367" s="2534"/>
      <c r="J367" s="2534"/>
      <c r="K367" s="2534"/>
      <c r="L367" s="2534"/>
      <c r="M367" s="2534"/>
      <c r="N367" s="2534"/>
      <c r="O367" s="2534"/>
      <c r="P367" s="2534"/>
      <c r="Q367" s="2534"/>
      <c r="R367" s="2534"/>
      <c r="S367" s="2534"/>
      <c r="T367" s="2534"/>
      <c r="U367" s="2534"/>
      <c r="V367" s="2534"/>
      <c r="W367" s="2534"/>
      <c r="X367" s="2534"/>
      <c r="Y367" s="2534"/>
      <c r="Z367" s="2534"/>
      <c r="AA367" s="2534"/>
      <c r="AB367" s="2534"/>
      <c r="AC367" s="2534"/>
      <c r="AD367" s="2534"/>
      <c r="AE367" s="2534"/>
      <c r="AF367" s="2534"/>
      <c r="AG367" s="2534"/>
      <c r="AH367" s="2534"/>
      <c r="AI367" s="2534"/>
      <c r="AJ367" s="2534"/>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454</v>
      </c>
      <c r="AP368" s="696">
        <f>IF(C430="Yes",5,0)</f>
        <v>0</v>
      </c>
    </row>
    <row r="369" spans="1:81" s="550" customFormat="1" ht="12.75" customHeight="1">
      <c r="A369" s="603"/>
      <c r="B369" s="611"/>
      <c r="C369" s="2440" t="s">
        <v>1458</v>
      </c>
      <c r="D369" s="2440"/>
      <c r="E369" s="2440"/>
      <c r="F369" s="2440"/>
      <c r="G369" s="2440"/>
      <c r="H369" s="2440"/>
      <c r="I369" s="2440"/>
      <c r="J369" s="2440"/>
      <c r="K369" s="2440"/>
      <c r="L369" s="2440"/>
      <c r="M369" s="2440"/>
      <c r="N369" s="2440"/>
      <c r="O369" s="2440"/>
      <c r="P369" s="2440"/>
      <c r="Q369" s="2440"/>
      <c r="R369" s="2440"/>
      <c r="S369" s="2440"/>
      <c r="T369" s="2440"/>
      <c r="U369" s="2440"/>
      <c r="V369" s="2440"/>
      <c r="W369" s="2440"/>
      <c r="X369" s="2440"/>
      <c r="Y369" s="2440"/>
      <c r="Z369" s="2440"/>
      <c r="AA369" s="2440"/>
      <c r="AB369" s="2440"/>
      <c r="AC369" s="2440"/>
      <c r="AD369" s="2440"/>
      <c r="AE369" s="2440"/>
      <c r="AF369" s="2440"/>
      <c r="AG369" s="2440"/>
      <c r="AH369" s="2440"/>
      <c r="AI369" s="2440"/>
      <c r="AJ369" s="2440"/>
      <c r="AK369" s="603"/>
      <c r="AL369" s="603"/>
      <c r="AM369" s="603"/>
      <c r="AN369" s="597"/>
      <c r="AO369" s="695" t="s">
        <v>455</v>
      </c>
      <c r="AP369" s="696">
        <f>IF(C442="Yes",5,0)</f>
        <v>0</v>
      </c>
    </row>
    <row r="370" spans="1:81" s="550" customFormat="1" ht="12.75" customHeight="1">
      <c r="A370" s="603"/>
      <c r="B370" s="611"/>
      <c r="C370" s="2440"/>
      <c r="D370" s="2440"/>
      <c r="E370" s="2440"/>
      <c r="F370" s="2440"/>
      <c r="G370" s="2440"/>
      <c r="H370" s="2440"/>
      <c r="I370" s="2440"/>
      <c r="J370" s="2440"/>
      <c r="K370" s="2440"/>
      <c r="L370" s="2440"/>
      <c r="M370" s="2440"/>
      <c r="N370" s="2440"/>
      <c r="O370" s="2440"/>
      <c r="P370" s="2440"/>
      <c r="Q370" s="2440"/>
      <c r="R370" s="2440"/>
      <c r="S370" s="2440"/>
      <c r="T370" s="2440"/>
      <c r="U370" s="2440"/>
      <c r="V370" s="2440"/>
      <c r="W370" s="2440"/>
      <c r="X370" s="2440"/>
      <c r="Y370" s="2440"/>
      <c r="Z370" s="2440"/>
      <c r="AA370" s="2440"/>
      <c r="AB370" s="2440"/>
      <c r="AC370" s="2440"/>
      <c r="AD370" s="2440"/>
      <c r="AE370" s="2440"/>
      <c r="AF370" s="2440"/>
      <c r="AG370" s="2440"/>
      <c r="AH370" s="2440"/>
      <c r="AI370" s="2440"/>
      <c r="AJ370" s="2440"/>
      <c r="AK370" s="603"/>
      <c r="AL370" s="603"/>
      <c r="AM370" s="603"/>
      <c r="AN370" s="597"/>
      <c r="AO370" s="695" t="s">
        <v>460</v>
      </c>
      <c r="AP370" s="696">
        <f>IF(C449="Yes",5,0)</f>
        <v>0</v>
      </c>
    </row>
    <row r="371" spans="1:81" s="550" customFormat="1" ht="68.099999999999994" customHeight="1">
      <c r="A371" s="603"/>
      <c r="B371" s="611"/>
      <c r="C371" s="2440"/>
      <c r="D371" s="2440"/>
      <c r="E371" s="2440"/>
      <c r="F371" s="2440"/>
      <c r="G371" s="2440"/>
      <c r="H371" s="2440"/>
      <c r="I371" s="2440"/>
      <c r="J371" s="2440"/>
      <c r="K371" s="2440"/>
      <c r="L371" s="2440"/>
      <c r="M371" s="2440"/>
      <c r="N371" s="2440"/>
      <c r="O371" s="2440"/>
      <c r="P371" s="2440"/>
      <c r="Q371" s="2440"/>
      <c r="R371" s="2440"/>
      <c r="S371" s="2440"/>
      <c r="T371" s="2440"/>
      <c r="U371" s="2440"/>
      <c r="V371" s="2440"/>
      <c r="W371" s="2440"/>
      <c r="X371" s="2440"/>
      <c r="Y371" s="2440"/>
      <c r="Z371" s="2440"/>
      <c r="AA371" s="2440"/>
      <c r="AB371" s="2440"/>
      <c r="AC371" s="2440"/>
      <c r="AD371" s="2440"/>
      <c r="AE371" s="2440"/>
      <c r="AF371" s="2440"/>
      <c r="AG371" s="2440"/>
      <c r="AH371" s="2440"/>
      <c r="AI371" s="2440"/>
      <c r="AJ371" s="2440"/>
      <c r="AK371" s="603"/>
      <c r="AL371" s="603"/>
      <c r="AM371" s="603"/>
      <c r="AN371" s="597"/>
      <c r="AO371" s="695" t="s">
        <v>645</v>
      </c>
      <c r="AP371" s="701">
        <f>IF(C453="Yes",5,0)</f>
        <v>0</v>
      </c>
    </row>
    <row r="372" spans="1:81" s="550" customFormat="1" ht="12.4" customHeight="1">
      <c r="A372" s="603"/>
      <c r="B372" s="611"/>
      <c r="C372" s="550" t="s">
        <v>1459</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441">
        <f>Application!DU802-U374</f>
        <v>256</v>
      </c>
      <c r="V373" s="2441"/>
      <c r="W373" s="2441"/>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442">
        <f>IF(Application!D211="SRO",Application!DU755,Application!AG756)</f>
        <v>0</v>
      </c>
      <c r="V374" s="2442"/>
      <c r="W374" s="2442"/>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443">
        <f>IF(AP375&gt;0,AP375,0)</f>
        <v>0</v>
      </c>
      <c r="AR375" s="2443"/>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434" t="s">
        <v>1460</v>
      </c>
      <c r="G377" s="2434"/>
      <c r="H377" s="2434"/>
      <c r="I377" s="2434"/>
      <c r="J377" s="2434"/>
      <c r="K377" s="2434"/>
      <c r="L377" s="2434"/>
      <c r="M377" s="2434"/>
      <c r="N377" s="2434"/>
      <c r="O377" s="2434"/>
      <c r="P377" s="2434"/>
      <c r="Q377" s="2434"/>
      <c r="R377" s="2434"/>
      <c r="S377" s="2434"/>
      <c r="T377" s="2434"/>
      <c r="U377" s="2434"/>
      <c r="V377" s="2434"/>
      <c r="W377" s="2434"/>
      <c r="X377" s="2434"/>
      <c r="Y377" s="2434"/>
      <c r="Z377" s="2434"/>
      <c r="AA377" s="2434"/>
      <c r="AB377" s="2434"/>
      <c r="AC377" s="2434"/>
      <c r="AD377" s="2434"/>
      <c r="AE377" s="2434"/>
      <c r="AF377" s="2434"/>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5"/>
      <c r="G378" s="2435"/>
      <c r="H378" s="2435"/>
      <c r="I378" s="2435"/>
      <c r="J378" s="2435"/>
      <c r="K378" s="2435"/>
      <c r="L378" s="2435"/>
      <c r="M378" s="2435"/>
      <c r="N378" s="2435"/>
      <c r="O378" s="2435"/>
      <c r="P378" s="2435"/>
      <c r="Q378" s="2435"/>
      <c r="R378" s="2435"/>
      <c r="S378" s="2435"/>
      <c r="T378" s="2435"/>
      <c r="U378" s="2435"/>
      <c r="V378" s="2435"/>
      <c r="W378" s="2435"/>
      <c r="X378" s="2435"/>
      <c r="Y378" s="2435"/>
      <c r="Z378" s="2435"/>
      <c r="AA378" s="2435"/>
      <c r="AB378" s="2435"/>
      <c r="AC378" s="2435"/>
      <c r="AD378" s="2435"/>
      <c r="AE378" s="2435"/>
      <c r="AF378" s="2435"/>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5"/>
      <c r="G379" s="2435"/>
      <c r="H379" s="2435"/>
      <c r="I379" s="2435"/>
      <c r="J379" s="2435"/>
      <c r="K379" s="2435"/>
      <c r="L379" s="2435"/>
      <c r="M379" s="2435"/>
      <c r="N379" s="2435"/>
      <c r="O379" s="2435"/>
      <c r="P379" s="2435"/>
      <c r="Q379" s="2435"/>
      <c r="R379" s="2435"/>
      <c r="S379" s="2435"/>
      <c r="T379" s="2435"/>
      <c r="U379" s="2435"/>
      <c r="V379" s="2435"/>
      <c r="W379" s="2435"/>
      <c r="X379" s="2435"/>
      <c r="Y379" s="2435"/>
      <c r="Z379" s="2435"/>
      <c r="AA379" s="2435"/>
      <c r="AB379" s="2435"/>
      <c r="AC379" s="2435"/>
      <c r="AD379" s="2435"/>
      <c r="AE379" s="2435"/>
      <c r="AF379" s="2435"/>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5"/>
      <c r="G380" s="2435"/>
      <c r="H380" s="2435"/>
      <c r="I380" s="2435"/>
      <c r="J380" s="2435"/>
      <c r="K380" s="2435"/>
      <c r="L380" s="2435"/>
      <c r="M380" s="2435"/>
      <c r="N380" s="2435"/>
      <c r="O380" s="2435"/>
      <c r="P380" s="2435"/>
      <c r="Q380" s="2435"/>
      <c r="R380" s="2435"/>
      <c r="S380" s="2435"/>
      <c r="T380" s="2435"/>
      <c r="U380" s="2435"/>
      <c r="V380" s="2435"/>
      <c r="W380" s="2435"/>
      <c r="X380" s="2435"/>
      <c r="Y380" s="2435"/>
      <c r="Z380" s="2435"/>
      <c r="AA380" s="2435"/>
      <c r="AB380" s="2435"/>
      <c r="AC380" s="2435"/>
      <c r="AD380" s="2435"/>
      <c r="AE380" s="2435"/>
      <c r="AF380" s="2435"/>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4" t="s">
        <v>590</v>
      </c>
      <c r="D381" s="2445"/>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6" t="s">
        <v>1462</v>
      </c>
      <c r="AG381" s="2446"/>
      <c r="AH381" s="2446"/>
      <c r="AI381" s="2446"/>
      <c r="AJ381" s="2446"/>
      <c r="AK381" s="2446"/>
      <c r="AL381" s="2447"/>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434" t="s">
        <v>1463</v>
      </c>
      <c r="G384" s="2434"/>
      <c r="H384" s="2434"/>
      <c r="I384" s="2434"/>
      <c r="J384" s="2434"/>
      <c r="K384" s="2434"/>
      <c r="L384" s="2434"/>
      <c r="M384" s="2434"/>
      <c r="N384" s="2434"/>
      <c r="O384" s="2434"/>
      <c r="P384" s="2434"/>
      <c r="Q384" s="2434"/>
      <c r="R384" s="2434"/>
      <c r="S384" s="2434"/>
      <c r="T384" s="2434"/>
      <c r="U384" s="2434"/>
      <c r="V384" s="2434"/>
      <c r="W384" s="2434"/>
      <c r="X384" s="2434"/>
      <c r="Y384" s="2434"/>
      <c r="Z384" s="2434"/>
      <c r="AA384" s="2434"/>
      <c r="AB384" s="2434"/>
      <c r="AC384" s="2434"/>
      <c r="AD384" s="2434"/>
      <c r="AE384" s="2434"/>
      <c r="AF384" s="2434"/>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5"/>
      <c r="G385" s="2435"/>
      <c r="H385" s="2435"/>
      <c r="I385" s="2435"/>
      <c r="J385" s="2435"/>
      <c r="K385" s="2435"/>
      <c r="L385" s="2435"/>
      <c r="M385" s="2435"/>
      <c r="N385" s="2435"/>
      <c r="O385" s="2435"/>
      <c r="P385" s="2435"/>
      <c r="Q385" s="2435"/>
      <c r="R385" s="2435"/>
      <c r="S385" s="2435"/>
      <c r="T385" s="2435"/>
      <c r="U385" s="2435"/>
      <c r="V385" s="2435"/>
      <c r="W385" s="2435"/>
      <c r="X385" s="2435"/>
      <c r="Y385" s="2435"/>
      <c r="Z385" s="2435"/>
      <c r="AA385" s="2435"/>
      <c r="AB385" s="2435"/>
      <c r="AC385" s="2435"/>
      <c r="AD385" s="2435"/>
      <c r="AE385" s="2435"/>
      <c r="AF385" s="2435"/>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5"/>
      <c r="G386" s="2435"/>
      <c r="H386" s="2435"/>
      <c r="I386" s="2435"/>
      <c r="J386" s="2435"/>
      <c r="K386" s="2435"/>
      <c r="L386" s="2435"/>
      <c r="M386" s="2435"/>
      <c r="N386" s="2435"/>
      <c r="O386" s="2435"/>
      <c r="P386" s="2435"/>
      <c r="Q386" s="2435"/>
      <c r="R386" s="2435"/>
      <c r="S386" s="2435"/>
      <c r="T386" s="2435"/>
      <c r="U386" s="2435"/>
      <c r="V386" s="2435"/>
      <c r="W386" s="2435"/>
      <c r="X386" s="2435"/>
      <c r="Y386" s="2435"/>
      <c r="Z386" s="2435"/>
      <c r="AA386" s="2435"/>
      <c r="AB386" s="2435"/>
      <c r="AC386" s="2435"/>
      <c r="AD386" s="2435"/>
      <c r="AE386" s="2435"/>
      <c r="AF386" s="2435"/>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5"/>
      <c r="G387" s="2435"/>
      <c r="H387" s="2435"/>
      <c r="I387" s="2435"/>
      <c r="J387" s="2435"/>
      <c r="K387" s="2435"/>
      <c r="L387" s="2435"/>
      <c r="M387" s="2435"/>
      <c r="N387" s="2435"/>
      <c r="O387" s="2435"/>
      <c r="P387" s="2435"/>
      <c r="Q387" s="2435"/>
      <c r="R387" s="2435"/>
      <c r="S387" s="2435"/>
      <c r="T387" s="2435"/>
      <c r="U387" s="2435"/>
      <c r="V387" s="2435"/>
      <c r="W387" s="2435"/>
      <c r="X387" s="2435"/>
      <c r="Y387" s="2435"/>
      <c r="Z387" s="2435"/>
      <c r="AA387" s="2435"/>
      <c r="AB387" s="2435"/>
      <c r="AC387" s="2435"/>
      <c r="AD387" s="2435"/>
      <c r="AE387" s="2435"/>
      <c r="AF387" s="2435"/>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5"/>
      <c r="G388" s="2435"/>
      <c r="H388" s="2435"/>
      <c r="I388" s="2435"/>
      <c r="J388" s="2435"/>
      <c r="K388" s="2435"/>
      <c r="L388" s="2435"/>
      <c r="M388" s="2435"/>
      <c r="N388" s="2435"/>
      <c r="O388" s="2435"/>
      <c r="P388" s="2435"/>
      <c r="Q388" s="2435"/>
      <c r="R388" s="2435"/>
      <c r="S388" s="2435"/>
      <c r="T388" s="2435"/>
      <c r="U388" s="2435"/>
      <c r="V388" s="2435"/>
      <c r="W388" s="2435"/>
      <c r="X388" s="2435"/>
      <c r="Y388" s="2435"/>
      <c r="Z388" s="2435"/>
      <c r="AA388" s="2435"/>
      <c r="AB388" s="2435"/>
      <c r="AC388" s="2435"/>
      <c r="AD388" s="2435"/>
      <c r="AE388" s="2435"/>
      <c r="AF388" s="2435"/>
      <c r="AL388" s="732"/>
      <c r="AN388" s="597"/>
      <c r="BS388" s="30"/>
      <c r="BT388" s="30"/>
      <c r="BU388" s="14"/>
      <c r="BV388" s="14"/>
      <c r="BW388" s="14"/>
      <c r="BX388" s="14"/>
      <c r="BY388" s="14"/>
      <c r="BZ388" s="14"/>
      <c r="CA388" s="14"/>
      <c r="CB388" s="14"/>
      <c r="CC388" s="14"/>
    </row>
    <row r="389" spans="1:81" s="550" customFormat="1" ht="12.75" customHeight="1">
      <c r="A389" s="536"/>
      <c r="B389" s="14"/>
      <c r="C389" s="2444" t="s">
        <v>590</v>
      </c>
      <c r="D389" s="2445"/>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6" t="s">
        <v>1462</v>
      </c>
      <c r="AG389" s="2446"/>
      <c r="AH389" s="2446"/>
      <c r="AI389" s="2446"/>
      <c r="AJ389" s="2446"/>
      <c r="AK389" s="2446"/>
      <c r="AL389" s="2447"/>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434" t="s">
        <v>1465</v>
      </c>
      <c r="G392" s="2434"/>
      <c r="H392" s="2434"/>
      <c r="I392" s="2434"/>
      <c r="J392" s="2434"/>
      <c r="K392" s="2434"/>
      <c r="L392" s="2434"/>
      <c r="M392" s="2434"/>
      <c r="N392" s="2434"/>
      <c r="O392" s="2434"/>
      <c r="P392" s="2434"/>
      <c r="Q392" s="2434"/>
      <c r="R392" s="2434"/>
      <c r="S392" s="2434"/>
      <c r="T392" s="2434"/>
      <c r="U392" s="2434"/>
      <c r="V392" s="2434"/>
      <c r="W392" s="2434"/>
      <c r="X392" s="2434"/>
      <c r="Y392" s="2434"/>
      <c r="Z392" s="2434"/>
      <c r="AA392" s="2434"/>
      <c r="AB392" s="2434"/>
      <c r="AC392" s="2434"/>
      <c r="AD392" s="2434"/>
      <c r="AE392" s="2434"/>
      <c r="AF392" s="2434"/>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5"/>
      <c r="G393" s="2435"/>
      <c r="H393" s="2435"/>
      <c r="I393" s="2435"/>
      <c r="J393" s="2435"/>
      <c r="K393" s="2435"/>
      <c r="L393" s="2435"/>
      <c r="M393" s="2435"/>
      <c r="N393" s="2435"/>
      <c r="O393" s="2435"/>
      <c r="P393" s="2435"/>
      <c r="Q393" s="2435"/>
      <c r="R393" s="2435"/>
      <c r="S393" s="2435"/>
      <c r="T393" s="2435"/>
      <c r="U393" s="2435"/>
      <c r="V393" s="2435"/>
      <c r="W393" s="2435"/>
      <c r="X393" s="2435"/>
      <c r="Y393" s="2435"/>
      <c r="Z393" s="2435"/>
      <c r="AA393" s="2435"/>
      <c r="AB393" s="2435"/>
      <c r="AC393" s="2435"/>
      <c r="AD393" s="2435"/>
      <c r="AE393" s="2435"/>
      <c r="AF393" s="2435"/>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5"/>
      <c r="G394" s="2435"/>
      <c r="H394" s="2435"/>
      <c r="I394" s="2435"/>
      <c r="J394" s="2435"/>
      <c r="K394" s="2435"/>
      <c r="L394" s="2435"/>
      <c r="M394" s="2435"/>
      <c r="N394" s="2435"/>
      <c r="O394" s="2435"/>
      <c r="P394" s="2435"/>
      <c r="Q394" s="2435"/>
      <c r="R394" s="2435"/>
      <c r="S394" s="2435"/>
      <c r="T394" s="2435"/>
      <c r="U394" s="2435"/>
      <c r="V394" s="2435"/>
      <c r="W394" s="2435"/>
      <c r="X394" s="2435"/>
      <c r="Y394" s="2435"/>
      <c r="Z394" s="2435"/>
      <c r="AA394" s="2435"/>
      <c r="AB394" s="2435"/>
      <c r="AC394" s="2435"/>
      <c r="AD394" s="2435"/>
      <c r="AE394" s="2435"/>
      <c r="AF394" s="2435"/>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5"/>
      <c r="G395" s="2435"/>
      <c r="H395" s="2435"/>
      <c r="I395" s="2435"/>
      <c r="J395" s="2435"/>
      <c r="K395" s="2435"/>
      <c r="L395" s="2435"/>
      <c r="M395" s="2435"/>
      <c r="N395" s="2435"/>
      <c r="O395" s="2435"/>
      <c r="P395" s="2435"/>
      <c r="Q395" s="2435"/>
      <c r="R395" s="2435"/>
      <c r="S395" s="2435"/>
      <c r="T395" s="2435"/>
      <c r="U395" s="2435"/>
      <c r="V395" s="2435"/>
      <c r="W395" s="2435"/>
      <c r="X395" s="2435"/>
      <c r="Y395" s="2435"/>
      <c r="Z395" s="2435"/>
      <c r="AA395" s="2435"/>
      <c r="AB395" s="2435"/>
      <c r="AC395" s="2435"/>
      <c r="AD395" s="2435"/>
      <c r="AE395" s="2435"/>
      <c r="AF395" s="2435"/>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5"/>
      <c r="G396" s="2435"/>
      <c r="H396" s="2435"/>
      <c r="I396" s="2435"/>
      <c r="J396" s="2435"/>
      <c r="K396" s="2435"/>
      <c r="L396" s="2435"/>
      <c r="M396" s="2435"/>
      <c r="N396" s="2435"/>
      <c r="O396" s="2435"/>
      <c r="P396" s="2435"/>
      <c r="Q396" s="2435"/>
      <c r="R396" s="2435"/>
      <c r="S396" s="2435"/>
      <c r="T396" s="2435"/>
      <c r="U396" s="2435"/>
      <c r="V396" s="2435"/>
      <c r="W396" s="2435"/>
      <c r="X396" s="2435"/>
      <c r="Y396" s="2435"/>
      <c r="Z396" s="2435"/>
      <c r="AA396" s="2435"/>
      <c r="AB396" s="2435"/>
      <c r="AC396" s="2435"/>
      <c r="AD396" s="2435"/>
      <c r="AE396" s="2435"/>
      <c r="AF396" s="2435"/>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4" t="s">
        <v>544</v>
      </c>
      <c r="D397" s="2445"/>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6" t="s">
        <v>1467</v>
      </c>
      <c r="AG397" s="2446"/>
      <c r="AH397" s="2446"/>
      <c r="AI397" s="2446"/>
      <c r="AJ397" s="2446"/>
      <c r="AK397" s="2446"/>
      <c r="AL397" s="2447"/>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4" t="s">
        <v>590</v>
      </c>
      <c r="D399" s="2445"/>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6" t="s">
        <v>1462</v>
      </c>
      <c r="AG399" s="2446"/>
      <c r="AH399" s="2446"/>
      <c r="AI399" s="2446"/>
      <c r="AJ399" s="2446"/>
      <c r="AK399" s="2446"/>
      <c r="AL399" s="2447"/>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434" t="s">
        <v>1471</v>
      </c>
      <c r="G403" s="2434"/>
      <c r="H403" s="2434"/>
      <c r="I403" s="2434"/>
      <c r="J403" s="2434"/>
      <c r="K403" s="2434"/>
      <c r="L403" s="2434"/>
      <c r="M403" s="2434"/>
      <c r="N403" s="2434"/>
      <c r="O403" s="2434"/>
      <c r="P403" s="2434"/>
      <c r="Q403" s="2434"/>
      <c r="R403" s="2434"/>
      <c r="S403" s="2434"/>
      <c r="T403" s="2434"/>
      <c r="U403" s="2434"/>
      <c r="V403" s="2434"/>
      <c r="W403" s="2434"/>
      <c r="X403" s="2434"/>
      <c r="Y403" s="2434"/>
      <c r="Z403" s="2434"/>
      <c r="AA403" s="2434"/>
      <c r="AB403" s="2434"/>
      <c r="AC403" s="2434"/>
      <c r="AD403" s="2434"/>
      <c r="AE403" s="2434"/>
      <c r="AF403" s="2434"/>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5"/>
      <c r="G404" s="2435"/>
      <c r="H404" s="2435"/>
      <c r="I404" s="2435"/>
      <c r="J404" s="2435"/>
      <c r="K404" s="2435"/>
      <c r="L404" s="2435"/>
      <c r="M404" s="2435"/>
      <c r="N404" s="2435"/>
      <c r="O404" s="2435"/>
      <c r="P404" s="2435"/>
      <c r="Q404" s="2435"/>
      <c r="R404" s="2435"/>
      <c r="S404" s="2435"/>
      <c r="T404" s="2435"/>
      <c r="U404" s="2435"/>
      <c r="V404" s="2435"/>
      <c r="W404" s="2435"/>
      <c r="X404" s="2435"/>
      <c r="Y404" s="2435"/>
      <c r="Z404" s="2435"/>
      <c r="AA404" s="2435"/>
      <c r="AB404" s="2435"/>
      <c r="AC404" s="2435"/>
      <c r="AD404" s="2435"/>
      <c r="AE404" s="2435"/>
      <c r="AF404" s="2435"/>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5"/>
      <c r="G405" s="2435"/>
      <c r="H405" s="2435"/>
      <c r="I405" s="2435"/>
      <c r="J405" s="2435"/>
      <c r="K405" s="2435"/>
      <c r="L405" s="2435"/>
      <c r="M405" s="2435"/>
      <c r="N405" s="2435"/>
      <c r="O405" s="2435"/>
      <c r="P405" s="2435"/>
      <c r="Q405" s="2435"/>
      <c r="R405" s="2435"/>
      <c r="S405" s="2435"/>
      <c r="T405" s="2435"/>
      <c r="U405" s="2435"/>
      <c r="V405" s="2435"/>
      <c r="W405" s="2435"/>
      <c r="X405" s="2435"/>
      <c r="Y405" s="2435"/>
      <c r="Z405" s="2435"/>
      <c r="AA405" s="2435"/>
      <c r="AB405" s="2435"/>
      <c r="AC405" s="2435"/>
      <c r="AD405" s="2435"/>
      <c r="AE405" s="2435"/>
      <c r="AF405" s="2435"/>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5"/>
      <c r="G406" s="2435"/>
      <c r="H406" s="2435"/>
      <c r="I406" s="2435"/>
      <c r="J406" s="2435"/>
      <c r="K406" s="2435"/>
      <c r="L406" s="2435"/>
      <c r="M406" s="2435"/>
      <c r="N406" s="2435"/>
      <c r="O406" s="2435"/>
      <c r="P406" s="2435"/>
      <c r="Q406" s="2435"/>
      <c r="R406" s="2435"/>
      <c r="S406" s="2435"/>
      <c r="T406" s="2435"/>
      <c r="U406" s="2435"/>
      <c r="V406" s="2435"/>
      <c r="W406" s="2435"/>
      <c r="X406" s="2435"/>
      <c r="Y406" s="2435"/>
      <c r="Z406" s="2435"/>
      <c r="AA406" s="2435"/>
      <c r="AB406" s="2435"/>
      <c r="AC406" s="2435"/>
      <c r="AD406" s="2435"/>
      <c r="AE406" s="2435"/>
      <c r="AF406" s="2435"/>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4" t="s">
        <v>590</v>
      </c>
      <c r="D407" s="2445"/>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6" t="s">
        <v>1462</v>
      </c>
      <c r="AG407" s="2446"/>
      <c r="AH407" s="2446"/>
      <c r="AI407" s="2446"/>
      <c r="AJ407" s="2446"/>
      <c r="AK407" s="2446"/>
      <c r="AL407" s="2447"/>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4" t="s">
        <v>544</v>
      </c>
      <c r="D409" s="2445"/>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6" t="s">
        <v>1474</v>
      </c>
      <c r="AG409" s="2446"/>
      <c r="AH409" s="2446"/>
      <c r="AI409" s="2446"/>
      <c r="AJ409" s="2446"/>
      <c r="AK409" s="2446"/>
      <c r="AL409" s="2447"/>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4" t="s">
        <v>590</v>
      </c>
      <c r="D412" s="2445"/>
      <c r="E412" s="715" t="s">
        <v>1475</v>
      </c>
      <c r="F412" s="2434" t="s">
        <v>1476</v>
      </c>
      <c r="G412" s="2434"/>
      <c r="H412" s="2434"/>
      <c r="I412" s="2434"/>
      <c r="J412" s="2434"/>
      <c r="K412" s="2434"/>
      <c r="L412" s="2434"/>
      <c r="M412" s="2434"/>
      <c r="N412" s="2434"/>
      <c r="O412" s="2434"/>
      <c r="P412" s="2434"/>
      <c r="Q412" s="2434"/>
      <c r="R412" s="2434"/>
      <c r="S412" s="2434"/>
      <c r="T412" s="2434"/>
      <c r="U412" s="2434"/>
      <c r="V412" s="2434"/>
      <c r="W412" s="2434"/>
      <c r="X412" s="2434"/>
      <c r="Y412" s="2434"/>
      <c r="Z412" s="2434"/>
      <c r="AA412" s="2434"/>
      <c r="AB412" s="2434"/>
      <c r="AC412" s="2434"/>
      <c r="AD412" s="2434"/>
      <c r="AE412" s="2434"/>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5"/>
      <c r="G413" s="2435"/>
      <c r="H413" s="2435"/>
      <c r="I413" s="2435"/>
      <c r="J413" s="2435"/>
      <c r="K413" s="2435"/>
      <c r="L413" s="2435"/>
      <c r="M413" s="2435"/>
      <c r="N413" s="2435"/>
      <c r="O413" s="2435"/>
      <c r="P413" s="2435"/>
      <c r="Q413" s="2435"/>
      <c r="R413" s="2435"/>
      <c r="S413" s="2435"/>
      <c r="T413" s="2435"/>
      <c r="U413" s="2435"/>
      <c r="V413" s="2435"/>
      <c r="W413" s="2435"/>
      <c r="X413" s="2435"/>
      <c r="Y413" s="2435"/>
      <c r="Z413" s="2435"/>
      <c r="AA413" s="2435"/>
      <c r="AB413" s="2435"/>
      <c r="AC413" s="2435"/>
      <c r="AD413" s="2435"/>
      <c r="AE413" s="2435"/>
      <c r="AF413" s="2524" t="s">
        <v>1462</v>
      </c>
      <c r="AG413" s="2524"/>
      <c r="AH413" s="2524"/>
      <c r="AI413" s="2524"/>
      <c r="AJ413" s="2524"/>
      <c r="AK413" s="2524"/>
      <c r="AL413" s="2533"/>
      <c r="AM413" s="570"/>
      <c r="AN413" s="597"/>
      <c r="BS413" s="570"/>
      <c r="BT413" s="570"/>
      <c r="BY413" s="570"/>
      <c r="BZ413" s="570"/>
      <c r="CA413" s="570"/>
      <c r="CB413" s="570"/>
      <c r="CC413" s="570"/>
    </row>
    <row r="414" spans="1:81" s="550" customFormat="1" ht="12.75" customHeight="1">
      <c r="A414" s="536"/>
      <c r="B414" s="14"/>
      <c r="C414" s="731"/>
      <c r="D414" s="14"/>
      <c r="E414" s="691"/>
      <c r="F414" s="2435"/>
      <c r="G414" s="2435"/>
      <c r="H414" s="2435"/>
      <c r="I414" s="2435"/>
      <c r="J414" s="2435"/>
      <c r="K414" s="2435"/>
      <c r="L414" s="2435"/>
      <c r="M414" s="2435"/>
      <c r="N414" s="2435"/>
      <c r="O414" s="2435"/>
      <c r="P414" s="2435"/>
      <c r="Q414" s="2435"/>
      <c r="R414" s="2435"/>
      <c r="S414" s="2435"/>
      <c r="T414" s="2435"/>
      <c r="U414" s="2435"/>
      <c r="V414" s="2435"/>
      <c r="W414" s="2435"/>
      <c r="X414" s="2435"/>
      <c r="Y414" s="2435"/>
      <c r="Z414" s="2435"/>
      <c r="AA414" s="2435"/>
      <c r="AB414" s="2435"/>
      <c r="AC414" s="2435"/>
      <c r="AD414" s="2435"/>
      <c r="AE414" s="2435"/>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6"/>
      <c r="G415" s="2436"/>
      <c r="H415" s="2436"/>
      <c r="I415" s="2436"/>
      <c r="J415" s="2436"/>
      <c r="K415" s="2436"/>
      <c r="L415" s="2436"/>
      <c r="M415" s="2436"/>
      <c r="N415" s="2436"/>
      <c r="O415" s="2436"/>
      <c r="P415" s="2436"/>
      <c r="Q415" s="2436"/>
      <c r="R415" s="2436"/>
      <c r="S415" s="2436"/>
      <c r="T415" s="2436"/>
      <c r="U415" s="2436"/>
      <c r="V415" s="2436"/>
      <c r="W415" s="2436"/>
      <c r="X415" s="2436"/>
      <c r="Y415" s="2436"/>
      <c r="Z415" s="2436"/>
      <c r="AA415" s="2436"/>
      <c r="AB415" s="2436"/>
      <c r="AC415" s="2436"/>
      <c r="AD415" s="2436"/>
      <c r="AE415" s="2436"/>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434" t="s">
        <v>1478</v>
      </c>
      <c r="G417" s="2434"/>
      <c r="H417" s="2434"/>
      <c r="I417" s="2434"/>
      <c r="J417" s="2434"/>
      <c r="K417" s="2434"/>
      <c r="L417" s="2434"/>
      <c r="M417" s="2434"/>
      <c r="N417" s="2434"/>
      <c r="O417" s="2434"/>
      <c r="P417" s="2434"/>
      <c r="Q417" s="2434"/>
      <c r="R417" s="2434"/>
      <c r="S417" s="2434"/>
      <c r="T417" s="2434"/>
      <c r="U417" s="2434"/>
      <c r="V417" s="2434"/>
      <c r="W417" s="2434"/>
      <c r="X417" s="2434"/>
      <c r="Y417" s="2434"/>
      <c r="Z417" s="2434"/>
      <c r="AA417" s="2434"/>
      <c r="AB417" s="2434"/>
      <c r="AC417" s="2434"/>
      <c r="AD417" s="2434"/>
      <c r="AE417" s="2434"/>
      <c r="AF417" s="747"/>
      <c r="AG417" s="747"/>
      <c r="AH417" s="747"/>
      <c r="AI417" s="747"/>
      <c r="AJ417" s="747"/>
      <c r="AK417" s="747"/>
      <c r="AL417" s="748"/>
      <c r="AM417" s="570"/>
    </row>
    <row r="418" spans="1:55">
      <c r="A418" s="536"/>
      <c r="C418" s="731"/>
      <c r="E418" s="691"/>
      <c r="F418" s="2435"/>
      <c r="G418" s="2435"/>
      <c r="H418" s="2435"/>
      <c r="I418" s="2435"/>
      <c r="J418" s="2435"/>
      <c r="K418" s="2435"/>
      <c r="L418" s="2435"/>
      <c r="M418" s="2435"/>
      <c r="N418" s="2435"/>
      <c r="O418" s="2435"/>
      <c r="P418" s="2435"/>
      <c r="Q418" s="2435"/>
      <c r="R418" s="2435"/>
      <c r="S418" s="2435"/>
      <c r="T418" s="2435"/>
      <c r="U418" s="2435"/>
      <c r="V418" s="2435"/>
      <c r="W418" s="2435"/>
      <c r="X418" s="2435"/>
      <c r="Y418" s="2435"/>
      <c r="Z418" s="2435"/>
      <c r="AA418" s="2435"/>
      <c r="AB418" s="2435"/>
      <c r="AC418" s="2435"/>
      <c r="AD418" s="2435"/>
      <c r="AE418" s="2435"/>
      <c r="AF418" s="539"/>
      <c r="AG418" s="536"/>
      <c r="AH418" s="550"/>
      <c r="AI418" s="550"/>
      <c r="AJ418" s="550"/>
      <c r="AK418" s="550"/>
      <c r="AL418" s="732"/>
      <c r="AM418" s="570"/>
    </row>
    <row r="419" spans="1:55" s="550" customFormat="1" ht="12.75" customHeight="1">
      <c r="A419" s="536"/>
      <c r="B419" s="14"/>
      <c r="C419" s="731"/>
      <c r="D419" s="14"/>
      <c r="E419" s="691"/>
      <c r="F419" s="2435"/>
      <c r="G419" s="2435"/>
      <c r="H419" s="2435"/>
      <c r="I419" s="2435"/>
      <c r="J419" s="2435"/>
      <c r="K419" s="2435"/>
      <c r="L419" s="2435"/>
      <c r="M419" s="2435"/>
      <c r="N419" s="2435"/>
      <c r="O419" s="2435"/>
      <c r="P419" s="2435"/>
      <c r="Q419" s="2435"/>
      <c r="R419" s="2435"/>
      <c r="S419" s="2435"/>
      <c r="T419" s="2435"/>
      <c r="U419" s="2435"/>
      <c r="V419" s="2435"/>
      <c r="W419" s="2435"/>
      <c r="X419" s="2435"/>
      <c r="Y419" s="2435"/>
      <c r="Z419" s="2435"/>
      <c r="AA419" s="2435"/>
      <c r="AB419" s="2435"/>
      <c r="AC419" s="2435"/>
      <c r="AD419" s="2435"/>
      <c r="AE419" s="2435"/>
      <c r="AL419" s="732"/>
      <c r="AM419" s="570"/>
      <c r="AN419" s="597"/>
    </row>
    <row r="420" spans="1:55" s="550" customFormat="1" ht="12.75" customHeight="1">
      <c r="A420" s="536"/>
      <c r="B420" s="14"/>
      <c r="C420" s="739"/>
      <c r="F420" s="2435"/>
      <c r="G420" s="2435"/>
      <c r="H420" s="2435"/>
      <c r="I420" s="2435"/>
      <c r="J420" s="2435"/>
      <c r="K420" s="2435"/>
      <c r="L420" s="2435"/>
      <c r="M420" s="2435"/>
      <c r="N420" s="2435"/>
      <c r="O420" s="2435"/>
      <c r="P420" s="2435"/>
      <c r="Q420" s="2435"/>
      <c r="R420" s="2435"/>
      <c r="S420" s="2435"/>
      <c r="T420" s="2435"/>
      <c r="U420" s="2435"/>
      <c r="V420" s="2435"/>
      <c r="W420" s="2435"/>
      <c r="X420" s="2435"/>
      <c r="Y420" s="2435"/>
      <c r="Z420" s="2435"/>
      <c r="AA420" s="2435"/>
      <c r="AB420" s="2435"/>
      <c r="AC420" s="2435"/>
      <c r="AD420" s="2435"/>
      <c r="AE420" s="2435"/>
      <c r="AL420" s="732"/>
      <c r="AM420" s="570"/>
      <c r="AN420" s="597"/>
    </row>
    <row r="421" spans="1:55" s="550" customFormat="1" ht="12.75" customHeight="1">
      <c r="A421" s="536"/>
      <c r="B421" s="14"/>
      <c r="C421" s="2444" t="s">
        <v>590</v>
      </c>
      <c r="D421" s="2445"/>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4" t="s">
        <v>1462</v>
      </c>
      <c r="AG421" s="2524"/>
      <c r="AH421" s="2524"/>
      <c r="AI421" s="2524"/>
      <c r="AJ421" s="2524"/>
      <c r="AK421" s="2524"/>
      <c r="AL421" s="2533"/>
      <c r="AM421" s="570"/>
      <c r="AN421" s="597"/>
    </row>
    <row r="422" spans="1:55" s="550" customFormat="1" ht="12.75" customHeight="1">
      <c r="A422" s="536"/>
      <c r="B422" s="14"/>
      <c r="C422" s="739"/>
      <c r="AL422" s="732"/>
      <c r="AM422" s="570"/>
      <c r="AN422" s="597"/>
    </row>
    <row r="423" spans="1:55" s="550" customFormat="1" ht="12.75" customHeight="1">
      <c r="A423" s="536"/>
      <c r="B423" s="14"/>
      <c r="C423" s="2444" t="s">
        <v>590</v>
      </c>
      <c r="D423" s="2445"/>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4" t="s">
        <v>1474</v>
      </c>
      <c r="AG423" s="2524"/>
      <c r="AH423" s="2524"/>
      <c r="AI423" s="2524"/>
      <c r="AJ423" s="2524"/>
      <c r="AK423" s="2524"/>
      <c r="AL423" s="2533"/>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434" t="s">
        <v>1482</v>
      </c>
      <c r="G427" s="2434"/>
      <c r="H427" s="2434"/>
      <c r="I427" s="2434"/>
      <c r="J427" s="2434"/>
      <c r="K427" s="2434"/>
      <c r="L427" s="2434"/>
      <c r="M427" s="2434"/>
      <c r="N427" s="2434"/>
      <c r="O427" s="2434"/>
      <c r="P427" s="2434"/>
      <c r="Q427" s="2434"/>
      <c r="R427" s="2434"/>
      <c r="S427" s="2434"/>
      <c r="T427" s="2434"/>
      <c r="U427" s="2434"/>
      <c r="V427" s="2434"/>
      <c r="W427" s="2434"/>
      <c r="X427" s="2434"/>
      <c r="Y427" s="2434"/>
      <c r="Z427" s="2434"/>
      <c r="AA427" s="2434"/>
      <c r="AB427" s="2434"/>
      <c r="AC427" s="2434"/>
      <c r="AD427" s="2434"/>
      <c r="AE427" s="2434"/>
      <c r="AF427" s="714"/>
      <c r="AG427" s="714"/>
      <c r="AH427" s="714"/>
      <c r="AI427" s="714"/>
      <c r="AJ427" s="714"/>
      <c r="AK427" s="714"/>
      <c r="AL427" s="745"/>
      <c r="AM427" s="570"/>
      <c r="AN427" s="597"/>
    </row>
    <row r="428" spans="1:55" s="550" customFormat="1" ht="12.75" customHeight="1">
      <c r="A428" s="536"/>
      <c r="B428" s="14"/>
      <c r="C428" s="731"/>
      <c r="D428" s="14"/>
      <c r="E428" s="691"/>
      <c r="F428" s="2435"/>
      <c r="G428" s="2435"/>
      <c r="H428" s="2435"/>
      <c r="I428" s="2435"/>
      <c r="J428" s="2435"/>
      <c r="K428" s="2435"/>
      <c r="L428" s="2435"/>
      <c r="M428" s="2435"/>
      <c r="N428" s="2435"/>
      <c r="O428" s="2435"/>
      <c r="P428" s="2435"/>
      <c r="Q428" s="2435"/>
      <c r="R428" s="2435"/>
      <c r="S428" s="2435"/>
      <c r="T428" s="2435"/>
      <c r="U428" s="2435"/>
      <c r="V428" s="2435"/>
      <c r="W428" s="2435"/>
      <c r="X428" s="2435"/>
      <c r="Y428" s="2435"/>
      <c r="Z428" s="2435"/>
      <c r="AA428" s="2435"/>
      <c r="AB428" s="2435"/>
      <c r="AC428" s="2435"/>
      <c r="AD428" s="2435"/>
      <c r="AE428" s="2435"/>
      <c r="AF428" s="539"/>
      <c r="AG428" s="536"/>
      <c r="AL428" s="732"/>
      <c r="AM428" s="570"/>
      <c r="AN428" s="597"/>
    </row>
    <row r="429" spans="1:55" s="550" customFormat="1" ht="12.4" customHeight="1">
      <c r="A429" s="536"/>
      <c r="B429" s="14"/>
      <c r="C429" s="731"/>
      <c r="D429" s="14"/>
      <c r="E429" s="691"/>
      <c r="F429" s="2435"/>
      <c r="G429" s="2435"/>
      <c r="H429" s="2435"/>
      <c r="I429" s="2435"/>
      <c r="J429" s="2435"/>
      <c r="K429" s="2435"/>
      <c r="L429" s="2435"/>
      <c r="M429" s="2435"/>
      <c r="N429" s="2435"/>
      <c r="O429" s="2435"/>
      <c r="P429" s="2435"/>
      <c r="Q429" s="2435"/>
      <c r="R429" s="2435"/>
      <c r="S429" s="2435"/>
      <c r="T429" s="2435"/>
      <c r="U429" s="2435"/>
      <c r="V429" s="2435"/>
      <c r="W429" s="2435"/>
      <c r="X429" s="2435"/>
      <c r="Y429" s="2435"/>
      <c r="Z429" s="2435"/>
      <c r="AA429" s="2435"/>
      <c r="AB429" s="2435"/>
      <c r="AC429" s="2435"/>
      <c r="AD429" s="2435"/>
      <c r="AE429" s="2435"/>
      <c r="AL429" s="732"/>
      <c r="AM429" s="570"/>
      <c r="AN429" s="597"/>
    </row>
    <row r="430" spans="1:55" s="550" customFormat="1" ht="12.75" customHeight="1">
      <c r="A430" s="536"/>
      <c r="B430" s="14"/>
      <c r="C430" s="2444" t="s">
        <v>590</v>
      </c>
      <c r="D430" s="2445"/>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4" t="s">
        <v>1462</v>
      </c>
      <c r="AG430" s="2524"/>
      <c r="AH430" s="2524"/>
      <c r="AI430" s="2524"/>
      <c r="AJ430" s="2524"/>
      <c r="AK430" s="2524"/>
      <c r="AL430" s="2533"/>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1484</v>
      </c>
      <c r="F433" s="2434" t="s">
        <v>1485</v>
      </c>
      <c r="G433" s="2434"/>
      <c r="H433" s="2434"/>
      <c r="I433" s="2434"/>
      <c r="J433" s="2434"/>
      <c r="K433" s="2434"/>
      <c r="L433" s="2434"/>
      <c r="M433" s="2434"/>
      <c r="N433" s="2434"/>
      <c r="O433" s="2434"/>
      <c r="P433" s="2434"/>
      <c r="Q433" s="2434"/>
      <c r="R433" s="2434"/>
      <c r="S433" s="2434"/>
      <c r="T433" s="2434"/>
      <c r="U433" s="2434"/>
      <c r="V433" s="2434"/>
      <c r="W433" s="2434"/>
      <c r="X433" s="2434"/>
      <c r="Y433" s="2434"/>
      <c r="Z433" s="2434"/>
      <c r="AA433" s="2434"/>
      <c r="AB433" s="2434"/>
      <c r="AC433" s="2434"/>
      <c r="AD433" s="2434"/>
      <c r="AE433" s="2434"/>
      <c r="AF433" s="747"/>
      <c r="AG433" s="747"/>
      <c r="AH433" s="747"/>
      <c r="AI433" s="747"/>
      <c r="AJ433" s="747"/>
      <c r="AK433" s="747"/>
      <c r="AL433" s="748"/>
      <c r="AM433" s="570"/>
      <c r="AO433" s="550"/>
      <c r="AP433" s="550"/>
      <c r="BD433" s="14"/>
      <c r="BE433" s="14"/>
      <c r="BF433" s="14"/>
      <c r="BG433" s="14"/>
      <c r="BH433" s="14"/>
    </row>
    <row r="434" spans="1:60">
      <c r="A434" s="536"/>
      <c r="C434" s="731"/>
      <c r="E434" s="691"/>
      <c r="F434" s="2435"/>
      <c r="G434" s="2435"/>
      <c r="H434" s="2435"/>
      <c r="I434" s="2435"/>
      <c r="J434" s="2435"/>
      <c r="K434" s="2435"/>
      <c r="L434" s="2435"/>
      <c r="M434" s="2435"/>
      <c r="N434" s="2435"/>
      <c r="O434" s="2435"/>
      <c r="P434" s="2435"/>
      <c r="Q434" s="2435"/>
      <c r="R434" s="2435"/>
      <c r="S434" s="2435"/>
      <c r="T434" s="2435"/>
      <c r="U434" s="2435"/>
      <c r="V434" s="2435"/>
      <c r="W434" s="2435"/>
      <c r="X434" s="2435"/>
      <c r="Y434" s="2435"/>
      <c r="Z434" s="2435"/>
      <c r="AA434" s="2435"/>
      <c r="AB434" s="2435"/>
      <c r="AC434" s="2435"/>
      <c r="AD434" s="2435"/>
      <c r="AE434" s="2435"/>
      <c r="AF434" s="594"/>
      <c r="AG434" s="594"/>
      <c r="AH434" s="594"/>
      <c r="AI434" s="594"/>
      <c r="AJ434" s="594"/>
      <c r="AK434" s="594"/>
      <c r="AL434" s="750"/>
      <c r="AM434" s="570"/>
      <c r="AO434" s="550"/>
      <c r="AP434" s="550"/>
    </row>
    <row r="435" spans="1:60" s="550" customFormat="1" ht="12.75" customHeight="1">
      <c r="A435" s="536"/>
      <c r="B435" s="14"/>
      <c r="C435" s="731"/>
      <c r="D435" s="14"/>
      <c r="E435" s="691"/>
      <c r="F435" s="2435"/>
      <c r="G435" s="2435"/>
      <c r="H435" s="2435"/>
      <c r="I435" s="2435"/>
      <c r="J435" s="2435"/>
      <c r="K435" s="2435"/>
      <c r="L435" s="2435"/>
      <c r="M435" s="2435"/>
      <c r="N435" s="2435"/>
      <c r="O435" s="2435"/>
      <c r="P435" s="2435"/>
      <c r="Q435" s="2435"/>
      <c r="R435" s="2435"/>
      <c r="S435" s="2435"/>
      <c r="T435" s="2435"/>
      <c r="U435" s="2435"/>
      <c r="V435" s="2435"/>
      <c r="W435" s="2435"/>
      <c r="X435" s="2435"/>
      <c r="Y435" s="2435"/>
      <c r="Z435" s="2435"/>
      <c r="AA435" s="2435"/>
      <c r="AB435" s="2435"/>
      <c r="AC435" s="2435"/>
      <c r="AD435" s="2435"/>
      <c r="AE435" s="2435"/>
      <c r="AF435" s="594"/>
      <c r="AG435" s="594"/>
      <c r="AH435" s="594"/>
      <c r="AI435" s="594"/>
      <c r="AJ435" s="594"/>
      <c r="AK435" s="594"/>
      <c r="AL435" s="750"/>
      <c r="AM435" s="570"/>
      <c r="AN435" s="597"/>
    </row>
    <row r="436" spans="1:60" s="550" customFormat="1" ht="12.75" customHeight="1">
      <c r="A436" s="536"/>
      <c r="B436" s="14"/>
      <c r="C436" s="751"/>
      <c r="D436" s="730"/>
      <c r="E436" s="719"/>
      <c r="F436" s="2435"/>
      <c r="G436" s="2435"/>
      <c r="H436" s="2435"/>
      <c r="I436" s="2435"/>
      <c r="J436" s="2435"/>
      <c r="K436" s="2435"/>
      <c r="L436" s="2435"/>
      <c r="M436" s="2435"/>
      <c r="N436" s="2435"/>
      <c r="O436" s="2435"/>
      <c r="P436" s="2435"/>
      <c r="Q436" s="2435"/>
      <c r="R436" s="2435"/>
      <c r="S436" s="2435"/>
      <c r="T436" s="2435"/>
      <c r="U436" s="2435"/>
      <c r="V436" s="2435"/>
      <c r="W436" s="2435"/>
      <c r="X436" s="2435"/>
      <c r="Y436" s="2435"/>
      <c r="Z436" s="2435"/>
      <c r="AA436" s="2435"/>
      <c r="AB436" s="2435"/>
      <c r="AC436" s="2435"/>
      <c r="AD436" s="2435"/>
      <c r="AE436" s="2435"/>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5"/>
      <c r="G437" s="2435"/>
      <c r="H437" s="2435"/>
      <c r="I437" s="2435"/>
      <c r="J437" s="2435"/>
      <c r="K437" s="2435"/>
      <c r="L437" s="2435"/>
      <c r="M437" s="2435"/>
      <c r="N437" s="2435"/>
      <c r="O437" s="2435"/>
      <c r="P437" s="2435"/>
      <c r="Q437" s="2435"/>
      <c r="R437" s="2435"/>
      <c r="S437" s="2435"/>
      <c r="T437" s="2435"/>
      <c r="U437" s="2435"/>
      <c r="V437" s="2435"/>
      <c r="W437" s="2435"/>
      <c r="X437" s="2435"/>
      <c r="Y437" s="2435"/>
      <c r="Z437" s="2435"/>
      <c r="AA437" s="2435"/>
      <c r="AB437" s="2435"/>
      <c r="AC437" s="2435"/>
      <c r="AD437" s="2435"/>
      <c r="AE437" s="2435"/>
      <c r="AF437" s="594"/>
      <c r="AG437" s="594"/>
      <c r="AH437" s="594"/>
      <c r="AI437" s="594"/>
      <c r="AJ437" s="594"/>
      <c r="AK437" s="594"/>
      <c r="AL437" s="750"/>
      <c r="AM437" s="570"/>
      <c r="AN437" s="597"/>
    </row>
    <row r="438" spans="1:60" s="550" customFormat="1" ht="12.75" customHeight="1">
      <c r="A438" s="536"/>
      <c r="B438" s="14"/>
      <c r="C438" s="751"/>
      <c r="D438" s="730"/>
      <c r="E438" s="719"/>
      <c r="F438" s="2435"/>
      <c r="G438" s="2435"/>
      <c r="H438" s="2435"/>
      <c r="I438" s="2435"/>
      <c r="J438" s="2435"/>
      <c r="K438" s="2435"/>
      <c r="L438" s="2435"/>
      <c r="M438" s="2435"/>
      <c r="N438" s="2435"/>
      <c r="O438" s="2435"/>
      <c r="P438" s="2435"/>
      <c r="Q438" s="2435"/>
      <c r="R438" s="2435"/>
      <c r="S438" s="2435"/>
      <c r="T438" s="2435"/>
      <c r="U438" s="2435"/>
      <c r="V438" s="2435"/>
      <c r="W438" s="2435"/>
      <c r="X438" s="2435"/>
      <c r="Y438" s="2435"/>
      <c r="Z438" s="2435"/>
      <c r="AA438" s="2435"/>
      <c r="AB438" s="2435"/>
      <c r="AC438" s="2435"/>
      <c r="AD438" s="2435"/>
      <c r="AE438" s="2435"/>
      <c r="AF438" s="594"/>
      <c r="AG438" s="594"/>
      <c r="AH438" s="594"/>
      <c r="AI438" s="594"/>
      <c r="AJ438" s="594"/>
      <c r="AK438" s="594"/>
      <c r="AL438" s="750"/>
      <c r="AM438" s="570"/>
      <c r="AN438" s="597"/>
    </row>
    <row r="439" spans="1:60" s="550" customFormat="1" ht="12.75" customHeight="1">
      <c r="A439" s="536"/>
      <c r="B439" s="14"/>
      <c r="C439" s="751"/>
      <c r="D439" s="730"/>
      <c r="E439" s="719"/>
      <c r="F439" s="2435"/>
      <c r="G439" s="2435"/>
      <c r="H439" s="2435"/>
      <c r="I439" s="2435"/>
      <c r="J439" s="2435"/>
      <c r="K439" s="2435"/>
      <c r="L439" s="2435"/>
      <c r="M439" s="2435"/>
      <c r="N439" s="2435"/>
      <c r="O439" s="2435"/>
      <c r="P439" s="2435"/>
      <c r="Q439" s="2435"/>
      <c r="R439" s="2435"/>
      <c r="S439" s="2435"/>
      <c r="T439" s="2435"/>
      <c r="U439" s="2435"/>
      <c r="V439" s="2435"/>
      <c r="W439" s="2435"/>
      <c r="X439" s="2435"/>
      <c r="Y439" s="2435"/>
      <c r="Z439" s="2435"/>
      <c r="AA439" s="2435"/>
      <c r="AB439" s="2435"/>
      <c r="AC439" s="2435"/>
      <c r="AD439" s="2435"/>
      <c r="AE439" s="2435"/>
      <c r="AF439" s="594"/>
      <c r="AG439" s="594"/>
      <c r="AH439" s="594"/>
      <c r="AI439" s="594"/>
      <c r="AJ439" s="594"/>
      <c r="AK439" s="594"/>
      <c r="AL439" s="750"/>
      <c r="AM439" s="570"/>
      <c r="AN439" s="597"/>
    </row>
    <row r="440" spans="1:60" s="550" customFormat="1" ht="12.75" customHeight="1">
      <c r="A440" s="536"/>
      <c r="B440" s="14"/>
      <c r="C440" s="751"/>
      <c r="D440" s="730"/>
      <c r="E440" s="719"/>
      <c r="F440" s="2435"/>
      <c r="G440" s="2435"/>
      <c r="H440" s="2435"/>
      <c r="I440" s="2435"/>
      <c r="J440" s="2435"/>
      <c r="K440" s="2435"/>
      <c r="L440" s="2435"/>
      <c r="M440" s="2435"/>
      <c r="N440" s="2435"/>
      <c r="O440" s="2435"/>
      <c r="P440" s="2435"/>
      <c r="Q440" s="2435"/>
      <c r="R440" s="2435"/>
      <c r="S440" s="2435"/>
      <c r="T440" s="2435"/>
      <c r="U440" s="2435"/>
      <c r="V440" s="2435"/>
      <c r="W440" s="2435"/>
      <c r="X440" s="2435"/>
      <c r="Y440" s="2435"/>
      <c r="Z440" s="2435"/>
      <c r="AA440" s="2435"/>
      <c r="AB440" s="2435"/>
      <c r="AC440" s="2435"/>
      <c r="AD440" s="2435"/>
      <c r="AE440" s="2435"/>
      <c r="AF440" s="594"/>
      <c r="AG440" s="594"/>
      <c r="AH440" s="594"/>
      <c r="AI440" s="594"/>
      <c r="AJ440" s="594"/>
      <c r="AK440" s="594"/>
      <c r="AL440" s="750"/>
      <c r="AM440" s="570"/>
      <c r="AN440" s="597"/>
    </row>
    <row r="441" spans="1:60" s="550" customFormat="1" ht="17.25" customHeight="1">
      <c r="A441" s="536"/>
      <c r="B441" s="14"/>
      <c r="C441" s="751"/>
      <c r="D441" s="730"/>
      <c r="E441" s="719"/>
      <c r="F441" s="2435"/>
      <c r="G441" s="2435"/>
      <c r="H441" s="2435"/>
      <c r="I441" s="2435"/>
      <c r="J441" s="2435"/>
      <c r="K441" s="2435"/>
      <c r="L441" s="2435"/>
      <c r="M441" s="2435"/>
      <c r="N441" s="2435"/>
      <c r="O441" s="2435"/>
      <c r="P441" s="2435"/>
      <c r="Q441" s="2435"/>
      <c r="R441" s="2435"/>
      <c r="S441" s="2435"/>
      <c r="T441" s="2435"/>
      <c r="U441" s="2435"/>
      <c r="V441" s="2435"/>
      <c r="W441" s="2435"/>
      <c r="X441" s="2435"/>
      <c r="Y441" s="2435"/>
      <c r="Z441" s="2435"/>
      <c r="AA441" s="2435"/>
      <c r="AB441" s="2435"/>
      <c r="AC441" s="2435"/>
      <c r="AD441" s="2435"/>
      <c r="AE441" s="2435"/>
      <c r="AL441" s="732"/>
      <c r="AM441" s="570"/>
      <c r="AN441" s="597"/>
    </row>
    <row r="442" spans="1:60" s="550" customFormat="1" ht="12.75" customHeight="1">
      <c r="A442" s="536"/>
      <c r="B442" s="14"/>
      <c r="C442" s="2444" t="s">
        <v>590</v>
      </c>
      <c r="D442" s="2445"/>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4" t="s">
        <v>1462</v>
      </c>
      <c r="AG442" s="2524"/>
      <c r="AH442" s="2524"/>
      <c r="AI442" s="2524"/>
      <c r="AJ442" s="2524"/>
      <c r="AK442" s="2524"/>
      <c r="AL442" s="2533"/>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434" t="s">
        <v>1488</v>
      </c>
      <c r="G445" s="2434"/>
      <c r="H445" s="2434"/>
      <c r="I445" s="2434"/>
      <c r="J445" s="2434"/>
      <c r="K445" s="2434"/>
      <c r="L445" s="2434"/>
      <c r="M445" s="2434"/>
      <c r="N445" s="2434"/>
      <c r="O445" s="2434"/>
      <c r="P445" s="2434"/>
      <c r="Q445" s="2434"/>
      <c r="R445" s="2434"/>
      <c r="S445" s="2434"/>
      <c r="T445" s="2434"/>
      <c r="U445" s="2434"/>
      <c r="V445" s="2434"/>
      <c r="W445" s="2434"/>
      <c r="X445" s="2434"/>
      <c r="Y445" s="2434"/>
      <c r="Z445" s="2434"/>
      <c r="AA445" s="2434"/>
      <c r="AB445" s="2434"/>
      <c r="AC445" s="2434"/>
      <c r="AD445" s="2434"/>
      <c r="AE445" s="2434"/>
      <c r="AF445" s="714"/>
      <c r="AG445" s="714"/>
      <c r="AH445" s="714"/>
      <c r="AI445" s="714"/>
      <c r="AJ445" s="714"/>
      <c r="AK445" s="714"/>
      <c r="AL445" s="745"/>
      <c r="AM445" s="570"/>
      <c r="AN445" s="597"/>
    </row>
    <row r="446" spans="1:60" s="550" customFormat="1" ht="12.75" customHeight="1">
      <c r="A446" s="536"/>
      <c r="B446" s="14"/>
      <c r="C446" s="751"/>
      <c r="D446" s="730"/>
      <c r="E446" s="719"/>
      <c r="F446" s="2435"/>
      <c r="G446" s="2435"/>
      <c r="H446" s="2435"/>
      <c r="I446" s="2435"/>
      <c r="J446" s="2435"/>
      <c r="K446" s="2435"/>
      <c r="L446" s="2435"/>
      <c r="M446" s="2435"/>
      <c r="N446" s="2435"/>
      <c r="O446" s="2435"/>
      <c r="P446" s="2435"/>
      <c r="Q446" s="2435"/>
      <c r="R446" s="2435"/>
      <c r="S446" s="2435"/>
      <c r="T446" s="2435"/>
      <c r="U446" s="2435"/>
      <c r="V446" s="2435"/>
      <c r="W446" s="2435"/>
      <c r="X446" s="2435"/>
      <c r="Y446" s="2435"/>
      <c r="Z446" s="2435"/>
      <c r="AA446" s="2435"/>
      <c r="AB446" s="2435"/>
      <c r="AC446" s="2435"/>
      <c r="AD446" s="2435"/>
      <c r="AE446" s="2435"/>
      <c r="AF446" s="591"/>
      <c r="AG446" s="591"/>
      <c r="AH446" s="591"/>
      <c r="AI446" s="591"/>
      <c r="AJ446" s="591"/>
      <c r="AK446" s="591"/>
      <c r="AL446" s="720"/>
      <c r="AM446" s="570"/>
      <c r="AN446" s="597"/>
    </row>
    <row r="447" spans="1:60" s="550" customFormat="1" ht="12.75" customHeight="1">
      <c r="A447" s="536"/>
      <c r="B447" s="14"/>
      <c r="C447" s="751"/>
      <c r="D447" s="730"/>
      <c r="E447" s="719"/>
      <c r="F447" s="2435"/>
      <c r="G447" s="2435"/>
      <c r="H447" s="2435"/>
      <c r="I447" s="2435"/>
      <c r="J447" s="2435"/>
      <c r="K447" s="2435"/>
      <c r="L447" s="2435"/>
      <c r="M447" s="2435"/>
      <c r="N447" s="2435"/>
      <c r="O447" s="2435"/>
      <c r="P447" s="2435"/>
      <c r="Q447" s="2435"/>
      <c r="R447" s="2435"/>
      <c r="S447" s="2435"/>
      <c r="T447" s="2435"/>
      <c r="U447" s="2435"/>
      <c r="V447" s="2435"/>
      <c r="W447" s="2435"/>
      <c r="X447" s="2435"/>
      <c r="Y447" s="2435"/>
      <c r="Z447" s="2435"/>
      <c r="AA447" s="2435"/>
      <c r="AB447" s="2435"/>
      <c r="AC447" s="2435"/>
      <c r="AD447" s="2435"/>
      <c r="AE447" s="2435"/>
      <c r="AF447" s="591"/>
      <c r="AG447" s="591"/>
      <c r="AH447" s="591"/>
      <c r="AI447" s="591"/>
      <c r="AJ447" s="591"/>
      <c r="AK447" s="591"/>
      <c r="AL447" s="720"/>
      <c r="AM447" s="570"/>
      <c r="AN447" s="597"/>
    </row>
    <row r="448" spans="1:60" s="550" customFormat="1" ht="12.75" customHeight="1">
      <c r="A448" s="536"/>
      <c r="B448" s="14"/>
      <c r="C448" s="751"/>
      <c r="D448" s="730"/>
      <c r="E448" s="719"/>
      <c r="F448" s="2435"/>
      <c r="G448" s="2435"/>
      <c r="H448" s="2435"/>
      <c r="I448" s="2435"/>
      <c r="J448" s="2435"/>
      <c r="K448" s="2435"/>
      <c r="L448" s="2435"/>
      <c r="M448" s="2435"/>
      <c r="N448" s="2435"/>
      <c r="O448" s="2435"/>
      <c r="P448" s="2435"/>
      <c r="Q448" s="2435"/>
      <c r="R448" s="2435"/>
      <c r="S448" s="2435"/>
      <c r="T448" s="2435"/>
      <c r="U448" s="2435"/>
      <c r="V448" s="2435"/>
      <c r="W448" s="2435"/>
      <c r="X448" s="2435"/>
      <c r="Y448" s="2435"/>
      <c r="Z448" s="2435"/>
      <c r="AA448" s="2435"/>
      <c r="AB448" s="2435"/>
      <c r="AC448" s="2435"/>
      <c r="AD448" s="2435"/>
      <c r="AE448" s="2435"/>
      <c r="AL448" s="732"/>
      <c r="AM448" s="570"/>
      <c r="AN448" s="597"/>
    </row>
    <row r="449" spans="1:40" s="550" customFormat="1" ht="12.75" customHeight="1">
      <c r="A449" s="536"/>
      <c r="B449" s="14"/>
      <c r="C449" s="2444" t="s">
        <v>590</v>
      </c>
      <c r="D449" s="2445"/>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4" t="s">
        <v>1462</v>
      </c>
      <c r="AG449" s="2524"/>
      <c r="AH449" s="2524"/>
      <c r="AI449" s="2524"/>
      <c r="AJ449" s="2524"/>
      <c r="AK449" s="2524"/>
      <c r="AL449" s="2533"/>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60" t="s">
        <v>590</v>
      </c>
      <c r="D453" s="2561"/>
      <c r="E453" s="715" t="s">
        <v>1497</v>
      </c>
      <c r="F453" s="2434" t="s">
        <v>1498</v>
      </c>
      <c r="G453" s="2434"/>
      <c r="H453" s="2434"/>
      <c r="I453" s="2434"/>
      <c r="J453" s="2434"/>
      <c r="K453" s="2434"/>
      <c r="L453" s="2434"/>
      <c r="M453" s="2434"/>
      <c r="N453" s="2434"/>
      <c r="O453" s="2434"/>
      <c r="P453" s="2434"/>
      <c r="Q453" s="2434"/>
      <c r="R453" s="2434"/>
      <c r="S453" s="2434"/>
      <c r="T453" s="2434"/>
      <c r="U453" s="2434"/>
      <c r="V453" s="2434"/>
      <c r="W453" s="2434"/>
      <c r="X453" s="2434"/>
      <c r="Y453" s="2434"/>
      <c r="Z453" s="2434"/>
      <c r="AA453" s="2434"/>
      <c r="AB453" s="2434"/>
      <c r="AC453" s="2434"/>
      <c r="AD453" s="2434"/>
      <c r="AE453" s="2434"/>
      <c r="AF453" s="2462" t="s">
        <v>1462</v>
      </c>
      <c r="AG453" s="2462"/>
      <c r="AH453" s="2462"/>
      <c r="AI453" s="2462"/>
      <c r="AJ453" s="2462"/>
      <c r="AK453" s="2462"/>
      <c r="AL453" s="2463"/>
      <c r="AM453" s="570"/>
      <c r="AN453" s="753"/>
    </row>
    <row r="454" spans="1:40" s="550" customFormat="1" ht="12.75" customHeight="1">
      <c r="A454" s="536"/>
      <c r="B454" s="14"/>
      <c r="C454" s="751"/>
      <c r="D454" s="730"/>
      <c r="E454" s="719"/>
      <c r="F454" s="2435"/>
      <c r="G454" s="2435"/>
      <c r="H454" s="2435"/>
      <c r="I454" s="2435"/>
      <c r="J454" s="2435"/>
      <c r="K454" s="2435"/>
      <c r="L454" s="2435"/>
      <c r="M454" s="2435"/>
      <c r="N454" s="2435"/>
      <c r="O454" s="2435"/>
      <c r="P454" s="2435"/>
      <c r="Q454" s="2435"/>
      <c r="R454" s="2435"/>
      <c r="S454" s="2435"/>
      <c r="T454" s="2435"/>
      <c r="U454" s="2435"/>
      <c r="V454" s="2435"/>
      <c r="W454" s="2435"/>
      <c r="X454" s="2435"/>
      <c r="Y454" s="2435"/>
      <c r="Z454" s="2435"/>
      <c r="AA454" s="2435"/>
      <c r="AB454" s="2435"/>
      <c r="AC454" s="2435"/>
      <c r="AD454" s="2435"/>
      <c r="AE454" s="2435"/>
      <c r="AF454" s="591"/>
      <c r="AG454" s="591"/>
      <c r="AH454" s="591"/>
      <c r="AI454" s="591"/>
      <c r="AJ454" s="591"/>
      <c r="AK454" s="591"/>
      <c r="AL454" s="720"/>
      <c r="AM454" s="570"/>
      <c r="AN454" s="754"/>
    </row>
    <row r="455" spans="1:40" s="550" customFormat="1" ht="17.649999999999999" customHeight="1">
      <c r="A455" s="536"/>
      <c r="B455" s="14"/>
      <c r="C455" s="756"/>
      <c r="D455" s="723"/>
      <c r="E455" s="724"/>
      <c r="F455" s="2436"/>
      <c r="G455" s="2436"/>
      <c r="H455" s="2436"/>
      <c r="I455" s="2436"/>
      <c r="J455" s="2436"/>
      <c r="K455" s="2436"/>
      <c r="L455" s="2436"/>
      <c r="M455" s="2436"/>
      <c r="N455" s="2436"/>
      <c r="O455" s="2436"/>
      <c r="P455" s="2436"/>
      <c r="Q455" s="2436"/>
      <c r="R455" s="2436"/>
      <c r="S455" s="2436"/>
      <c r="T455" s="2436"/>
      <c r="U455" s="2436"/>
      <c r="V455" s="2436"/>
      <c r="W455" s="2436"/>
      <c r="X455" s="2436"/>
      <c r="Y455" s="2436"/>
      <c r="Z455" s="2436"/>
      <c r="AA455" s="2436"/>
      <c r="AB455" s="2436"/>
      <c r="AC455" s="2436"/>
      <c r="AD455" s="2436"/>
      <c r="AE455" s="2436"/>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4" t="s">
        <v>590</v>
      </c>
      <c r="D457" s="2445"/>
      <c r="E457" s="715" t="s">
        <v>1503</v>
      </c>
      <c r="F457" s="2434" t="s">
        <v>1504</v>
      </c>
      <c r="G457" s="2434"/>
      <c r="H457" s="2434"/>
      <c r="I457" s="2434"/>
      <c r="J457" s="2434"/>
      <c r="K457" s="2434"/>
      <c r="L457" s="2434"/>
      <c r="M457" s="2434"/>
      <c r="N457" s="2434"/>
      <c r="O457" s="2434"/>
      <c r="P457" s="2434"/>
      <c r="Q457" s="2434"/>
      <c r="R457" s="2434"/>
      <c r="S457" s="2434"/>
      <c r="T457" s="2434"/>
      <c r="U457" s="2434"/>
      <c r="V457" s="2434"/>
      <c r="W457" s="2434"/>
      <c r="X457" s="2434"/>
      <c r="Y457" s="2434"/>
      <c r="Z457" s="2434"/>
      <c r="AA457" s="2434"/>
      <c r="AB457" s="2434"/>
      <c r="AC457" s="2434"/>
      <c r="AD457" s="2434"/>
      <c r="AE457" s="2434"/>
      <c r="AF457" s="2462" t="s">
        <v>1462</v>
      </c>
      <c r="AG457" s="2462"/>
      <c r="AH457" s="2462"/>
      <c r="AI457" s="2462"/>
      <c r="AJ457" s="2462"/>
      <c r="AK457" s="2462"/>
      <c r="AL457" s="2463"/>
      <c r="AM457" s="570"/>
      <c r="AN457" s="535"/>
    </row>
    <row r="458" spans="1:40" s="550" customFormat="1" ht="12.75" customHeight="1">
      <c r="A458" s="536"/>
      <c r="B458" s="14"/>
      <c r="C458" s="731"/>
      <c r="D458" s="14"/>
      <c r="E458" s="691"/>
      <c r="F458" s="2435"/>
      <c r="G458" s="2435"/>
      <c r="H458" s="2435"/>
      <c r="I458" s="2435"/>
      <c r="J458" s="2435"/>
      <c r="K458" s="2435"/>
      <c r="L458" s="2435"/>
      <c r="M458" s="2435"/>
      <c r="N458" s="2435"/>
      <c r="O458" s="2435"/>
      <c r="P458" s="2435"/>
      <c r="Q458" s="2435"/>
      <c r="R458" s="2435"/>
      <c r="S458" s="2435"/>
      <c r="T458" s="2435"/>
      <c r="U458" s="2435"/>
      <c r="V458" s="2435"/>
      <c r="W458" s="2435"/>
      <c r="X458" s="2435"/>
      <c r="Y458" s="2435"/>
      <c r="Z458" s="2435"/>
      <c r="AA458" s="2435"/>
      <c r="AB458" s="2435"/>
      <c r="AC458" s="2435"/>
      <c r="AD458" s="2435"/>
      <c r="AE458" s="2435"/>
      <c r="AF458" s="539"/>
      <c r="AG458" s="536"/>
      <c r="AL458" s="732"/>
      <c r="AM458" s="570"/>
      <c r="AN458" s="535"/>
    </row>
    <row r="459" spans="1:40" s="550" customFormat="1" ht="12.75" customHeight="1">
      <c r="A459" s="536"/>
      <c r="B459" s="14"/>
      <c r="C459" s="731"/>
      <c r="D459" s="14"/>
      <c r="E459" s="691"/>
      <c r="F459" s="2435"/>
      <c r="G459" s="2435"/>
      <c r="H459" s="2435"/>
      <c r="I459" s="2435"/>
      <c r="J459" s="2435"/>
      <c r="K459" s="2435"/>
      <c r="L459" s="2435"/>
      <c r="M459" s="2435"/>
      <c r="N459" s="2435"/>
      <c r="O459" s="2435"/>
      <c r="P459" s="2435"/>
      <c r="Q459" s="2435"/>
      <c r="R459" s="2435"/>
      <c r="S459" s="2435"/>
      <c r="T459" s="2435"/>
      <c r="U459" s="2435"/>
      <c r="V459" s="2435"/>
      <c r="W459" s="2435"/>
      <c r="X459" s="2435"/>
      <c r="Y459" s="2435"/>
      <c r="Z459" s="2435"/>
      <c r="AA459" s="2435"/>
      <c r="AB459" s="2435"/>
      <c r="AC459" s="2435"/>
      <c r="AD459" s="2435"/>
      <c r="AE459" s="2435"/>
      <c r="AF459" s="539"/>
      <c r="AG459" s="536"/>
      <c r="AL459" s="732"/>
      <c r="AM459" s="570"/>
      <c r="AN459" s="535"/>
    </row>
    <row r="460" spans="1:40" s="550" customFormat="1" ht="12.75" customHeight="1">
      <c r="A460" s="536"/>
      <c r="B460" s="14"/>
      <c r="C460" s="756"/>
      <c r="D460" s="723"/>
      <c r="E460" s="724"/>
      <c r="F460" s="2436"/>
      <c r="G460" s="2436"/>
      <c r="H460" s="2436"/>
      <c r="I460" s="2436"/>
      <c r="J460" s="2436"/>
      <c r="K460" s="2436"/>
      <c r="L460" s="2436"/>
      <c r="M460" s="2436"/>
      <c r="N460" s="2436"/>
      <c r="O460" s="2436"/>
      <c r="P460" s="2436"/>
      <c r="Q460" s="2436"/>
      <c r="R460" s="2436"/>
      <c r="S460" s="2436"/>
      <c r="T460" s="2436"/>
      <c r="U460" s="2436"/>
      <c r="V460" s="2436"/>
      <c r="W460" s="2436"/>
      <c r="X460" s="2436"/>
      <c r="Y460" s="2436"/>
      <c r="Z460" s="2436"/>
      <c r="AA460" s="2436"/>
      <c r="AB460" s="2436"/>
      <c r="AC460" s="2436"/>
      <c r="AD460" s="2436"/>
      <c r="AE460" s="2436"/>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434" t="s">
        <v>1507</v>
      </c>
      <c r="G462" s="2434"/>
      <c r="H462" s="2434"/>
      <c r="I462" s="2434"/>
      <c r="J462" s="2434"/>
      <c r="K462" s="2434"/>
      <c r="L462" s="2434"/>
      <c r="M462" s="2434"/>
      <c r="N462" s="2434"/>
      <c r="O462" s="2434"/>
      <c r="P462" s="2434"/>
      <c r="Q462" s="2434"/>
      <c r="R462" s="2434"/>
      <c r="S462" s="2434"/>
      <c r="T462" s="2434"/>
      <c r="U462" s="2434"/>
      <c r="V462" s="2434"/>
      <c r="W462" s="2434"/>
      <c r="X462" s="2434"/>
      <c r="Y462" s="2434"/>
      <c r="Z462" s="2434"/>
      <c r="AA462" s="2434"/>
      <c r="AB462" s="2434"/>
      <c r="AC462" s="2434"/>
      <c r="AD462" s="2434"/>
      <c r="AE462" s="2434"/>
      <c r="AF462" s="2434"/>
      <c r="AG462" s="744"/>
      <c r="AH462" s="714"/>
      <c r="AI462" s="714"/>
      <c r="AJ462" s="714"/>
      <c r="AK462" s="714"/>
      <c r="AL462" s="745"/>
      <c r="AM462" s="570"/>
      <c r="AN462" s="597"/>
    </row>
    <row r="463" spans="1:40" s="550" customFormat="1" ht="12.75" customHeight="1">
      <c r="A463" s="536"/>
      <c r="B463" s="14"/>
      <c r="C463" s="731"/>
      <c r="D463" s="14"/>
      <c r="E463" s="691"/>
      <c r="F463" s="2435"/>
      <c r="G463" s="2435"/>
      <c r="H463" s="2435"/>
      <c r="I463" s="2435"/>
      <c r="J463" s="2435"/>
      <c r="K463" s="2435"/>
      <c r="L463" s="2435"/>
      <c r="M463" s="2435"/>
      <c r="N463" s="2435"/>
      <c r="O463" s="2435"/>
      <c r="P463" s="2435"/>
      <c r="Q463" s="2435"/>
      <c r="R463" s="2435"/>
      <c r="S463" s="2435"/>
      <c r="T463" s="2435"/>
      <c r="U463" s="2435"/>
      <c r="V463" s="2435"/>
      <c r="W463" s="2435"/>
      <c r="X463" s="2435"/>
      <c r="Y463" s="2435"/>
      <c r="Z463" s="2435"/>
      <c r="AA463" s="2435"/>
      <c r="AB463" s="2435"/>
      <c r="AC463" s="2435"/>
      <c r="AD463" s="2435"/>
      <c r="AE463" s="2435"/>
      <c r="AF463" s="2435"/>
      <c r="AL463" s="732"/>
      <c r="AM463" s="570"/>
      <c r="AN463" s="597"/>
    </row>
    <row r="464" spans="1:40" s="550" customFormat="1" ht="12.75" customHeight="1">
      <c r="A464" s="536"/>
      <c r="B464" s="14"/>
      <c r="C464" s="739"/>
      <c r="F464" s="2435"/>
      <c r="G464" s="2435"/>
      <c r="H464" s="2435"/>
      <c r="I464" s="2435"/>
      <c r="J464" s="2435"/>
      <c r="K464" s="2435"/>
      <c r="L464" s="2435"/>
      <c r="M464" s="2435"/>
      <c r="N464" s="2435"/>
      <c r="O464" s="2435"/>
      <c r="P464" s="2435"/>
      <c r="Q464" s="2435"/>
      <c r="R464" s="2435"/>
      <c r="S464" s="2435"/>
      <c r="T464" s="2435"/>
      <c r="U464" s="2435"/>
      <c r="V464" s="2435"/>
      <c r="W464" s="2435"/>
      <c r="X464" s="2435"/>
      <c r="Y464" s="2435"/>
      <c r="Z464" s="2435"/>
      <c r="AA464" s="2435"/>
      <c r="AB464" s="2435"/>
      <c r="AC464" s="2435"/>
      <c r="AD464" s="2435"/>
      <c r="AE464" s="2435"/>
      <c r="AF464" s="2435"/>
      <c r="AL464" s="732"/>
      <c r="AM464" s="570"/>
      <c r="AN464" s="597"/>
    </row>
    <row r="465" spans="1:58" s="550" customFormat="1" ht="12.75" customHeight="1">
      <c r="A465" s="536"/>
      <c r="B465" s="14"/>
      <c r="C465" s="739"/>
      <c r="F465" s="2435"/>
      <c r="G465" s="2435"/>
      <c r="H465" s="2435"/>
      <c r="I465" s="2435"/>
      <c r="J465" s="2435"/>
      <c r="K465" s="2435"/>
      <c r="L465" s="2435"/>
      <c r="M465" s="2435"/>
      <c r="N465" s="2435"/>
      <c r="O465" s="2435"/>
      <c r="P465" s="2435"/>
      <c r="Q465" s="2435"/>
      <c r="R465" s="2435"/>
      <c r="S465" s="2435"/>
      <c r="T465" s="2435"/>
      <c r="U465" s="2435"/>
      <c r="V465" s="2435"/>
      <c r="W465" s="2435"/>
      <c r="X465" s="2435"/>
      <c r="Y465" s="2435"/>
      <c r="Z465" s="2435"/>
      <c r="AA465" s="2435"/>
      <c r="AB465" s="2435"/>
      <c r="AC465" s="2435"/>
      <c r="AD465" s="2435"/>
      <c r="AE465" s="2435"/>
      <c r="AF465" s="2435"/>
      <c r="AL465" s="732"/>
      <c r="AM465" s="570"/>
      <c r="AN465" s="597"/>
    </row>
    <row r="466" spans="1:58" s="550" customFormat="1" ht="12.75" customHeight="1">
      <c r="A466" s="536"/>
      <c r="B466" s="14"/>
      <c r="C466" s="2444" t="s">
        <v>590</v>
      </c>
      <c r="D466" s="2445"/>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6" t="s">
        <v>1462</v>
      </c>
      <c r="AG466" s="2446"/>
      <c r="AH466" s="2446"/>
      <c r="AI466" s="2446"/>
      <c r="AJ466" s="2446"/>
      <c r="AK466" s="2446"/>
      <c r="AL466" s="2447"/>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31">
        <f>IF(Application!D214="N/A",AS358,AS360)</f>
        <v>10</v>
      </c>
      <c r="AL469" s="2432"/>
      <c r="AM469" s="2433"/>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590</v>
      </c>
      <c r="AP471" s="550">
        <v>0</v>
      </c>
      <c r="AT471" s="550" t="s">
        <v>590</v>
      </c>
      <c r="AU471" s="550">
        <v>0</v>
      </c>
      <c r="AV471" s="752"/>
    </row>
    <row r="472" spans="1:58" s="550" customFormat="1" ht="12.75" hidden="1" customHeight="1">
      <c r="A472" s="539" t="s">
        <v>1510</v>
      </c>
      <c r="C472" s="539"/>
      <c r="E472" s="596"/>
      <c r="AE472" s="2446" t="s">
        <v>1511</v>
      </c>
      <c r="AF472" s="2446"/>
      <c r="AG472" s="2446"/>
      <c r="AH472" s="2446"/>
      <c r="AI472" s="2446"/>
      <c r="AJ472" s="2446"/>
      <c r="AK472" s="2446"/>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453" t="s">
        <v>590</v>
      </c>
      <c r="D478" s="2454"/>
      <c r="E478" s="761" t="s">
        <v>506</v>
      </c>
      <c r="F478" s="2531" t="s">
        <v>1517</v>
      </c>
      <c r="G478" s="2531"/>
      <c r="H478" s="2531"/>
      <c r="I478" s="2531"/>
      <c r="J478" s="2531"/>
      <c r="K478" s="2531"/>
      <c r="L478" s="2531"/>
      <c r="M478" s="2531"/>
      <c r="N478" s="2531"/>
      <c r="O478" s="2531"/>
      <c r="P478" s="2531"/>
      <c r="Q478" s="2531"/>
      <c r="R478" s="2531"/>
      <c r="S478" s="2531"/>
      <c r="T478" s="2531"/>
      <c r="U478" s="2531"/>
      <c r="V478" s="2531"/>
      <c r="W478" s="2531"/>
      <c r="X478" s="2531"/>
      <c r="Y478" s="2531"/>
      <c r="Z478" s="2531"/>
      <c r="AA478" s="2531"/>
      <c r="AB478" s="2531"/>
      <c r="AC478" s="2531"/>
      <c r="AD478" s="2531"/>
      <c r="AE478" s="2531"/>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32"/>
      <c r="G479" s="2532"/>
      <c r="H479" s="2532"/>
      <c r="I479" s="2532"/>
      <c r="J479" s="2532"/>
      <c r="K479" s="2532"/>
      <c r="L479" s="2532"/>
      <c r="M479" s="2532"/>
      <c r="N479" s="2532"/>
      <c r="O479" s="2532"/>
      <c r="P479" s="2532"/>
      <c r="Q479" s="2532"/>
      <c r="R479" s="2532"/>
      <c r="S479" s="2532"/>
      <c r="T479" s="2532"/>
      <c r="U479" s="2532"/>
      <c r="V479" s="2532"/>
      <c r="W479" s="2532"/>
      <c r="X479" s="2532"/>
      <c r="Y479" s="2532"/>
      <c r="Z479" s="2532"/>
      <c r="AA479" s="2532"/>
      <c r="AB479" s="2532"/>
      <c r="AC479" s="2532"/>
      <c r="AD479" s="2532"/>
      <c r="AE479" s="2532"/>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459" t="s">
        <v>590</v>
      </c>
      <c r="G480" s="2459"/>
      <c r="H480" s="2459"/>
      <c r="I480" s="2459"/>
      <c r="J480" s="2459"/>
      <c r="K480" s="2459"/>
      <c r="L480" s="2459"/>
      <c r="M480" s="2459"/>
      <c r="N480" s="2459"/>
      <c r="O480" s="2459"/>
      <c r="P480" s="2459"/>
      <c r="Q480" s="2459"/>
      <c r="R480" s="2459"/>
      <c r="S480" s="2459"/>
      <c r="T480" s="2459"/>
      <c r="U480" s="2459"/>
      <c r="V480" s="2459"/>
      <c r="W480" s="2459"/>
      <c r="X480" s="2459"/>
      <c r="Y480" s="2459"/>
      <c r="Z480" s="2459"/>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590</v>
      </c>
      <c r="AP481" s="637">
        <v>0</v>
      </c>
      <c r="AT481" s="550" t="s">
        <v>590</v>
      </c>
      <c r="AU481" s="637">
        <v>0</v>
      </c>
      <c r="AW481" s="550" t="s">
        <v>590</v>
      </c>
      <c r="AX481" s="637">
        <v>0</v>
      </c>
      <c r="AY481" s="593"/>
      <c r="BB481" s="550" t="s">
        <v>590</v>
      </c>
      <c r="BC481" s="593">
        <v>0</v>
      </c>
      <c r="BF481" s="550" t="s">
        <v>590</v>
      </c>
      <c r="BG481" s="593">
        <v>0</v>
      </c>
    </row>
    <row r="482" spans="1:81" s="550" customFormat="1" ht="12.75" hidden="1" customHeight="1">
      <c r="C482" s="2460" t="s">
        <v>544</v>
      </c>
      <c r="D482" s="2461"/>
      <c r="E482" s="761" t="s">
        <v>756</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439" t="s">
        <v>590</v>
      </c>
      <c r="W485" s="2439"/>
      <c r="X485" s="2439"/>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590</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439" t="s">
        <v>590</v>
      </c>
      <c r="W487" s="2439"/>
      <c r="X487" s="2439"/>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590</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439" t="s">
        <v>590</v>
      </c>
      <c r="W492" s="2439"/>
      <c r="X492" s="2439"/>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590</v>
      </c>
      <c r="AP494" s="550">
        <v>0</v>
      </c>
      <c r="AQ494" s="539"/>
    </row>
    <row r="495" spans="1:81" s="596" customFormat="1" ht="12.75" hidden="1" customHeight="1">
      <c r="A495" s="550"/>
      <c r="B495" s="550"/>
      <c r="C495" s="781"/>
      <c r="D495" s="2458"/>
      <c r="E495" s="2458"/>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439" t="s">
        <v>590</v>
      </c>
      <c r="W496" s="2439"/>
      <c r="X496" s="2439"/>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439" t="s">
        <v>590</v>
      </c>
      <c r="W498" s="2439"/>
      <c r="X498" s="2439"/>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3" t="s">
        <v>590</v>
      </c>
      <c r="D501" s="2454"/>
      <c r="E501" s="761" t="s">
        <v>506</v>
      </c>
      <c r="F501" s="2531" t="s">
        <v>1517</v>
      </c>
      <c r="G501" s="2531"/>
      <c r="H501" s="2531"/>
      <c r="I501" s="2531"/>
      <c r="J501" s="2531"/>
      <c r="K501" s="2531"/>
      <c r="L501" s="2531"/>
      <c r="M501" s="2531"/>
      <c r="N501" s="2531"/>
      <c r="O501" s="2531"/>
      <c r="P501" s="2531"/>
      <c r="Q501" s="2531"/>
      <c r="R501" s="2531"/>
      <c r="S501" s="2531"/>
      <c r="T501" s="2531"/>
      <c r="U501" s="2531"/>
      <c r="V501" s="2531"/>
      <c r="W501" s="2531"/>
      <c r="X501" s="2531"/>
      <c r="Y501" s="2531"/>
      <c r="Z501" s="2531"/>
      <c r="AA501" s="2531"/>
      <c r="AB501" s="2531"/>
      <c r="AC501" s="2531"/>
      <c r="AD501" s="2531"/>
      <c r="AE501" s="2531"/>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32"/>
      <c r="G502" s="2532"/>
      <c r="H502" s="2532"/>
      <c r="I502" s="2532"/>
      <c r="J502" s="2532"/>
      <c r="K502" s="2532"/>
      <c r="L502" s="2532"/>
      <c r="M502" s="2532"/>
      <c r="N502" s="2532"/>
      <c r="O502" s="2532"/>
      <c r="P502" s="2532"/>
      <c r="Q502" s="2532"/>
      <c r="R502" s="2532"/>
      <c r="S502" s="2532"/>
      <c r="T502" s="2532"/>
      <c r="U502" s="2532"/>
      <c r="V502" s="2532"/>
      <c r="W502" s="2532"/>
      <c r="X502" s="2532"/>
      <c r="Y502" s="2532"/>
      <c r="Z502" s="2532"/>
      <c r="AA502" s="2532"/>
      <c r="AB502" s="2532"/>
      <c r="AC502" s="2532"/>
      <c r="AD502" s="2532"/>
      <c r="AE502" s="2532"/>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52" t="s">
        <v>590</v>
      </c>
      <c r="G503" s="2452"/>
      <c r="H503" s="2452"/>
      <c r="I503" s="2452"/>
      <c r="J503" s="2452"/>
      <c r="K503" s="2452"/>
      <c r="L503" s="2452"/>
      <c r="M503" s="2452"/>
      <c r="N503" s="2452"/>
      <c r="O503" s="2452"/>
      <c r="P503" s="2452"/>
      <c r="Q503" s="2452"/>
      <c r="R503" s="2452"/>
      <c r="S503" s="2452"/>
      <c r="T503" s="2452"/>
      <c r="U503" s="2452"/>
      <c r="V503" s="2452"/>
      <c r="W503" s="2452"/>
      <c r="X503" s="2452"/>
      <c r="Y503" s="2452"/>
      <c r="Z503" s="2452"/>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3" t="s">
        <v>590</v>
      </c>
      <c r="D505" s="2454"/>
      <c r="E505" s="761" t="s">
        <v>756</v>
      </c>
      <c r="F505" s="2455" t="s">
        <v>1539</v>
      </c>
      <c r="G505" s="2455"/>
      <c r="H505" s="2455"/>
      <c r="I505" s="2455"/>
      <c r="J505" s="2455"/>
      <c r="K505" s="2455"/>
      <c r="L505" s="2455"/>
      <c r="M505" s="2455"/>
      <c r="N505" s="2455"/>
      <c r="O505" s="2455"/>
      <c r="P505" s="2455"/>
      <c r="Q505" s="2455"/>
      <c r="R505" s="2455"/>
      <c r="S505" s="2455"/>
      <c r="T505" s="2455"/>
      <c r="U505" s="2455"/>
      <c r="V505" s="2455"/>
      <c r="W505" s="2455"/>
      <c r="X505" s="2455"/>
      <c r="Y505" s="2455"/>
      <c r="Z505" s="2455"/>
      <c r="AA505" s="2455"/>
      <c r="AB505" s="2455"/>
      <c r="AC505" s="2455"/>
      <c r="AD505" s="2455"/>
      <c r="AE505" s="2455"/>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6"/>
      <c r="G506" s="2456"/>
      <c r="H506" s="2456"/>
      <c r="I506" s="2456"/>
      <c r="J506" s="2456"/>
      <c r="K506" s="2456"/>
      <c r="L506" s="2456"/>
      <c r="M506" s="2456"/>
      <c r="N506" s="2456"/>
      <c r="O506" s="2456"/>
      <c r="P506" s="2456"/>
      <c r="Q506" s="2456"/>
      <c r="R506" s="2456"/>
      <c r="S506" s="2456"/>
      <c r="T506" s="2456"/>
      <c r="U506" s="2456"/>
      <c r="V506" s="2456"/>
      <c r="W506" s="2456"/>
      <c r="X506" s="2456"/>
      <c r="Y506" s="2456"/>
      <c r="Z506" s="2456"/>
      <c r="AA506" s="2456"/>
      <c r="AB506" s="2456"/>
      <c r="AC506" s="2456"/>
      <c r="AD506" s="2456"/>
      <c r="AE506" s="2456"/>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7" t="s">
        <v>590</v>
      </c>
      <c r="G508" s="2457"/>
      <c r="H508" s="2457"/>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53" t="s">
        <v>590</v>
      </c>
      <c r="D510" s="2454"/>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73"/>
      <c r="D512" s="2458"/>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4" t="s">
        <v>590</v>
      </c>
      <c r="H513" s="2474"/>
      <c r="I513" s="2474"/>
      <c r="J513" s="2474"/>
      <c r="K513" s="2474"/>
      <c r="L513" s="2474"/>
      <c r="M513" s="2474"/>
      <c r="N513" s="2474"/>
      <c r="O513" s="2474"/>
      <c r="P513" s="2474"/>
      <c r="Q513" s="2474"/>
      <c r="R513" s="2474"/>
      <c r="S513" s="2474"/>
      <c r="T513" s="2474"/>
      <c r="U513" s="2474"/>
      <c r="V513" s="2474"/>
      <c r="W513" s="2474"/>
      <c r="X513" s="2474"/>
      <c r="Y513" s="2474"/>
      <c r="Z513" s="2474"/>
      <c r="AA513" s="2474"/>
      <c r="AB513" s="2474"/>
      <c r="AC513" s="2474"/>
      <c r="AD513" s="2474"/>
      <c r="AE513" s="2474"/>
      <c r="AF513" s="2474"/>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5" t="s">
        <v>590</v>
      </c>
      <c r="D515" s="2526"/>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5" t="s">
        <v>590</v>
      </c>
      <c r="D519" s="2526"/>
      <c r="F519" s="795" t="s">
        <v>1547</v>
      </c>
      <c r="G519" s="2435" t="s">
        <v>1548</v>
      </c>
      <c r="H519" s="2435"/>
      <c r="I519" s="2435"/>
      <c r="J519" s="2435"/>
      <c r="K519" s="2435"/>
      <c r="L519" s="2435"/>
      <c r="M519" s="2435"/>
      <c r="N519" s="2435"/>
      <c r="O519" s="2435"/>
      <c r="P519" s="2435"/>
      <c r="Q519" s="2435"/>
      <c r="R519" s="2435"/>
      <c r="S519" s="2435"/>
      <c r="T519" s="2435"/>
      <c r="U519" s="2435"/>
      <c r="V519" s="2435"/>
      <c r="W519" s="2435"/>
      <c r="X519" s="2435"/>
      <c r="Y519" s="2435"/>
      <c r="Z519" s="2435"/>
      <c r="AA519" s="2435"/>
      <c r="AB519" s="2435"/>
      <c r="AC519" s="2435"/>
      <c r="AD519" s="2435"/>
      <c r="AE519" s="2435"/>
      <c r="AF519" s="2435"/>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6"/>
      <c r="H520" s="2436"/>
      <c r="I520" s="2436"/>
      <c r="J520" s="2436"/>
      <c r="K520" s="2436"/>
      <c r="L520" s="2436"/>
      <c r="M520" s="2436"/>
      <c r="N520" s="2436"/>
      <c r="O520" s="2436"/>
      <c r="P520" s="2436"/>
      <c r="Q520" s="2436"/>
      <c r="R520" s="2436"/>
      <c r="S520" s="2436"/>
      <c r="T520" s="2436"/>
      <c r="U520" s="2436"/>
      <c r="V520" s="2436"/>
      <c r="W520" s="2436"/>
      <c r="X520" s="2436"/>
      <c r="Y520" s="2436"/>
      <c r="Z520" s="2436"/>
      <c r="AA520" s="2436"/>
      <c r="AB520" s="2436"/>
      <c r="AC520" s="2436"/>
      <c r="AD520" s="2436"/>
      <c r="AE520" s="2436"/>
      <c r="AF520" s="2436"/>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7" t="s">
        <v>590</v>
      </c>
      <c r="D523" s="2528"/>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9" t="s">
        <v>590</v>
      </c>
      <c r="G524" s="2529"/>
      <c r="H524" s="2529"/>
      <c r="I524" s="2529"/>
      <c r="J524" s="2529"/>
      <c r="K524" s="2529"/>
      <c r="L524" s="2529"/>
      <c r="M524" s="2529"/>
      <c r="N524" s="2529"/>
      <c r="O524" s="2529"/>
      <c r="P524" s="2529"/>
      <c r="Q524" s="2529"/>
      <c r="R524" s="2529"/>
      <c r="S524" s="2529"/>
      <c r="T524" s="2529"/>
      <c r="U524" s="2529"/>
      <c r="V524" s="2529"/>
      <c r="W524" s="2529"/>
      <c r="X524" s="2529"/>
      <c r="Y524" s="2529"/>
      <c r="Z524" s="2529"/>
      <c r="AA524" s="2529"/>
      <c r="AB524" s="2529"/>
      <c r="AC524" s="2529"/>
      <c r="AD524" s="2529"/>
      <c r="AE524" s="2529"/>
      <c r="AF524" s="2529"/>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30"/>
      <c r="G525" s="2530"/>
      <c r="H525" s="2530"/>
      <c r="I525" s="2530"/>
      <c r="J525" s="2530"/>
      <c r="K525" s="2530"/>
      <c r="L525" s="2530"/>
      <c r="M525" s="2530"/>
      <c r="N525" s="2530"/>
      <c r="O525" s="2530"/>
      <c r="P525" s="2530"/>
      <c r="Q525" s="2530"/>
      <c r="R525" s="2530"/>
      <c r="S525" s="2530"/>
      <c r="T525" s="2530"/>
      <c r="U525" s="2530"/>
      <c r="V525" s="2530"/>
      <c r="W525" s="2530"/>
      <c r="X525" s="2530"/>
      <c r="Y525" s="2530"/>
      <c r="Z525" s="2530"/>
      <c r="AA525" s="2530"/>
      <c r="AB525" s="2530"/>
      <c r="AC525" s="2530"/>
      <c r="AD525" s="2530"/>
      <c r="AE525" s="2530"/>
      <c r="AF525" s="2530"/>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31">
        <f>SUM(AG479:AG524)</f>
        <v>0</v>
      </c>
      <c r="AL535" s="2432"/>
      <c r="AM535" s="2433"/>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4" t="s">
        <v>1560</v>
      </c>
      <c r="AF538" s="2464"/>
      <c r="AG538" s="2464"/>
      <c r="AH538" s="2464"/>
      <c r="AI538" s="2464"/>
      <c r="AJ538" s="2464"/>
      <c r="AK538" s="2464"/>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5" t="s">
        <v>544</v>
      </c>
      <c r="D541" s="2445"/>
      <c r="E541" s="551"/>
      <c r="F541" s="2467" t="s">
        <v>1561</v>
      </c>
      <c r="G541" s="2468"/>
      <c r="H541" s="2468"/>
      <c r="I541" s="2468"/>
      <c r="J541" s="2468"/>
      <c r="K541" s="2468"/>
      <c r="L541" s="2468"/>
      <c r="M541" s="2468"/>
      <c r="N541" s="2468"/>
      <c r="O541" s="2468"/>
      <c r="P541" s="2468"/>
      <c r="Q541" s="2468"/>
      <c r="R541" s="2468"/>
      <c r="S541" s="2468"/>
      <c r="T541" s="2468"/>
      <c r="U541" s="2468"/>
      <c r="V541" s="2468"/>
      <c r="W541" s="2468"/>
      <c r="X541" s="2468"/>
      <c r="Y541" s="2468"/>
      <c r="Z541" s="2468"/>
      <c r="AA541" s="2468"/>
      <c r="AB541" s="2468"/>
      <c r="AC541" s="2468"/>
      <c r="AD541" s="2468"/>
      <c r="AE541" s="2468"/>
      <c r="AF541" s="2468"/>
      <c r="AG541" s="2468"/>
      <c r="AH541" s="2468"/>
      <c r="AI541" s="2468"/>
      <c r="AJ541" s="2468"/>
      <c r="AK541" s="2468"/>
      <c r="AL541" s="2469"/>
      <c r="AM541" s="595"/>
      <c r="AN541" s="597"/>
    </row>
    <row r="542" spans="1:81" s="550" customFormat="1" ht="12.75" customHeight="1">
      <c r="A542" s="539"/>
      <c r="B542" s="539"/>
      <c r="C542" s="551"/>
      <c r="D542" s="551"/>
      <c r="E542" s="551"/>
      <c r="F542" s="2470"/>
      <c r="G542" s="2471"/>
      <c r="H542" s="2471"/>
      <c r="I542" s="2471"/>
      <c r="J542" s="2471"/>
      <c r="K542" s="2471"/>
      <c r="L542" s="2471"/>
      <c r="M542" s="2471"/>
      <c r="N542" s="2471"/>
      <c r="O542" s="2471"/>
      <c r="P542" s="2471"/>
      <c r="Q542" s="2471"/>
      <c r="R542" s="2471"/>
      <c r="S542" s="2471"/>
      <c r="T542" s="2471"/>
      <c r="U542" s="2471"/>
      <c r="V542" s="2471"/>
      <c r="W542" s="2471"/>
      <c r="X542" s="2471"/>
      <c r="Y542" s="2471"/>
      <c r="Z542" s="2471"/>
      <c r="AA542" s="2471"/>
      <c r="AB542" s="2471"/>
      <c r="AC542" s="2471"/>
      <c r="AD542" s="2471"/>
      <c r="AE542" s="2471"/>
      <c r="AF542" s="2471"/>
      <c r="AG542" s="2471"/>
      <c r="AH542" s="2471"/>
      <c r="AI542" s="2471"/>
      <c r="AJ542" s="2471"/>
      <c r="AK542" s="2471"/>
      <c r="AL542" s="2472"/>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5" t="s">
        <v>590</v>
      </c>
      <c r="D544" s="2445"/>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3" t="s">
        <v>1563</v>
      </c>
      <c r="G545" s="2424"/>
      <c r="H545" s="2424"/>
      <c r="I545" s="2424"/>
      <c r="J545" s="2424"/>
      <c r="K545" s="2424"/>
      <c r="L545" s="2424"/>
      <c r="M545" s="2424"/>
      <c r="N545" s="2424"/>
      <c r="O545" s="2424"/>
      <c r="P545" s="2424"/>
      <c r="Q545" s="2424"/>
      <c r="R545" s="2424"/>
      <c r="S545" s="2424"/>
      <c r="T545" s="2424"/>
      <c r="U545" s="2424"/>
      <c r="V545" s="2424"/>
      <c r="W545" s="2424"/>
      <c r="X545" s="2424"/>
      <c r="Y545" s="2424"/>
      <c r="Z545" s="2424"/>
      <c r="AA545" s="2424"/>
      <c r="AB545" s="2424"/>
      <c r="AC545" s="2424"/>
      <c r="AD545" s="2424"/>
      <c r="AE545" s="2424"/>
      <c r="AF545" s="2424"/>
      <c r="AG545" s="2424"/>
      <c r="AH545" s="2424"/>
      <c r="AI545" s="2424"/>
      <c r="AJ545" s="2424"/>
      <c r="AK545" s="2424"/>
      <c r="AL545" s="2425"/>
      <c r="AM545" s="595"/>
      <c r="AN545" s="597"/>
      <c r="AS545" s="870"/>
      <c r="AT545" s="870"/>
      <c r="AU545" s="870"/>
      <c r="AV545" s="870"/>
      <c r="AW545" s="870"/>
    </row>
    <row r="546" spans="1:49" s="550" customFormat="1" ht="12.75" customHeight="1">
      <c r="B546" s="806"/>
      <c r="C546" s="806"/>
      <c r="D546" s="806"/>
      <c r="E546" s="806"/>
      <c r="F546" s="2423"/>
      <c r="G546" s="2424"/>
      <c r="H546" s="2424"/>
      <c r="I546" s="2424"/>
      <c r="J546" s="2424"/>
      <c r="K546" s="2424"/>
      <c r="L546" s="2424"/>
      <c r="M546" s="2424"/>
      <c r="N546" s="2424"/>
      <c r="O546" s="2424"/>
      <c r="P546" s="2424"/>
      <c r="Q546" s="2424"/>
      <c r="R546" s="2424"/>
      <c r="S546" s="2424"/>
      <c r="T546" s="2424"/>
      <c r="U546" s="2424"/>
      <c r="V546" s="2424"/>
      <c r="W546" s="2424"/>
      <c r="X546" s="2424"/>
      <c r="Y546" s="2424"/>
      <c r="Z546" s="2424"/>
      <c r="AA546" s="2424"/>
      <c r="AB546" s="2424"/>
      <c r="AC546" s="2424"/>
      <c r="AD546" s="2424"/>
      <c r="AE546" s="2424"/>
      <c r="AF546" s="2424"/>
      <c r="AG546" s="2424"/>
      <c r="AH546" s="2424"/>
      <c r="AI546" s="2424"/>
      <c r="AJ546" s="2424"/>
      <c r="AK546" s="2424"/>
      <c r="AL546" s="2425"/>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3" t="s">
        <v>1564</v>
      </c>
      <c r="G548" s="2424"/>
      <c r="H548" s="2424"/>
      <c r="I548" s="2424"/>
      <c r="J548" s="2424"/>
      <c r="K548" s="2424"/>
      <c r="L548" s="2424"/>
      <c r="M548" s="2424"/>
      <c r="N548" s="2424"/>
      <c r="O548" s="2424"/>
      <c r="P548" s="2424"/>
      <c r="Q548" s="2424"/>
      <c r="R548" s="2424"/>
      <c r="S548" s="2424"/>
      <c r="T548" s="2424"/>
      <c r="U548" s="2424"/>
      <c r="V548" s="2424"/>
      <c r="W548" s="2424"/>
      <c r="X548" s="2424"/>
      <c r="Y548" s="2424"/>
      <c r="Z548" s="2424"/>
      <c r="AA548" s="2424"/>
      <c r="AB548" s="2424"/>
      <c r="AC548" s="2424"/>
      <c r="AD548" s="2424"/>
      <c r="AE548" s="2424"/>
      <c r="AF548" s="2424"/>
      <c r="AG548" s="2424"/>
      <c r="AH548" s="2424"/>
      <c r="AI548" s="2424"/>
      <c r="AJ548" s="2424"/>
      <c r="AK548" s="2424"/>
      <c r="AL548" s="813"/>
      <c r="AM548" s="595"/>
      <c r="AN548" s="597"/>
    </row>
    <row r="549" spans="1:49" s="550" customFormat="1" ht="12.75" customHeight="1">
      <c r="B549" s="806"/>
      <c r="C549" s="806"/>
      <c r="D549" s="806"/>
      <c r="E549" s="806"/>
      <c r="F549" s="2426"/>
      <c r="G549" s="2427"/>
      <c r="H549" s="2427"/>
      <c r="I549" s="2427"/>
      <c r="J549" s="2427"/>
      <c r="K549" s="2427"/>
      <c r="L549" s="2427"/>
      <c r="M549" s="2427"/>
      <c r="N549" s="2427"/>
      <c r="O549" s="2427"/>
      <c r="P549" s="2427"/>
      <c r="Q549" s="2427"/>
      <c r="R549" s="2427"/>
      <c r="S549" s="2427"/>
      <c r="T549" s="2427"/>
      <c r="U549" s="2427"/>
      <c r="V549" s="2427"/>
      <c r="W549" s="2427"/>
      <c r="X549" s="2427"/>
      <c r="Y549" s="2427"/>
      <c r="Z549" s="2427"/>
      <c r="AA549" s="2427"/>
      <c r="AB549" s="2427"/>
      <c r="AC549" s="2427"/>
      <c r="AD549" s="2427"/>
      <c r="AE549" s="2427"/>
      <c r="AF549" s="2427"/>
      <c r="AG549" s="2427"/>
      <c r="AH549" s="2427"/>
      <c r="AI549" s="2427"/>
      <c r="AJ549" s="2427"/>
      <c r="AK549" s="2427"/>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22">
        <f>Application!AJ992</f>
        <v>88998580</v>
      </c>
      <c r="AQ550" s="2422"/>
      <c r="AR550" s="2422"/>
      <c r="AS550" s="550" t="s">
        <v>2169</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8">
        <f>'Sources and Uses Budget'!S107+'Sources and Uses Budget'!T107</f>
        <v>59043194</v>
      </c>
      <c r="AG551" s="2428"/>
      <c r="AH551" s="2428"/>
      <c r="AI551" s="2428"/>
      <c r="AJ551" s="2428"/>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9">
        <f>IFERROR(AP559,0)</f>
        <v>150330531.19999999</v>
      </c>
      <c r="AG552" s="2429"/>
      <c r="AH552" s="2429"/>
      <c r="AI552" s="2429"/>
      <c r="AJ552" s="2429"/>
      <c r="AK552" s="595"/>
      <c r="AL552" s="595"/>
      <c r="AM552" s="595"/>
      <c r="AN552" s="597"/>
      <c r="AP552" s="2422">
        <f>Application!AJ1045</f>
        <v>17799716</v>
      </c>
      <c r="AQ552" s="2422"/>
      <c r="AR552" s="2422"/>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30">
        <f>IFERROR(ROUNDDOWN(IF(C544="YES",((1-(AF551/AF552))*2),(1-(AF551/AF552))),2),0)</f>
        <v>0.6</v>
      </c>
      <c r="AG553" s="2430"/>
      <c r="AH553" s="2430"/>
      <c r="AI553" s="2430"/>
      <c r="AJ553" s="2430"/>
      <c r="AK553" s="595"/>
      <c r="AL553" s="595"/>
      <c r="AM553" s="595"/>
      <c r="AN553" s="597"/>
      <c r="AP553" s="2418">
        <f>Application!AJ1049</f>
        <v>30259517.200000003</v>
      </c>
      <c r="AQ553" s="2418"/>
      <c r="AR553" s="2418"/>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7">
        <f>IF(((AP552+AP553)/AP550)&gt;0.8,0.8,((AP552+AP553)/AP550))</f>
        <v>0.54</v>
      </c>
      <c r="AQ554" s="2437"/>
      <c r="AR554" s="2437"/>
      <c r="AS554" s="550" t="s">
        <v>2171</v>
      </c>
    </row>
    <row r="555" spans="1:49" s="550" customFormat="1" ht="12.75" customHeight="1">
      <c r="A555" s="624"/>
      <c r="B555" s="2504" t="s">
        <v>2031</v>
      </c>
      <c r="C555" s="2505"/>
      <c r="D555" s="2505"/>
      <c r="E555" s="2505"/>
      <c r="F555" s="2505"/>
      <c r="G555" s="2505"/>
      <c r="H555" s="2505"/>
      <c r="I555" s="2505"/>
      <c r="J555" s="2505"/>
      <c r="K555" s="2505"/>
      <c r="L555" s="2505"/>
      <c r="M555" s="2505"/>
      <c r="N555" s="2505"/>
      <c r="O555" s="2505"/>
      <c r="P555" s="2505"/>
      <c r="Q555" s="2505"/>
      <c r="R555" s="2505"/>
      <c r="S555" s="2505"/>
      <c r="T555" s="2505"/>
      <c r="U555" s="2505"/>
      <c r="V555" s="2505"/>
      <c r="W555" s="2505"/>
      <c r="X555" s="2505"/>
      <c r="Y555" s="2505"/>
      <c r="Z555" s="2505"/>
      <c r="AA555" s="2505"/>
      <c r="AB555" s="2505"/>
      <c r="AC555" s="2505"/>
      <c r="AD555" s="2505"/>
      <c r="AE555" s="2505"/>
      <c r="AF555" s="2505"/>
      <c r="AG555" s="2505"/>
      <c r="AH555" s="2505"/>
      <c r="AI555" s="2505"/>
      <c r="AJ555" s="2506"/>
      <c r="AK555" s="595"/>
      <c r="AL555" s="595"/>
      <c r="AM555" s="595"/>
      <c r="AN555" s="597"/>
    </row>
    <row r="556" spans="1:49" s="550" customFormat="1" ht="12.75" customHeight="1">
      <c r="A556" s="624"/>
      <c r="B556" s="2507"/>
      <c r="C556" s="2508"/>
      <c r="D556" s="2508"/>
      <c r="E556" s="2508"/>
      <c r="F556" s="2508"/>
      <c r="G556" s="2508"/>
      <c r="H556" s="2508"/>
      <c r="I556" s="2508"/>
      <c r="J556" s="2508"/>
      <c r="K556" s="2508"/>
      <c r="L556" s="2508"/>
      <c r="M556" s="2508"/>
      <c r="N556" s="2508"/>
      <c r="O556" s="2508"/>
      <c r="P556" s="2508"/>
      <c r="Q556" s="2508"/>
      <c r="R556" s="2508"/>
      <c r="S556" s="2508"/>
      <c r="T556" s="2508"/>
      <c r="U556" s="2508"/>
      <c r="V556" s="2508"/>
      <c r="W556" s="2508"/>
      <c r="X556" s="2508"/>
      <c r="Y556" s="2508"/>
      <c r="Z556" s="2508"/>
      <c r="AA556" s="2508"/>
      <c r="AB556" s="2508"/>
      <c r="AC556" s="2508"/>
      <c r="AD556" s="2508"/>
      <c r="AE556" s="2508"/>
      <c r="AF556" s="2508"/>
      <c r="AG556" s="2508"/>
      <c r="AH556" s="2508"/>
      <c r="AI556" s="2508"/>
      <c r="AJ556" s="2509"/>
      <c r="AK556" s="595"/>
      <c r="AL556" s="595"/>
      <c r="AM556" s="595"/>
      <c r="AN556" s="597"/>
      <c r="AP556" s="2422">
        <f>AP557-AP552-AP553</f>
        <v>102271297.99999999</v>
      </c>
      <c r="AQ556" s="2438"/>
      <c r="AR556" s="2438"/>
      <c r="AS556" s="550" t="s">
        <v>2173</v>
      </c>
    </row>
    <row r="557" spans="1:49" s="550" customFormat="1" ht="12.75" customHeight="1">
      <c r="A557" s="624"/>
      <c r="B557" s="2510"/>
      <c r="C557" s="2511"/>
      <c r="D557" s="2511"/>
      <c r="E557" s="2511"/>
      <c r="F557" s="2511"/>
      <c r="G557" s="2511"/>
      <c r="H557" s="2511"/>
      <c r="I557" s="2511"/>
      <c r="J557" s="2511"/>
      <c r="K557" s="2511"/>
      <c r="L557" s="2511"/>
      <c r="M557" s="2511"/>
      <c r="N557" s="2511"/>
      <c r="O557" s="2511"/>
      <c r="P557" s="2511"/>
      <c r="Q557" s="2511"/>
      <c r="R557" s="2511"/>
      <c r="S557" s="2511"/>
      <c r="T557" s="2511"/>
      <c r="U557" s="2511"/>
      <c r="V557" s="2511"/>
      <c r="W557" s="2511"/>
      <c r="X557" s="2511"/>
      <c r="Y557" s="2511"/>
      <c r="Z557" s="2511"/>
      <c r="AA557" s="2511"/>
      <c r="AB557" s="2511"/>
      <c r="AC557" s="2511"/>
      <c r="AD557" s="2511"/>
      <c r="AE557" s="2511"/>
      <c r="AF557" s="2511"/>
      <c r="AG557" s="2511"/>
      <c r="AH557" s="2511"/>
      <c r="AI557" s="2511"/>
      <c r="AJ557" s="2512"/>
      <c r="AK557" s="595"/>
      <c r="AL557" s="595"/>
      <c r="AM557" s="595"/>
      <c r="AN557" s="597"/>
      <c r="AP557" s="2422">
        <f>Application!AJ1053</f>
        <v>150330531.19999999</v>
      </c>
      <c r="AQ557" s="2422"/>
      <c r="AR557" s="2422"/>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13">
        <f>IFERROR(IF(AND(C541="N/A",C544="N/A"),0,IF(AF553=0,0,IF((AF553*100)&gt;12,12,(AF553*100)))),0)</f>
        <v>12</v>
      </c>
      <c r="AL559" s="2513"/>
      <c r="AM559" s="2514"/>
      <c r="AN559" s="597"/>
      <c r="AP559" s="2407">
        <f>AP556+(AP550*AP554)</f>
        <v>150330531.19999999</v>
      </c>
      <c r="AQ559" s="2408"/>
      <c r="AR559" s="2409"/>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4" t="s">
        <v>1314</v>
      </c>
      <c r="AF562" s="2464"/>
      <c r="AG562" s="2464"/>
      <c r="AH562" s="2464"/>
      <c r="AI562" s="2464"/>
      <c r="AJ562" s="2464"/>
      <c r="AK562" s="2464"/>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4" t="s">
        <v>2022</v>
      </c>
      <c r="C564" s="2424"/>
      <c r="D564" s="2424"/>
      <c r="E564" s="2424"/>
      <c r="F564" s="2424"/>
      <c r="G564" s="2424"/>
      <c r="H564" s="2424"/>
      <c r="I564" s="2424"/>
      <c r="J564" s="2424"/>
      <c r="K564" s="2424"/>
      <c r="L564" s="2424"/>
      <c r="M564" s="2424"/>
      <c r="N564" s="2424"/>
      <c r="O564" s="2424"/>
      <c r="P564" s="2424"/>
      <c r="Q564" s="2424"/>
      <c r="R564" s="2424"/>
      <c r="S564" s="2424"/>
      <c r="T564" s="2424"/>
      <c r="U564" s="2424"/>
      <c r="V564" s="2424"/>
      <c r="W564" s="2424"/>
      <c r="X564" s="2424"/>
      <c r="Y564" s="2424"/>
      <c r="Z564" s="2424"/>
      <c r="AA564" s="2424"/>
      <c r="AB564" s="2424"/>
      <c r="AC564" s="2424"/>
      <c r="AD564" s="2424"/>
      <c r="AE564" s="2424"/>
      <c r="AF564" s="2424"/>
      <c r="AG564" s="2424"/>
      <c r="AH564" s="2424"/>
      <c r="AI564" s="2424"/>
      <c r="AJ564" s="2424"/>
      <c r="AK564" s="642"/>
      <c r="AL564" s="573"/>
      <c r="AM564" s="603"/>
      <c r="AN564" s="597"/>
    </row>
    <row r="565" spans="1:42" s="550" customFormat="1" ht="12.75" customHeight="1">
      <c r="A565" s="603"/>
      <c r="B565" s="2424"/>
      <c r="C565" s="2424"/>
      <c r="D565" s="2424"/>
      <c r="E565" s="2424"/>
      <c r="F565" s="2424"/>
      <c r="G565" s="2424"/>
      <c r="H565" s="2424"/>
      <c r="I565" s="2424"/>
      <c r="J565" s="2424"/>
      <c r="K565" s="2424"/>
      <c r="L565" s="2424"/>
      <c r="M565" s="2424"/>
      <c r="N565" s="2424"/>
      <c r="O565" s="2424"/>
      <c r="P565" s="2424"/>
      <c r="Q565" s="2424"/>
      <c r="R565" s="2424"/>
      <c r="S565" s="2424"/>
      <c r="T565" s="2424"/>
      <c r="U565" s="2424"/>
      <c r="V565" s="2424"/>
      <c r="W565" s="2424"/>
      <c r="X565" s="2424"/>
      <c r="Y565" s="2424"/>
      <c r="Z565" s="2424"/>
      <c r="AA565" s="2424"/>
      <c r="AB565" s="2424"/>
      <c r="AC565" s="2424"/>
      <c r="AD565" s="2424"/>
      <c r="AE565" s="2424"/>
      <c r="AF565" s="2424"/>
      <c r="AG565" s="2424"/>
      <c r="AH565" s="2424"/>
      <c r="AI565" s="2424"/>
      <c r="AJ565" s="2424"/>
      <c r="AK565" s="642"/>
      <c r="AL565" s="573"/>
      <c r="AM565" s="603"/>
      <c r="AN565" s="597"/>
    </row>
    <row r="566" spans="1:42" s="550" customFormat="1" ht="12.75" customHeight="1">
      <c r="A566" s="603"/>
      <c r="B566" s="2424"/>
      <c r="C566" s="2424"/>
      <c r="D566" s="2424"/>
      <c r="E566" s="2424"/>
      <c r="F566" s="2424"/>
      <c r="G566" s="2424"/>
      <c r="H566" s="2424"/>
      <c r="I566" s="2424"/>
      <c r="J566" s="2424"/>
      <c r="K566" s="2424"/>
      <c r="L566" s="2424"/>
      <c r="M566" s="2424"/>
      <c r="N566" s="2424"/>
      <c r="O566" s="2424"/>
      <c r="P566" s="2424"/>
      <c r="Q566" s="2424"/>
      <c r="R566" s="2424"/>
      <c r="S566" s="2424"/>
      <c r="T566" s="2424"/>
      <c r="U566" s="2424"/>
      <c r="V566" s="2424"/>
      <c r="W566" s="2424"/>
      <c r="X566" s="2424"/>
      <c r="Y566" s="2424"/>
      <c r="Z566" s="2424"/>
      <c r="AA566" s="2424"/>
      <c r="AB566" s="2424"/>
      <c r="AC566" s="2424"/>
      <c r="AD566" s="2424"/>
      <c r="AE566" s="2424"/>
      <c r="AF566" s="2424"/>
      <c r="AG566" s="2424"/>
      <c r="AH566" s="2424"/>
      <c r="AI566" s="2424"/>
      <c r="AJ566" s="2424"/>
      <c r="AK566" s="642"/>
      <c r="AL566" s="573"/>
      <c r="AM566" s="603"/>
      <c r="AN566" s="597"/>
    </row>
    <row r="567" spans="1:42" s="550" customFormat="1" ht="12.75" customHeight="1">
      <c r="A567" s="603"/>
      <c r="B567" s="2424"/>
      <c r="C567" s="2424"/>
      <c r="D567" s="2424"/>
      <c r="E567" s="2424"/>
      <c r="F567" s="2424"/>
      <c r="G567" s="2424"/>
      <c r="H567" s="2424"/>
      <c r="I567" s="2424"/>
      <c r="J567" s="2424"/>
      <c r="K567" s="2424"/>
      <c r="L567" s="2424"/>
      <c r="M567" s="2424"/>
      <c r="N567" s="2424"/>
      <c r="O567" s="2424"/>
      <c r="P567" s="2424"/>
      <c r="Q567" s="2424"/>
      <c r="R567" s="2424"/>
      <c r="S567" s="2424"/>
      <c r="T567" s="2424"/>
      <c r="U567" s="2424"/>
      <c r="V567" s="2424"/>
      <c r="W567" s="2424"/>
      <c r="X567" s="2424"/>
      <c r="Y567" s="2424"/>
      <c r="Z567" s="2424"/>
      <c r="AA567" s="2424"/>
      <c r="AB567" s="2424"/>
      <c r="AC567" s="2424"/>
      <c r="AD567" s="2424"/>
      <c r="AE567" s="2424"/>
      <c r="AF567" s="2424"/>
      <c r="AG567" s="2424"/>
      <c r="AH567" s="2424"/>
      <c r="AI567" s="2424"/>
      <c r="AJ567" s="2424"/>
      <c r="AK567" s="642"/>
      <c r="AL567" s="573"/>
      <c r="AM567" s="603"/>
      <c r="AN567" s="597"/>
    </row>
    <row r="568" spans="1:42" s="550" customFormat="1" ht="12.75" customHeight="1">
      <c r="A568" s="603"/>
      <c r="B568" s="2424"/>
      <c r="C568" s="2424"/>
      <c r="D568" s="2424"/>
      <c r="E568" s="2424"/>
      <c r="F568" s="2424"/>
      <c r="G568" s="2424"/>
      <c r="H568" s="2424"/>
      <c r="I568" s="2424"/>
      <c r="J568" s="2424"/>
      <c r="K568" s="2424"/>
      <c r="L568" s="2424"/>
      <c r="M568" s="2424"/>
      <c r="N568" s="2424"/>
      <c r="O568" s="2424"/>
      <c r="P568" s="2424"/>
      <c r="Q568" s="2424"/>
      <c r="R568" s="2424"/>
      <c r="S568" s="2424"/>
      <c r="T568" s="2424"/>
      <c r="U568" s="2424"/>
      <c r="V568" s="2424"/>
      <c r="W568" s="2424"/>
      <c r="X568" s="2424"/>
      <c r="Y568" s="2424"/>
      <c r="Z568" s="2424"/>
      <c r="AA568" s="2424"/>
      <c r="AB568" s="2424"/>
      <c r="AC568" s="2424"/>
      <c r="AD568" s="2424"/>
      <c r="AE568" s="2424"/>
      <c r="AF568" s="2424"/>
      <c r="AG568" s="2424"/>
      <c r="AH568" s="2424"/>
      <c r="AI568" s="2424"/>
      <c r="AJ568" s="2424"/>
      <c r="AK568" s="642"/>
      <c r="AL568" s="573"/>
      <c r="AM568" s="603"/>
      <c r="AN568" s="597"/>
    </row>
    <row r="569" spans="1:42" s="550" customFormat="1" ht="12.75" customHeight="1">
      <c r="A569" s="603"/>
      <c r="B569" s="2424"/>
      <c r="C569" s="2424"/>
      <c r="D569" s="2424"/>
      <c r="E569" s="2424"/>
      <c r="F569" s="2424"/>
      <c r="G569" s="2424"/>
      <c r="H569" s="2424"/>
      <c r="I569" s="2424"/>
      <c r="J569" s="2424"/>
      <c r="K569" s="2424"/>
      <c r="L569" s="2424"/>
      <c r="M569" s="2424"/>
      <c r="N569" s="2424"/>
      <c r="O569" s="2424"/>
      <c r="P569" s="2424"/>
      <c r="Q569" s="2424"/>
      <c r="R569" s="2424"/>
      <c r="S569" s="2424"/>
      <c r="T569" s="2424"/>
      <c r="U569" s="2424"/>
      <c r="V569" s="2424"/>
      <c r="W569" s="2424"/>
      <c r="X569" s="2424"/>
      <c r="Y569" s="2424"/>
      <c r="Z569" s="2424"/>
      <c r="AA569" s="2424"/>
      <c r="AB569" s="2424"/>
      <c r="AC569" s="2424"/>
      <c r="AD569" s="2424"/>
      <c r="AE569" s="2424"/>
      <c r="AF569" s="2424"/>
      <c r="AG569" s="2424"/>
      <c r="AH569" s="2424"/>
      <c r="AI569" s="2424"/>
      <c r="AJ569" s="2424"/>
      <c r="AK569" s="642"/>
      <c r="AL569" s="573"/>
      <c r="AM569" s="603"/>
      <c r="AN569" s="597"/>
    </row>
    <row r="570" spans="1:42" s="550" customFormat="1" ht="12.75" customHeight="1">
      <c r="A570" s="603"/>
      <c r="B570" s="2424"/>
      <c r="C570" s="2424"/>
      <c r="D570" s="2424"/>
      <c r="E570" s="2424"/>
      <c r="F570" s="2424"/>
      <c r="G570" s="2424"/>
      <c r="H570" s="2424"/>
      <c r="I570" s="2424"/>
      <c r="J570" s="2424"/>
      <c r="K570" s="2424"/>
      <c r="L570" s="2424"/>
      <c r="M570" s="2424"/>
      <c r="N570" s="2424"/>
      <c r="O570" s="2424"/>
      <c r="P570" s="2424"/>
      <c r="Q570" s="2424"/>
      <c r="R570" s="2424"/>
      <c r="S570" s="2424"/>
      <c r="T570" s="2424"/>
      <c r="U570" s="2424"/>
      <c r="V570" s="2424"/>
      <c r="W570" s="2424"/>
      <c r="X570" s="2424"/>
      <c r="Y570" s="2424"/>
      <c r="Z570" s="2424"/>
      <c r="AA570" s="2424"/>
      <c r="AB570" s="2424"/>
      <c r="AC570" s="2424"/>
      <c r="AD570" s="2424"/>
      <c r="AE570" s="2424"/>
      <c r="AF570" s="2424"/>
      <c r="AG570" s="2424"/>
      <c r="AH570" s="2424"/>
      <c r="AI570" s="2424"/>
      <c r="AJ570" s="2424"/>
      <c r="AK570" s="642"/>
      <c r="AL570" s="573"/>
      <c r="AM570" s="603"/>
      <c r="AN570" s="597"/>
    </row>
    <row r="571" spans="1:42" ht="12.75" customHeight="1">
      <c r="A571" s="603"/>
      <c r="B571" s="2424"/>
      <c r="C571" s="2424"/>
      <c r="D571" s="2424"/>
      <c r="E571" s="2424"/>
      <c r="F571" s="2424"/>
      <c r="G571" s="2424"/>
      <c r="H571" s="2424"/>
      <c r="I571" s="2424"/>
      <c r="J571" s="2424"/>
      <c r="K571" s="2424"/>
      <c r="L571" s="2424"/>
      <c r="M571" s="2424"/>
      <c r="N571" s="2424"/>
      <c r="O571" s="2424"/>
      <c r="P571" s="2424"/>
      <c r="Q571" s="2424"/>
      <c r="R571" s="2424"/>
      <c r="S571" s="2424"/>
      <c r="T571" s="2424"/>
      <c r="U571" s="2424"/>
      <c r="V571" s="2424"/>
      <c r="W571" s="2424"/>
      <c r="X571" s="2424"/>
      <c r="Y571" s="2424"/>
      <c r="Z571" s="2424"/>
      <c r="AA571" s="2424"/>
      <c r="AB571" s="2424"/>
      <c r="AC571" s="2424"/>
      <c r="AD571" s="2424"/>
      <c r="AE571" s="2424"/>
      <c r="AF571" s="2424"/>
      <c r="AG571" s="2424"/>
      <c r="AH571" s="2424"/>
      <c r="AI571" s="2424"/>
      <c r="AJ571" s="2424"/>
      <c r="AK571" s="642"/>
      <c r="AL571" s="573"/>
      <c r="AM571" s="603"/>
    </row>
    <row r="572" spans="1:42" s="550" customFormat="1" ht="12.75" customHeight="1">
      <c r="B572" s="2424"/>
      <c r="C572" s="2424"/>
      <c r="D572" s="2424"/>
      <c r="E572" s="2424"/>
      <c r="F572" s="2424"/>
      <c r="G572" s="2424"/>
      <c r="H572" s="2424"/>
      <c r="I572" s="2424"/>
      <c r="J572" s="2424"/>
      <c r="K572" s="2424"/>
      <c r="L572" s="2424"/>
      <c r="M572" s="2424"/>
      <c r="N572" s="2424"/>
      <c r="O572" s="2424"/>
      <c r="P572" s="2424"/>
      <c r="Q572" s="2424"/>
      <c r="R572" s="2424"/>
      <c r="S572" s="2424"/>
      <c r="T572" s="2424"/>
      <c r="U572" s="2424"/>
      <c r="V572" s="2424"/>
      <c r="W572" s="2424"/>
      <c r="X572" s="2424"/>
      <c r="Y572" s="2424"/>
      <c r="Z572" s="2424"/>
      <c r="AA572" s="2424"/>
      <c r="AB572" s="2424"/>
      <c r="AC572" s="2424"/>
      <c r="AD572" s="2424"/>
      <c r="AE572" s="2424"/>
      <c r="AF572" s="2424"/>
      <c r="AG572" s="2424"/>
      <c r="AH572" s="2424"/>
      <c r="AI572" s="2424"/>
      <c r="AJ572" s="2424"/>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590</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544</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686</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4" t="s">
        <v>1338</v>
      </c>
      <c r="AG578" s="2524"/>
      <c r="AH578" s="2524"/>
      <c r="AI578" s="2524"/>
      <c r="AJ578" s="2524"/>
      <c r="AK578" s="2524"/>
      <c r="AL578" s="2524"/>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508</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4" t="s">
        <v>1396</v>
      </c>
      <c r="AG585" s="2524"/>
      <c r="AH585" s="2524"/>
      <c r="AI585" s="2524"/>
      <c r="AJ585" s="2524"/>
      <c r="AK585" s="2524"/>
      <c r="AL585" s="2524"/>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590</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686</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508</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277</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4" t="s">
        <v>1378</v>
      </c>
      <c r="AG591" s="2524"/>
      <c r="AH591" s="2524"/>
      <c r="AI591" s="2524"/>
      <c r="AJ591" s="2524"/>
      <c r="AK591" s="2524"/>
      <c r="AL591" s="2524"/>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2177</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2178</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4" t="s">
        <v>1399</v>
      </c>
      <c r="AG597" s="2524"/>
      <c r="AH597" s="2524"/>
      <c r="AI597" s="2524"/>
      <c r="AJ597" s="2524"/>
      <c r="AK597" s="2524"/>
      <c r="AL597" s="2524"/>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2180</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2181</v>
      </c>
    </row>
    <row r="601" spans="1:53" s="550" customFormat="1" ht="12.75" customHeight="1">
      <c r="B601" s="610"/>
      <c r="C601" s="931"/>
      <c r="D601" s="663"/>
      <c r="E601" s="536" t="s">
        <v>1865</v>
      </c>
      <c r="O601" s="2540" t="s">
        <v>1183</v>
      </c>
      <c r="P601" s="2540"/>
      <c r="Q601" s="2540"/>
      <c r="R601" s="2540"/>
      <c r="S601" s="2540"/>
      <c r="T601" s="2540"/>
      <c r="U601" s="2540"/>
      <c r="V601" s="2540"/>
      <c r="W601" s="2540"/>
      <c r="X601" s="2540"/>
      <c r="Y601" s="2540"/>
      <c r="Z601" s="2540"/>
      <c r="AA601" s="2540"/>
      <c r="AB601" s="2540"/>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4" t="s">
        <v>1352</v>
      </c>
      <c r="AG603" s="2524"/>
      <c r="AH603" s="2524"/>
      <c r="AI603" s="2524"/>
      <c r="AJ603" s="2524"/>
      <c r="AK603" s="2524"/>
      <c r="AL603" s="2524"/>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590</v>
      </c>
      <c r="AP605" s="673">
        <v>0</v>
      </c>
      <c r="AT605" s="550" t="s">
        <v>590</v>
      </c>
      <c r="AU605" s="673">
        <v>0</v>
      </c>
    </row>
    <row r="606" spans="1:53" s="550" customFormat="1" ht="12.75" customHeight="1">
      <c r="B606" s="536"/>
      <c r="C606" s="933"/>
      <c r="D606" s="536" t="s">
        <v>1400</v>
      </c>
      <c r="E606" s="936"/>
      <c r="F606" s="936"/>
      <c r="G606" s="936"/>
      <c r="H606" s="2448" t="s">
        <v>686</v>
      </c>
      <c r="I606" s="2448"/>
      <c r="J606" s="936"/>
      <c r="K606" s="936"/>
      <c r="L606" s="936"/>
      <c r="N606" s="22"/>
      <c r="O606" s="22"/>
      <c r="P606" s="22"/>
      <c r="Q606" s="1151" t="s">
        <v>2176</v>
      </c>
      <c r="R606" s="2541"/>
      <c r="S606" s="2541"/>
      <c r="T606" s="2541"/>
      <c r="U606" s="2541"/>
      <c r="V606" s="2541"/>
      <c r="W606" s="2541"/>
      <c r="X606" s="536"/>
      <c r="Y606" s="536"/>
      <c r="Z606" s="536"/>
      <c r="AA606" s="536"/>
      <c r="AB606" s="536"/>
      <c r="AC606" s="536"/>
      <c r="AD606" s="536"/>
      <c r="AE606" s="536"/>
      <c r="AF606" s="536"/>
      <c r="AG606" s="536"/>
      <c r="AH606" s="536"/>
      <c r="AI606" s="536"/>
      <c r="AJ606" s="536"/>
      <c r="AK606" s="536"/>
      <c r="AL606" s="536"/>
      <c r="AN606" s="597"/>
      <c r="AO606" s="611" t="s">
        <v>686</v>
      </c>
      <c r="AP606" s="550">
        <v>3</v>
      </c>
      <c r="AT606" s="611" t="s">
        <v>686</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42" t="str">
        <f>IF(AND(H606="(i)",NOT(AP582)),AO599,IF(AND(H606="(iv)",OR(R606=AO595,R606=AO594),NOT(AP583)),AO600,""))</f>
        <v/>
      </c>
      <c r="Z607" s="2542"/>
      <c r="AA607" s="2542"/>
      <c r="AB607" s="2542"/>
      <c r="AC607" s="2542"/>
      <c r="AD607" s="2542"/>
      <c r="AE607" s="2542"/>
      <c r="AF607" s="2542"/>
      <c r="AG607" s="2542"/>
      <c r="AH607" s="2542"/>
      <c r="AI607" s="2542"/>
      <c r="AJ607" s="2542"/>
      <c r="AK607" s="2542"/>
      <c r="AL607" s="2542"/>
      <c r="AM607" s="2543"/>
      <c r="AN607" s="597"/>
      <c r="AO607" s="611" t="s">
        <v>508</v>
      </c>
      <c r="AP607" s="550">
        <v>2</v>
      </c>
      <c r="AT607" s="611" t="s">
        <v>508</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42"/>
      <c r="Z608" s="2542"/>
      <c r="AA608" s="2542"/>
      <c r="AB608" s="2542"/>
      <c r="AC608" s="2542"/>
      <c r="AD608" s="2542"/>
      <c r="AE608" s="2542"/>
      <c r="AF608" s="2542"/>
      <c r="AG608" s="2542"/>
      <c r="AH608" s="2542"/>
      <c r="AI608" s="2542"/>
      <c r="AJ608" s="2542"/>
      <c r="AK608" s="2542"/>
      <c r="AL608" s="2542"/>
      <c r="AM608" s="2543"/>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590</v>
      </c>
      <c r="AP613" s="673">
        <v>0</v>
      </c>
    </row>
    <row r="614" spans="1:42" s="550" customFormat="1" ht="12.75" customHeight="1">
      <c r="B614" s="536"/>
      <c r="C614" s="933"/>
      <c r="D614" s="536"/>
      <c r="E614" s="536" t="s">
        <v>1400</v>
      </c>
      <c r="F614" s="936"/>
      <c r="G614" s="936"/>
      <c r="I614" s="2539" t="s">
        <v>590</v>
      </c>
      <c r="J614" s="2539"/>
      <c r="K614" s="2539"/>
      <c r="L614" s="2539"/>
      <c r="M614" s="2539"/>
      <c r="N614" s="2539"/>
      <c r="O614" s="2539"/>
      <c r="P614" s="2539"/>
      <c r="Q614" s="2539"/>
      <c r="R614" s="2539"/>
      <c r="S614" s="2539"/>
      <c r="T614" s="2539"/>
      <c r="U614" s="2539"/>
      <c r="V614" s="2539"/>
      <c r="W614" s="2539"/>
      <c r="X614" s="2539"/>
      <c r="Y614" s="2539"/>
      <c r="Z614" s="2539"/>
      <c r="AA614" s="2539"/>
      <c r="AB614" s="2539"/>
      <c r="AC614" s="2539"/>
      <c r="AD614" s="2539"/>
      <c r="AE614" s="2539"/>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396" t="s">
        <v>590</v>
      </c>
      <c r="C616" s="2396"/>
      <c r="D616" s="642"/>
      <c r="E616" s="2424" t="s">
        <v>1403</v>
      </c>
      <c r="F616" s="2424"/>
      <c r="G616" s="2424"/>
      <c r="H616" s="2424"/>
      <c r="I616" s="2424"/>
      <c r="J616" s="2424"/>
      <c r="K616" s="2424"/>
      <c r="L616" s="2424"/>
      <c r="M616" s="2424"/>
      <c r="N616" s="2424"/>
      <c r="O616" s="2424"/>
      <c r="P616" s="2424"/>
      <c r="Q616" s="2424"/>
      <c r="R616" s="2424"/>
      <c r="S616" s="2424"/>
      <c r="T616" s="2424"/>
      <c r="U616" s="2424"/>
      <c r="V616" s="2424"/>
      <c r="W616" s="2424"/>
      <c r="X616" s="2424"/>
      <c r="Y616" s="2424"/>
      <c r="Z616" s="2424"/>
      <c r="AA616" s="2424"/>
      <c r="AB616" s="2424"/>
      <c r="AC616" s="2424"/>
      <c r="AD616" s="2424"/>
      <c r="AE616" s="2424"/>
      <c r="AF616" s="2424"/>
      <c r="AG616" s="2424"/>
      <c r="AH616" s="642"/>
      <c r="AI616" s="642"/>
      <c r="AJ616" s="642"/>
      <c r="AK616" s="642"/>
      <c r="AL616" s="642"/>
      <c r="AN616" s="597"/>
    </row>
    <row r="617" spans="1:42" s="550" customFormat="1" ht="12.75" customHeight="1">
      <c r="B617" s="536"/>
      <c r="C617" s="933"/>
      <c r="D617" s="642"/>
      <c r="E617" s="2424"/>
      <c r="F617" s="2424"/>
      <c r="G617" s="2424"/>
      <c r="H617" s="2424"/>
      <c r="I617" s="2424"/>
      <c r="J617" s="2424"/>
      <c r="K617" s="2424"/>
      <c r="L617" s="2424"/>
      <c r="M617" s="2424"/>
      <c r="N617" s="2424"/>
      <c r="O617" s="2424"/>
      <c r="P617" s="2424"/>
      <c r="Q617" s="2424"/>
      <c r="R617" s="2424"/>
      <c r="S617" s="2424"/>
      <c r="T617" s="2424"/>
      <c r="U617" s="2424"/>
      <c r="V617" s="2424"/>
      <c r="W617" s="2424"/>
      <c r="X617" s="2424"/>
      <c r="Y617" s="2424"/>
      <c r="Z617" s="2424"/>
      <c r="AA617" s="2424"/>
      <c r="AB617" s="2424"/>
      <c r="AC617" s="2424"/>
      <c r="AD617" s="2424"/>
      <c r="AE617" s="2424"/>
      <c r="AF617" s="2424"/>
      <c r="AG617" s="2424"/>
      <c r="AH617" s="642"/>
      <c r="AI617" s="642"/>
      <c r="AJ617" s="642"/>
      <c r="AK617" s="642"/>
      <c r="AL617" s="642"/>
      <c r="AN617" s="597"/>
    </row>
    <row r="618" spans="1:42" s="550" customFormat="1" ht="12.75" customHeight="1">
      <c r="B618" s="536"/>
      <c r="C618" s="933"/>
      <c r="D618" s="642"/>
      <c r="E618" s="2424"/>
      <c r="F618" s="2424"/>
      <c r="G618" s="2424"/>
      <c r="H618" s="2424"/>
      <c r="I618" s="2424"/>
      <c r="J618" s="2424"/>
      <c r="K618" s="2424"/>
      <c r="L618" s="2424"/>
      <c r="M618" s="2424"/>
      <c r="N618" s="2424"/>
      <c r="O618" s="2424"/>
      <c r="P618" s="2424"/>
      <c r="Q618" s="2424"/>
      <c r="R618" s="2424"/>
      <c r="S618" s="2424"/>
      <c r="T618" s="2424"/>
      <c r="U618" s="2424"/>
      <c r="V618" s="2424"/>
      <c r="W618" s="2424"/>
      <c r="X618" s="2424"/>
      <c r="Y618" s="2424"/>
      <c r="Z618" s="2424"/>
      <c r="AA618" s="2424"/>
      <c r="AB618" s="2424"/>
      <c r="AC618" s="2424"/>
      <c r="AD618" s="2424"/>
      <c r="AE618" s="2424"/>
      <c r="AF618" s="2424"/>
      <c r="AG618" s="2424"/>
      <c r="AH618" s="642"/>
      <c r="AI618" s="642"/>
      <c r="AJ618" s="642"/>
      <c r="AK618" s="642"/>
      <c r="AL618" s="642"/>
      <c r="AN618" s="597"/>
    </row>
    <row r="619" spans="1:42" s="550" customFormat="1" ht="12.75" customHeight="1">
      <c r="B619" s="536"/>
      <c r="C619" s="933"/>
      <c r="D619" s="642"/>
      <c r="E619" s="2424"/>
      <c r="F619" s="2424"/>
      <c r="G619" s="2424"/>
      <c r="H619" s="2424"/>
      <c r="I619" s="2424"/>
      <c r="J619" s="2424"/>
      <c r="K619" s="2424"/>
      <c r="L619" s="2424"/>
      <c r="M619" s="2424"/>
      <c r="N619" s="2424"/>
      <c r="O619" s="2424"/>
      <c r="P619" s="2424"/>
      <c r="Q619" s="2424"/>
      <c r="R619" s="2424"/>
      <c r="S619" s="2424"/>
      <c r="T619" s="2424"/>
      <c r="U619" s="2424"/>
      <c r="V619" s="2424"/>
      <c r="W619" s="2424"/>
      <c r="X619" s="2424"/>
      <c r="Y619" s="2424"/>
      <c r="Z619" s="2424"/>
      <c r="AA619" s="2424"/>
      <c r="AB619" s="2424"/>
      <c r="AC619" s="2424"/>
      <c r="AD619" s="2424"/>
      <c r="AE619" s="2424"/>
      <c r="AF619" s="2424"/>
      <c r="AG619" s="2424"/>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31">
        <f>VLOOKUP($H$606,$AO$586:$AP$591,2,FALSE)+IF(R606=AO594,0,VLOOKUP($I$614,$AO$613:$AP$615,2,FALSE))</f>
        <v>7</v>
      </c>
      <c r="AK621" s="2433"/>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686</v>
      </c>
      <c r="E625" s="2538" t="s">
        <v>1694</v>
      </c>
      <c r="F625" s="2538"/>
      <c r="G625" s="2538"/>
      <c r="H625" s="2538"/>
      <c r="I625" s="2538"/>
      <c r="J625" s="2538"/>
      <c r="K625" s="2538"/>
      <c r="L625" s="2538"/>
      <c r="M625" s="2538"/>
      <c r="N625" s="2538"/>
      <c r="O625" s="2538"/>
      <c r="P625" s="2538"/>
      <c r="Q625" s="2538"/>
      <c r="R625" s="2538"/>
      <c r="S625" s="2538"/>
      <c r="T625" s="2538"/>
      <c r="U625" s="2538"/>
      <c r="V625" s="2538"/>
      <c r="W625" s="2538"/>
      <c r="X625" s="2538"/>
      <c r="Y625" s="2538"/>
      <c r="Z625" s="2538"/>
      <c r="AA625" s="2538"/>
      <c r="AB625" s="2538"/>
      <c r="AC625" s="2538"/>
      <c r="AD625" s="2538"/>
      <c r="AE625" s="539"/>
      <c r="AF625" s="2524" t="s">
        <v>1352</v>
      </c>
      <c r="AG625" s="2524"/>
      <c r="AH625" s="2524"/>
      <c r="AI625" s="2524"/>
      <c r="AJ625" s="2524"/>
      <c r="AK625" s="2524"/>
      <c r="AL625" s="2524"/>
      <c r="AM625" s="550"/>
      <c r="AN625" s="678"/>
    </row>
    <row r="626" spans="1:42" s="550" customFormat="1" ht="12.75" customHeight="1">
      <c r="A626" s="679"/>
      <c r="B626" s="536"/>
      <c r="C626" s="933"/>
      <c r="D626" s="663"/>
      <c r="E626" s="2538"/>
      <c r="F626" s="2538"/>
      <c r="G626" s="2538"/>
      <c r="H626" s="2538"/>
      <c r="I626" s="2538"/>
      <c r="J626" s="2538"/>
      <c r="K626" s="2538"/>
      <c r="L626" s="2538"/>
      <c r="M626" s="2538"/>
      <c r="N626" s="2538"/>
      <c r="O626" s="2538"/>
      <c r="P626" s="2538"/>
      <c r="Q626" s="2538"/>
      <c r="R626" s="2538"/>
      <c r="S626" s="2538"/>
      <c r="T626" s="2538"/>
      <c r="U626" s="2538"/>
      <c r="V626" s="2538"/>
      <c r="W626" s="2538"/>
      <c r="X626" s="2538"/>
      <c r="Y626" s="2538"/>
      <c r="Z626" s="2538"/>
      <c r="AA626" s="2538"/>
      <c r="AB626" s="2538"/>
      <c r="AC626" s="2538"/>
      <c r="AD626" s="2538"/>
      <c r="AE626" s="536"/>
      <c r="AF626" s="536"/>
      <c r="AG626" s="536"/>
      <c r="AH626" s="536"/>
      <c r="AI626" s="536"/>
      <c r="AJ626" s="536"/>
      <c r="AK626" s="536"/>
      <c r="AL626" s="536"/>
      <c r="AN626" s="597"/>
    </row>
    <row r="627" spans="1:42" s="550" customFormat="1" ht="12.75" customHeight="1">
      <c r="B627" s="536"/>
      <c r="C627" s="931"/>
      <c r="D627" s="663"/>
      <c r="E627" s="2538"/>
      <c r="F627" s="2538"/>
      <c r="G627" s="2538"/>
      <c r="H627" s="2538"/>
      <c r="I627" s="2538"/>
      <c r="J627" s="2538"/>
      <c r="K627" s="2538"/>
      <c r="L627" s="2538"/>
      <c r="M627" s="2538"/>
      <c r="N627" s="2538"/>
      <c r="O627" s="2538"/>
      <c r="P627" s="2538"/>
      <c r="Q627" s="2538"/>
      <c r="R627" s="2538"/>
      <c r="S627" s="2538"/>
      <c r="T627" s="2538"/>
      <c r="U627" s="2538"/>
      <c r="V627" s="2538"/>
      <c r="W627" s="2538"/>
      <c r="X627" s="2538"/>
      <c r="Y627" s="2538"/>
      <c r="Z627" s="2538"/>
      <c r="AA627" s="2538"/>
      <c r="AB627" s="2538"/>
      <c r="AC627" s="2538"/>
      <c r="AD627" s="2538"/>
      <c r="AE627" s="536"/>
      <c r="AF627" s="536"/>
      <c r="AG627" s="536"/>
      <c r="AH627" s="536"/>
      <c r="AI627" s="536"/>
      <c r="AJ627" s="536"/>
      <c r="AK627" s="536"/>
      <c r="AL627" s="536"/>
      <c r="AN627" s="597"/>
    </row>
    <row r="628" spans="1:42" s="550" customFormat="1" ht="12.75" customHeight="1">
      <c r="B628" s="536"/>
      <c r="C628" s="931"/>
      <c r="D628" s="663"/>
      <c r="E628" s="2538"/>
      <c r="F628" s="2538"/>
      <c r="G628" s="2538"/>
      <c r="H628" s="2538"/>
      <c r="I628" s="2538"/>
      <c r="J628" s="2538"/>
      <c r="K628" s="2538"/>
      <c r="L628" s="2538"/>
      <c r="M628" s="2538"/>
      <c r="N628" s="2538"/>
      <c r="O628" s="2538"/>
      <c r="P628" s="2538"/>
      <c r="Q628" s="2538"/>
      <c r="R628" s="2538"/>
      <c r="S628" s="2538"/>
      <c r="T628" s="2538"/>
      <c r="U628" s="2538"/>
      <c r="V628" s="2538"/>
      <c r="W628" s="2538"/>
      <c r="X628" s="2538"/>
      <c r="Y628" s="2538"/>
      <c r="Z628" s="2538"/>
      <c r="AA628" s="2538"/>
      <c r="AB628" s="2538"/>
      <c r="AC628" s="2538"/>
      <c r="AD628" s="2538"/>
      <c r="AE628" s="536"/>
      <c r="AF628" s="536"/>
      <c r="AG628" s="536"/>
      <c r="AH628" s="536"/>
      <c r="AI628" s="536"/>
      <c r="AJ628" s="536"/>
      <c r="AK628" s="536"/>
      <c r="AL628" s="536"/>
      <c r="AN628" s="597"/>
    </row>
    <row r="629" spans="1:42" s="550" customFormat="1" ht="12.75" customHeight="1">
      <c r="B629" s="536"/>
      <c r="C629" s="931"/>
      <c r="D629" s="663"/>
      <c r="E629" s="2538"/>
      <c r="F629" s="2538"/>
      <c r="G629" s="2538"/>
      <c r="H629" s="2538"/>
      <c r="I629" s="2538"/>
      <c r="J629" s="2538"/>
      <c r="K629" s="2538"/>
      <c r="L629" s="2538"/>
      <c r="M629" s="2538"/>
      <c r="N629" s="2538"/>
      <c r="O629" s="2538"/>
      <c r="P629" s="2538"/>
      <c r="Q629" s="2538"/>
      <c r="R629" s="2538"/>
      <c r="S629" s="2538"/>
      <c r="T629" s="2538"/>
      <c r="U629" s="2538"/>
      <c r="V629" s="2538"/>
      <c r="W629" s="2538"/>
      <c r="X629" s="2538"/>
      <c r="Y629" s="2538"/>
      <c r="Z629" s="2538"/>
      <c r="AA629" s="2538"/>
      <c r="AB629" s="2538"/>
      <c r="AC629" s="2538"/>
      <c r="AD629" s="2538"/>
      <c r="AE629" s="536"/>
      <c r="AF629" s="536"/>
      <c r="AG629" s="536"/>
      <c r="AH629" s="536"/>
      <c r="AI629" s="536"/>
      <c r="AJ629" s="536"/>
      <c r="AK629" s="536"/>
      <c r="AL629" s="536"/>
      <c r="AN629" s="597"/>
    </row>
    <row r="630" spans="1:42" s="550" customFormat="1" ht="12.75" customHeight="1">
      <c r="B630" s="536"/>
      <c r="C630" s="931"/>
      <c r="D630" s="663"/>
      <c r="E630" s="2538"/>
      <c r="F630" s="2538"/>
      <c r="G630" s="2538"/>
      <c r="H630" s="2538"/>
      <c r="I630" s="2538"/>
      <c r="J630" s="2538"/>
      <c r="K630" s="2538"/>
      <c r="L630" s="2538"/>
      <c r="M630" s="2538"/>
      <c r="N630" s="2538"/>
      <c r="O630" s="2538"/>
      <c r="P630" s="2538"/>
      <c r="Q630" s="2538"/>
      <c r="R630" s="2538"/>
      <c r="S630" s="2538"/>
      <c r="T630" s="2538"/>
      <c r="U630" s="2538"/>
      <c r="V630" s="2538"/>
      <c r="W630" s="2538"/>
      <c r="X630" s="2538"/>
      <c r="Y630" s="2538"/>
      <c r="Z630" s="2538"/>
      <c r="AA630" s="2538"/>
      <c r="AB630" s="2538"/>
      <c r="AC630" s="2538"/>
      <c r="AD630" s="2538"/>
      <c r="AE630" s="536"/>
      <c r="AF630" s="536"/>
      <c r="AG630" s="536"/>
      <c r="AH630" s="536"/>
      <c r="AI630" s="536"/>
      <c r="AJ630" s="536"/>
      <c r="AK630" s="536"/>
      <c r="AL630" s="536"/>
      <c r="AN630" s="597"/>
    </row>
    <row r="631" spans="1:42" s="550" customFormat="1" ht="12.75" customHeight="1">
      <c r="A631" s="637"/>
      <c r="B631" s="616"/>
      <c r="C631" s="940"/>
      <c r="D631" s="663"/>
      <c r="E631" s="2538"/>
      <c r="F631" s="2538"/>
      <c r="G631" s="2538"/>
      <c r="H631" s="2538"/>
      <c r="I631" s="2538"/>
      <c r="J631" s="2538"/>
      <c r="K631" s="2538"/>
      <c r="L631" s="2538"/>
      <c r="M631" s="2538"/>
      <c r="N631" s="2538"/>
      <c r="O631" s="2538"/>
      <c r="P631" s="2538"/>
      <c r="Q631" s="2538"/>
      <c r="R631" s="2538"/>
      <c r="S631" s="2538"/>
      <c r="T631" s="2538"/>
      <c r="U631" s="2538"/>
      <c r="V631" s="2538"/>
      <c r="W631" s="2538"/>
      <c r="X631" s="2538"/>
      <c r="Y631" s="2538"/>
      <c r="Z631" s="2538"/>
      <c r="AA631" s="2538"/>
      <c r="AB631" s="2538"/>
      <c r="AC631" s="2538"/>
      <c r="AD631" s="2538"/>
      <c r="AE631" s="616"/>
      <c r="AF631" s="616"/>
      <c r="AG631" s="616"/>
      <c r="AH631" s="616"/>
      <c r="AI631" s="616"/>
      <c r="AJ631" s="616"/>
      <c r="AK631" s="536"/>
      <c r="AL631" s="536"/>
      <c r="AN631" s="597"/>
    </row>
    <row r="632" spans="1:42" s="550" customFormat="1" ht="12.75" customHeight="1">
      <c r="B632" s="616"/>
      <c r="C632" s="940"/>
      <c r="D632" s="663"/>
      <c r="E632" s="2538"/>
      <c r="F632" s="2538"/>
      <c r="G632" s="2538"/>
      <c r="H632" s="2538"/>
      <c r="I632" s="2538"/>
      <c r="J632" s="2538"/>
      <c r="K632" s="2538"/>
      <c r="L632" s="2538"/>
      <c r="M632" s="2538"/>
      <c r="N632" s="2538"/>
      <c r="O632" s="2538"/>
      <c r="P632" s="2538"/>
      <c r="Q632" s="2538"/>
      <c r="R632" s="2538"/>
      <c r="S632" s="2538"/>
      <c r="T632" s="2538"/>
      <c r="U632" s="2538"/>
      <c r="V632" s="2538"/>
      <c r="W632" s="2538"/>
      <c r="X632" s="2538"/>
      <c r="Y632" s="2538"/>
      <c r="Z632" s="2538"/>
      <c r="AA632" s="2538"/>
      <c r="AB632" s="2538"/>
      <c r="AC632" s="2538"/>
      <c r="AD632" s="2538"/>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590</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396" t="s">
        <v>590</v>
      </c>
      <c r="Y634" s="2396"/>
      <c r="Z634" s="941"/>
      <c r="AA634" s="941"/>
      <c r="AB634" s="941"/>
      <c r="AC634" s="941"/>
      <c r="AD634" s="941"/>
      <c r="AE634" s="536"/>
      <c r="AF634" s="616"/>
      <c r="AG634" s="616"/>
      <c r="AH634" s="616"/>
      <c r="AI634" s="616"/>
      <c r="AJ634" s="616"/>
      <c r="AK634" s="536"/>
      <c r="AL634" s="536"/>
      <c r="AN634" s="597"/>
      <c r="AO634" s="611" t="s">
        <v>686</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508</v>
      </c>
      <c r="AP635" s="680">
        <v>4</v>
      </c>
    </row>
    <row r="636" spans="1:42" s="550" customFormat="1" ht="12.75" customHeight="1">
      <c r="B636" s="536"/>
      <c r="C636" s="931"/>
      <c r="D636" s="663" t="s">
        <v>508</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4" t="s">
        <v>1408</v>
      </c>
      <c r="AG636" s="2524"/>
      <c r="AH636" s="2524"/>
      <c r="AI636" s="2524"/>
      <c r="AJ636" s="2524"/>
      <c r="AK636" s="2524"/>
      <c r="AL636" s="2524"/>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448" t="s">
        <v>508</v>
      </c>
      <c r="I638" s="2448"/>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31">
        <f>VLOOKUP($H$638,$AO$605:$AP$607,2,FALSE)</f>
        <v>2</v>
      </c>
      <c r="AK640" s="2433"/>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686</v>
      </c>
      <c r="E644" s="2424" t="s">
        <v>2097</v>
      </c>
      <c r="F644" s="2424"/>
      <c r="G644" s="2424"/>
      <c r="H644" s="2424"/>
      <c r="I644" s="2424"/>
      <c r="J644" s="2424"/>
      <c r="K644" s="2424"/>
      <c r="L644" s="2424"/>
      <c r="M644" s="2424"/>
      <c r="N644" s="2424"/>
      <c r="O644" s="2424"/>
      <c r="P644" s="2424"/>
      <c r="Q644" s="2424"/>
      <c r="R644" s="2424"/>
      <c r="S644" s="2424"/>
      <c r="T644" s="2424"/>
      <c r="U644" s="2424"/>
      <c r="V644" s="2424"/>
      <c r="W644" s="2424"/>
      <c r="X644" s="2424"/>
      <c r="Y644" s="2424"/>
      <c r="Z644" s="2424"/>
      <c r="AA644" s="2424"/>
      <c r="AB644" s="2424"/>
      <c r="AC644" s="2424"/>
      <c r="AD644" s="2424"/>
      <c r="AE644" s="536"/>
      <c r="AF644" s="2524" t="s">
        <v>1352</v>
      </c>
      <c r="AG644" s="2524"/>
      <c r="AH644" s="2524"/>
      <c r="AI644" s="2524"/>
      <c r="AJ644" s="2524"/>
      <c r="AK644" s="2524"/>
      <c r="AL644" s="2524"/>
      <c r="AN644" s="597"/>
    </row>
    <row r="645" spans="1:42" s="550" customFormat="1" ht="12.75" customHeight="1">
      <c r="B645" s="536"/>
      <c r="C645" s="536"/>
      <c r="D645" s="663"/>
      <c r="E645" s="2424"/>
      <c r="F645" s="2424"/>
      <c r="G645" s="2424"/>
      <c r="H645" s="2424"/>
      <c r="I645" s="2424"/>
      <c r="J645" s="2424"/>
      <c r="K645" s="2424"/>
      <c r="L645" s="2424"/>
      <c r="M645" s="2424"/>
      <c r="N645" s="2424"/>
      <c r="O645" s="2424"/>
      <c r="P645" s="2424"/>
      <c r="Q645" s="2424"/>
      <c r="R645" s="2424"/>
      <c r="S645" s="2424"/>
      <c r="T645" s="2424"/>
      <c r="U645" s="2424"/>
      <c r="V645" s="2424"/>
      <c r="W645" s="2424"/>
      <c r="X645" s="2424"/>
      <c r="Y645" s="2424"/>
      <c r="Z645" s="2424"/>
      <c r="AA645" s="2424"/>
      <c r="AB645" s="2424"/>
      <c r="AC645" s="2424"/>
      <c r="AD645" s="2424"/>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508</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4" t="s">
        <v>1408</v>
      </c>
      <c r="AG647" s="2524"/>
      <c r="AH647" s="2524"/>
      <c r="AI647" s="2524"/>
      <c r="AJ647" s="2524"/>
      <c r="AK647" s="2524"/>
      <c r="AL647" s="2524"/>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448" t="s">
        <v>590</v>
      </c>
      <c r="I650" s="2448"/>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31">
        <f>VLOOKUP(H650,AT605:AU607,2,FALSE)</f>
        <v>0</v>
      </c>
      <c r="AK652" s="2433"/>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686</v>
      </c>
      <c r="E657" s="2424" t="s">
        <v>1418</v>
      </c>
      <c r="F657" s="2424"/>
      <c r="G657" s="2424"/>
      <c r="H657" s="2424"/>
      <c r="I657" s="2424"/>
      <c r="J657" s="2424"/>
      <c r="K657" s="2424"/>
      <c r="L657" s="2424"/>
      <c r="M657" s="2424"/>
      <c r="N657" s="2424"/>
      <c r="O657" s="2424"/>
      <c r="P657" s="2424"/>
      <c r="Q657" s="2424"/>
      <c r="R657" s="2424"/>
      <c r="S657" s="2424"/>
      <c r="T657" s="2424"/>
      <c r="U657" s="2424"/>
      <c r="V657" s="2424"/>
      <c r="W657" s="2424"/>
      <c r="X657" s="2424"/>
      <c r="Y657" s="2424"/>
      <c r="Z657" s="2424"/>
      <c r="AA657" s="2424"/>
      <c r="AB657" s="2424"/>
      <c r="AC657" s="2424"/>
      <c r="AD657" s="536"/>
      <c r="AE657" s="536"/>
      <c r="AF657" s="2524" t="s">
        <v>1378</v>
      </c>
      <c r="AG657" s="2524"/>
      <c r="AH657" s="2524"/>
      <c r="AI657" s="2524"/>
      <c r="AJ657" s="2524"/>
      <c r="AK657" s="2524"/>
      <c r="AL657" s="2524"/>
      <c r="AN657" s="597"/>
    </row>
    <row r="658" spans="1:42" s="550" customFormat="1" ht="12.75" customHeight="1">
      <c r="B658" s="536"/>
      <c r="C658" s="539"/>
      <c r="D658" s="536"/>
      <c r="E658" s="2424"/>
      <c r="F658" s="2424"/>
      <c r="G658" s="2424"/>
      <c r="H658" s="2424"/>
      <c r="I658" s="2424"/>
      <c r="J658" s="2424"/>
      <c r="K658" s="2424"/>
      <c r="L658" s="2424"/>
      <c r="M658" s="2424"/>
      <c r="N658" s="2424"/>
      <c r="O658" s="2424"/>
      <c r="P658" s="2424"/>
      <c r="Q658" s="2424"/>
      <c r="R658" s="2424"/>
      <c r="S658" s="2424"/>
      <c r="T658" s="2424"/>
      <c r="U658" s="2424"/>
      <c r="V658" s="2424"/>
      <c r="W658" s="2424"/>
      <c r="X658" s="2424"/>
      <c r="Y658" s="2424"/>
      <c r="Z658" s="2424"/>
      <c r="AA658" s="2424"/>
      <c r="AB658" s="2424"/>
      <c r="AC658" s="2424"/>
      <c r="AD658" s="536"/>
      <c r="AE658" s="536"/>
      <c r="AF658" s="536"/>
      <c r="AG658" s="536"/>
      <c r="AH658" s="536"/>
      <c r="AI658" s="536"/>
      <c r="AJ658" s="536"/>
      <c r="AK658" s="536"/>
      <c r="AL658" s="536"/>
      <c r="AN658" s="597"/>
    </row>
    <row r="659" spans="1:42" s="550" customFormat="1" ht="12.75" customHeight="1">
      <c r="B659" s="536"/>
      <c r="C659" s="539"/>
      <c r="D659" s="663"/>
      <c r="E659" s="2424"/>
      <c r="F659" s="2424"/>
      <c r="G659" s="2424"/>
      <c r="H659" s="2424"/>
      <c r="I659" s="2424"/>
      <c r="J659" s="2424"/>
      <c r="K659" s="2424"/>
      <c r="L659" s="2424"/>
      <c r="M659" s="2424"/>
      <c r="N659" s="2424"/>
      <c r="O659" s="2424"/>
      <c r="P659" s="2424"/>
      <c r="Q659" s="2424"/>
      <c r="R659" s="2424"/>
      <c r="S659" s="2424"/>
      <c r="T659" s="2424"/>
      <c r="U659" s="2424"/>
      <c r="V659" s="2424"/>
      <c r="W659" s="2424"/>
      <c r="X659" s="2424"/>
      <c r="Y659" s="2424"/>
      <c r="Z659" s="2424"/>
      <c r="AA659" s="2424"/>
      <c r="AB659" s="2424"/>
      <c r="AC659" s="2424"/>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508</v>
      </c>
      <c r="E661" s="2424" t="s">
        <v>1419</v>
      </c>
      <c r="F661" s="2424"/>
      <c r="G661" s="2424"/>
      <c r="H661" s="2424"/>
      <c r="I661" s="2424"/>
      <c r="J661" s="2424"/>
      <c r="K661" s="2424"/>
      <c r="L661" s="2424"/>
      <c r="M661" s="2424"/>
      <c r="N661" s="2424"/>
      <c r="O661" s="2424"/>
      <c r="P661" s="2424"/>
      <c r="Q661" s="2424"/>
      <c r="R661" s="2424"/>
      <c r="S661" s="2424"/>
      <c r="T661" s="2424"/>
      <c r="U661" s="2424"/>
      <c r="V661" s="2424"/>
      <c r="W661" s="2424"/>
      <c r="X661" s="2424"/>
      <c r="Y661" s="2424"/>
      <c r="Z661" s="2424"/>
      <c r="AA661" s="2424"/>
      <c r="AB661" s="2424"/>
      <c r="AC661" s="2424"/>
      <c r="AD661" s="536"/>
      <c r="AE661" s="536"/>
      <c r="AF661" s="2524" t="s">
        <v>1399</v>
      </c>
      <c r="AG661" s="2524"/>
      <c r="AH661" s="2524"/>
      <c r="AI661" s="2524"/>
      <c r="AJ661" s="2524"/>
      <c r="AK661" s="2524"/>
      <c r="AL661" s="2524"/>
      <c r="AN661" s="597"/>
    </row>
    <row r="662" spans="1:42" s="550" customFormat="1" ht="12.75" customHeight="1">
      <c r="B662" s="536"/>
      <c r="C662" s="539"/>
      <c r="D662" s="536"/>
      <c r="E662" s="2424"/>
      <c r="F662" s="2424"/>
      <c r="G662" s="2424"/>
      <c r="H662" s="2424"/>
      <c r="I662" s="2424"/>
      <c r="J662" s="2424"/>
      <c r="K662" s="2424"/>
      <c r="L662" s="2424"/>
      <c r="M662" s="2424"/>
      <c r="N662" s="2424"/>
      <c r="O662" s="2424"/>
      <c r="P662" s="2424"/>
      <c r="Q662" s="2424"/>
      <c r="R662" s="2424"/>
      <c r="S662" s="2424"/>
      <c r="T662" s="2424"/>
      <c r="U662" s="2424"/>
      <c r="V662" s="2424"/>
      <c r="W662" s="2424"/>
      <c r="X662" s="2424"/>
      <c r="Y662" s="2424"/>
      <c r="Z662" s="2424"/>
      <c r="AA662" s="2424"/>
      <c r="AB662" s="2424"/>
      <c r="AC662" s="2424"/>
      <c r="AD662" s="536"/>
      <c r="AE662" s="536"/>
      <c r="AF662" s="536"/>
      <c r="AG662" s="536"/>
      <c r="AH662" s="536"/>
      <c r="AI662" s="536"/>
      <c r="AJ662" s="536"/>
      <c r="AK662" s="536"/>
      <c r="AL662" s="536"/>
      <c r="AN662" s="597"/>
    </row>
    <row r="663" spans="1:42" s="550" customFormat="1" ht="15" customHeight="1">
      <c r="B663" s="536"/>
      <c r="C663" s="539"/>
      <c r="D663" s="663"/>
      <c r="E663" s="2424"/>
      <c r="F663" s="2424"/>
      <c r="G663" s="2424"/>
      <c r="H663" s="2424"/>
      <c r="I663" s="2424"/>
      <c r="J663" s="2424"/>
      <c r="K663" s="2424"/>
      <c r="L663" s="2424"/>
      <c r="M663" s="2424"/>
      <c r="N663" s="2424"/>
      <c r="O663" s="2424"/>
      <c r="P663" s="2424"/>
      <c r="Q663" s="2424"/>
      <c r="R663" s="2424"/>
      <c r="S663" s="2424"/>
      <c r="T663" s="2424"/>
      <c r="U663" s="2424"/>
      <c r="V663" s="2424"/>
      <c r="W663" s="2424"/>
      <c r="X663" s="2424"/>
      <c r="Y663" s="2424"/>
      <c r="Z663" s="2424"/>
      <c r="AA663" s="2424"/>
      <c r="AB663" s="2424"/>
      <c r="AC663" s="2424"/>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24" t="s">
        <v>1420</v>
      </c>
      <c r="F665" s="2424"/>
      <c r="G665" s="2424"/>
      <c r="H665" s="2424"/>
      <c r="I665" s="2424"/>
      <c r="J665" s="2424"/>
      <c r="K665" s="2424"/>
      <c r="L665" s="2424"/>
      <c r="M665" s="2424"/>
      <c r="N665" s="2424"/>
      <c r="O665" s="2424"/>
      <c r="P665" s="2424"/>
      <c r="Q665" s="2424"/>
      <c r="R665" s="2424"/>
      <c r="S665" s="2424"/>
      <c r="T665" s="2424"/>
      <c r="U665" s="2424"/>
      <c r="V665" s="2424"/>
      <c r="W665" s="2424"/>
      <c r="X665" s="2424"/>
      <c r="Y665" s="2424"/>
      <c r="Z665" s="2424"/>
      <c r="AA665" s="2424"/>
      <c r="AB665" s="2424"/>
      <c r="AC665" s="2424"/>
      <c r="AD665" s="536"/>
      <c r="AE665" s="536"/>
      <c r="AF665" s="2524" t="s">
        <v>1352</v>
      </c>
      <c r="AG665" s="2524"/>
      <c r="AH665" s="2524"/>
      <c r="AI665" s="2524"/>
      <c r="AJ665" s="2524"/>
      <c r="AK665" s="2524"/>
      <c r="AL665" s="2524"/>
      <c r="AN665" s="597"/>
    </row>
    <row r="666" spans="1:42" s="550" customFormat="1" ht="12.75" customHeight="1">
      <c r="B666" s="536"/>
      <c r="C666" s="931"/>
      <c r="D666" s="536"/>
      <c r="E666" s="2424"/>
      <c r="F666" s="2424"/>
      <c r="G666" s="2424"/>
      <c r="H666" s="2424"/>
      <c r="I666" s="2424"/>
      <c r="J666" s="2424"/>
      <c r="K666" s="2424"/>
      <c r="L666" s="2424"/>
      <c r="M666" s="2424"/>
      <c r="N666" s="2424"/>
      <c r="O666" s="2424"/>
      <c r="P666" s="2424"/>
      <c r="Q666" s="2424"/>
      <c r="R666" s="2424"/>
      <c r="S666" s="2424"/>
      <c r="T666" s="2424"/>
      <c r="U666" s="2424"/>
      <c r="V666" s="2424"/>
      <c r="W666" s="2424"/>
      <c r="X666" s="2424"/>
      <c r="Y666" s="2424"/>
      <c r="Z666" s="2424"/>
      <c r="AA666" s="2424"/>
      <c r="AB666" s="2424"/>
      <c r="AC666" s="2424"/>
      <c r="AD666" s="536"/>
      <c r="AE666" s="2524"/>
      <c r="AF666" s="2524"/>
      <c r="AG666" s="2524"/>
      <c r="AH666" s="2524"/>
      <c r="AI666" s="2524"/>
      <c r="AJ666" s="2524"/>
      <c r="AK666" s="2524"/>
      <c r="AL666" s="594"/>
      <c r="AN666" s="597"/>
      <c r="AO666" s="550" t="s">
        <v>590</v>
      </c>
      <c r="AP666" s="673">
        <v>0</v>
      </c>
    </row>
    <row r="667" spans="1:42" s="550" customFormat="1" ht="12.75" customHeight="1">
      <c r="A667" s="679"/>
      <c r="B667" s="536"/>
      <c r="C667" s="536"/>
      <c r="D667" s="663"/>
      <c r="E667" s="2424"/>
      <c r="F667" s="2424"/>
      <c r="G667" s="2424"/>
      <c r="H667" s="2424"/>
      <c r="I667" s="2424"/>
      <c r="J667" s="2424"/>
      <c r="K667" s="2424"/>
      <c r="L667" s="2424"/>
      <c r="M667" s="2424"/>
      <c r="N667" s="2424"/>
      <c r="O667" s="2424"/>
      <c r="P667" s="2424"/>
      <c r="Q667" s="2424"/>
      <c r="R667" s="2424"/>
      <c r="S667" s="2424"/>
      <c r="T667" s="2424"/>
      <c r="U667" s="2424"/>
      <c r="V667" s="2424"/>
      <c r="W667" s="2424"/>
      <c r="X667" s="2424"/>
      <c r="Y667" s="2424"/>
      <c r="Z667" s="2424"/>
      <c r="AA667" s="2424"/>
      <c r="AB667" s="2424"/>
      <c r="AC667" s="2424"/>
      <c r="AD667" s="536"/>
      <c r="AE667" s="536"/>
      <c r="AF667" s="536"/>
      <c r="AG667" s="536"/>
      <c r="AH667" s="536"/>
      <c r="AI667" s="536"/>
      <c r="AJ667" s="536"/>
      <c r="AK667" s="536"/>
      <c r="AL667" s="536"/>
      <c r="AN667" s="597"/>
      <c r="AO667" s="611" t="s">
        <v>686</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508</v>
      </c>
      <c r="AP668" s="550">
        <v>2</v>
      </c>
    </row>
    <row r="669" spans="1:42" s="550" customFormat="1" ht="12.75" customHeight="1">
      <c r="A669" s="670"/>
      <c r="B669" s="536"/>
      <c r="C669" s="947"/>
      <c r="D669" s="663" t="s">
        <v>1397</v>
      </c>
      <c r="E669" s="2424" t="s">
        <v>1421</v>
      </c>
      <c r="F669" s="2424"/>
      <c r="G669" s="2424"/>
      <c r="H669" s="2424"/>
      <c r="I669" s="2424"/>
      <c r="J669" s="2424"/>
      <c r="K669" s="2424"/>
      <c r="L669" s="2424"/>
      <c r="M669" s="2424"/>
      <c r="N669" s="2424"/>
      <c r="O669" s="2424"/>
      <c r="P669" s="2424"/>
      <c r="Q669" s="2424"/>
      <c r="R669" s="2424"/>
      <c r="S669" s="2424"/>
      <c r="T669" s="2424"/>
      <c r="U669" s="2424"/>
      <c r="V669" s="2424"/>
      <c r="W669" s="2424"/>
      <c r="X669" s="2424"/>
      <c r="Y669" s="2424"/>
      <c r="Z669" s="2424"/>
      <c r="AA669" s="2424"/>
      <c r="AB669" s="2424"/>
      <c r="AC669" s="2424"/>
      <c r="AD669" s="536"/>
      <c r="AE669" s="536"/>
      <c r="AF669" s="2524" t="s">
        <v>1399</v>
      </c>
      <c r="AG669" s="2524"/>
      <c r="AH669" s="2524"/>
      <c r="AI669" s="2524"/>
      <c r="AJ669" s="2524"/>
      <c r="AK669" s="2524"/>
      <c r="AL669" s="2524"/>
      <c r="AN669" s="597"/>
    </row>
    <row r="670" spans="1:42" s="550" customFormat="1" ht="12.75" customHeight="1">
      <c r="A670" s="670"/>
      <c r="B670" s="536"/>
      <c r="C670" s="947"/>
      <c r="D670" s="663"/>
      <c r="E670" s="2424"/>
      <c r="F670" s="2424"/>
      <c r="G670" s="2424"/>
      <c r="H670" s="2424"/>
      <c r="I670" s="2424"/>
      <c r="J670" s="2424"/>
      <c r="K670" s="2424"/>
      <c r="L670" s="2424"/>
      <c r="M670" s="2424"/>
      <c r="N670" s="2424"/>
      <c r="O670" s="2424"/>
      <c r="P670" s="2424"/>
      <c r="Q670" s="2424"/>
      <c r="R670" s="2424"/>
      <c r="S670" s="2424"/>
      <c r="T670" s="2424"/>
      <c r="U670" s="2424"/>
      <c r="V670" s="2424"/>
      <c r="W670" s="2424"/>
      <c r="X670" s="2424"/>
      <c r="Y670" s="2424"/>
      <c r="Z670" s="2424"/>
      <c r="AA670" s="2424"/>
      <c r="AB670" s="2424"/>
      <c r="AC670" s="2424"/>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4"/>
      <c r="F671" s="2424"/>
      <c r="G671" s="2424"/>
      <c r="H671" s="2424"/>
      <c r="I671" s="2424"/>
      <c r="J671" s="2424"/>
      <c r="K671" s="2424"/>
      <c r="L671" s="2424"/>
      <c r="M671" s="2424"/>
      <c r="N671" s="2424"/>
      <c r="O671" s="2424"/>
      <c r="P671" s="2424"/>
      <c r="Q671" s="2424"/>
      <c r="R671" s="2424"/>
      <c r="S671" s="2424"/>
      <c r="T671" s="2424"/>
      <c r="U671" s="2424"/>
      <c r="V671" s="2424"/>
      <c r="W671" s="2424"/>
      <c r="X671" s="2424"/>
      <c r="Y671" s="2424"/>
      <c r="Z671" s="2424"/>
      <c r="AA671" s="2424"/>
      <c r="AB671" s="2424"/>
      <c r="AC671" s="2424"/>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24" t="s">
        <v>1422</v>
      </c>
      <c r="F673" s="2424"/>
      <c r="G673" s="2424"/>
      <c r="H673" s="2424"/>
      <c r="I673" s="2424"/>
      <c r="J673" s="2424"/>
      <c r="K673" s="2424"/>
      <c r="L673" s="2424"/>
      <c r="M673" s="2424"/>
      <c r="N673" s="2424"/>
      <c r="O673" s="2424"/>
      <c r="P673" s="2424"/>
      <c r="Q673" s="2424"/>
      <c r="R673" s="2424"/>
      <c r="S673" s="2424"/>
      <c r="T673" s="2424"/>
      <c r="U673" s="2424"/>
      <c r="V673" s="2424"/>
      <c r="W673" s="2424"/>
      <c r="X673" s="2424"/>
      <c r="Y673" s="2424"/>
      <c r="Z673" s="2424"/>
      <c r="AA673" s="2424"/>
      <c r="AB673" s="2424"/>
      <c r="AC673" s="2424"/>
      <c r="AD673" s="536"/>
      <c r="AE673" s="536"/>
      <c r="AF673" s="2524" t="s">
        <v>1352</v>
      </c>
      <c r="AG673" s="2524"/>
      <c r="AH673" s="2524"/>
      <c r="AI673" s="2524"/>
      <c r="AJ673" s="2524"/>
      <c r="AK673" s="2524"/>
      <c r="AL673" s="2524"/>
      <c r="AM673" s="596"/>
      <c r="AN673" s="597"/>
    </row>
    <row r="674" spans="1:42" s="550" customFormat="1" ht="12.75" customHeight="1">
      <c r="B674" s="536"/>
      <c r="C674" s="931"/>
      <c r="D674" s="663"/>
      <c r="E674" s="2424"/>
      <c r="F674" s="2424"/>
      <c r="G674" s="2424"/>
      <c r="H674" s="2424"/>
      <c r="I674" s="2424"/>
      <c r="J674" s="2424"/>
      <c r="K674" s="2424"/>
      <c r="L674" s="2424"/>
      <c r="M674" s="2424"/>
      <c r="N674" s="2424"/>
      <c r="O674" s="2424"/>
      <c r="P674" s="2424"/>
      <c r="Q674" s="2424"/>
      <c r="R674" s="2424"/>
      <c r="S674" s="2424"/>
      <c r="T674" s="2424"/>
      <c r="U674" s="2424"/>
      <c r="V674" s="2424"/>
      <c r="W674" s="2424"/>
      <c r="X674" s="2424"/>
      <c r="Y674" s="2424"/>
      <c r="Z674" s="2424"/>
      <c r="AA674" s="2424"/>
      <c r="AB674" s="2424"/>
      <c r="AC674" s="2424"/>
      <c r="AD674" s="536"/>
      <c r="AE674" s="536"/>
      <c r="AF674" s="536"/>
      <c r="AG674" s="536"/>
      <c r="AH674" s="536"/>
      <c r="AI674" s="536"/>
      <c r="AJ674" s="536"/>
      <c r="AK674" s="536"/>
      <c r="AL674" s="536"/>
      <c r="AM674" s="596"/>
      <c r="AN674" s="597"/>
    </row>
    <row r="675" spans="1:42" s="550" customFormat="1" ht="12.75" customHeight="1">
      <c r="B675" s="536"/>
      <c r="C675" s="931"/>
      <c r="D675" s="663"/>
      <c r="E675" s="2424"/>
      <c r="F675" s="2424"/>
      <c r="G675" s="2424"/>
      <c r="H675" s="2424"/>
      <c r="I675" s="2424"/>
      <c r="J675" s="2424"/>
      <c r="K675" s="2424"/>
      <c r="L675" s="2424"/>
      <c r="M675" s="2424"/>
      <c r="N675" s="2424"/>
      <c r="O675" s="2424"/>
      <c r="P675" s="2424"/>
      <c r="Q675" s="2424"/>
      <c r="R675" s="2424"/>
      <c r="S675" s="2424"/>
      <c r="T675" s="2424"/>
      <c r="U675" s="2424"/>
      <c r="V675" s="2424"/>
      <c r="W675" s="2424"/>
      <c r="X675" s="2424"/>
      <c r="Y675" s="2424"/>
      <c r="Z675" s="2424"/>
      <c r="AA675" s="2424"/>
      <c r="AB675" s="2424"/>
      <c r="AC675" s="2424"/>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24" t="s">
        <v>1423</v>
      </c>
      <c r="F677" s="2424"/>
      <c r="G677" s="2424"/>
      <c r="H677" s="2424"/>
      <c r="I677" s="2424"/>
      <c r="J677" s="2424"/>
      <c r="K677" s="2424"/>
      <c r="L677" s="2424"/>
      <c r="M677" s="2424"/>
      <c r="N677" s="2424"/>
      <c r="O677" s="2424"/>
      <c r="P677" s="2424"/>
      <c r="Q677" s="2424"/>
      <c r="R677" s="2424"/>
      <c r="S677" s="2424"/>
      <c r="T677" s="2424"/>
      <c r="U677" s="2424"/>
      <c r="V677" s="2424"/>
      <c r="W677" s="2424"/>
      <c r="X677" s="2424"/>
      <c r="Y677" s="2424"/>
      <c r="Z677" s="2424"/>
      <c r="AA677" s="2424"/>
      <c r="AB677" s="2424"/>
      <c r="AC677" s="2424"/>
      <c r="AD677" s="536"/>
      <c r="AE677" s="536"/>
      <c r="AF677" s="2524" t="s">
        <v>1408</v>
      </c>
      <c r="AG677" s="2524"/>
      <c r="AH677" s="2524"/>
      <c r="AI677" s="2524"/>
      <c r="AJ677" s="2524"/>
      <c r="AK677" s="2524"/>
      <c r="AL677" s="2524"/>
      <c r="AM677" s="596"/>
      <c r="AN677" s="597"/>
    </row>
    <row r="678" spans="1:42" s="550" customFormat="1" ht="12.75" customHeight="1">
      <c r="A678" s="679"/>
      <c r="B678" s="536"/>
      <c r="C678" s="931"/>
      <c r="D678" s="663"/>
      <c r="E678" s="2424"/>
      <c r="F678" s="2424"/>
      <c r="G678" s="2424"/>
      <c r="H678" s="2424"/>
      <c r="I678" s="2424"/>
      <c r="J678" s="2424"/>
      <c r="K678" s="2424"/>
      <c r="L678" s="2424"/>
      <c r="M678" s="2424"/>
      <c r="N678" s="2424"/>
      <c r="O678" s="2424"/>
      <c r="P678" s="2424"/>
      <c r="Q678" s="2424"/>
      <c r="R678" s="2424"/>
      <c r="S678" s="2424"/>
      <c r="T678" s="2424"/>
      <c r="U678" s="2424"/>
      <c r="V678" s="2424"/>
      <c r="W678" s="2424"/>
      <c r="X678" s="2424"/>
      <c r="Y678" s="2424"/>
      <c r="Z678" s="2424"/>
      <c r="AA678" s="2424"/>
      <c r="AB678" s="2424"/>
      <c r="AC678" s="2424"/>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4"/>
      <c r="F679" s="2424"/>
      <c r="G679" s="2424"/>
      <c r="H679" s="2424"/>
      <c r="I679" s="2424"/>
      <c r="J679" s="2424"/>
      <c r="K679" s="2424"/>
      <c r="L679" s="2424"/>
      <c r="M679" s="2424"/>
      <c r="N679" s="2424"/>
      <c r="O679" s="2424"/>
      <c r="P679" s="2424"/>
      <c r="Q679" s="2424"/>
      <c r="R679" s="2424"/>
      <c r="S679" s="2424"/>
      <c r="T679" s="2424"/>
      <c r="U679" s="2424"/>
      <c r="V679" s="2424"/>
      <c r="W679" s="2424"/>
      <c r="X679" s="2424"/>
      <c r="Y679" s="2424"/>
      <c r="Z679" s="2424"/>
      <c r="AA679" s="2424"/>
      <c r="AB679" s="2424"/>
      <c r="AC679" s="2424"/>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590</v>
      </c>
      <c r="AP680" s="637">
        <v>0</v>
      </c>
    </row>
    <row r="681" spans="1:42" s="550" customFormat="1" ht="12.75" customHeight="1">
      <c r="A681" s="679"/>
      <c r="B681" s="536"/>
      <c r="C681" s="931"/>
      <c r="D681" s="663" t="s">
        <v>1411</v>
      </c>
      <c r="E681" s="2424" t="s">
        <v>1424</v>
      </c>
      <c r="F681" s="2424"/>
      <c r="G681" s="2424"/>
      <c r="H681" s="2424"/>
      <c r="I681" s="2424"/>
      <c r="J681" s="2424"/>
      <c r="K681" s="2424"/>
      <c r="L681" s="2424"/>
      <c r="M681" s="2424"/>
      <c r="N681" s="2424"/>
      <c r="O681" s="2424"/>
      <c r="P681" s="2424"/>
      <c r="Q681" s="2424"/>
      <c r="R681" s="2424"/>
      <c r="S681" s="2424"/>
      <c r="T681" s="2424"/>
      <c r="U681" s="2424"/>
      <c r="V681" s="2424"/>
      <c r="W681" s="2424"/>
      <c r="X681" s="2424"/>
      <c r="Y681" s="2424"/>
      <c r="Z681" s="2424"/>
      <c r="AA681" s="2424"/>
      <c r="AB681" s="2424"/>
      <c r="AC681" s="2424"/>
      <c r="AD681" s="536"/>
      <c r="AE681" s="536"/>
      <c r="AF681" s="2524" t="s">
        <v>1425</v>
      </c>
      <c r="AG681" s="2524"/>
      <c r="AH681" s="2524"/>
      <c r="AI681" s="2524"/>
      <c r="AJ681" s="2524"/>
      <c r="AK681" s="2524"/>
      <c r="AL681" s="2524"/>
      <c r="AM681" s="596"/>
      <c r="AN681" s="597"/>
      <c r="AO681" s="611" t="s">
        <v>686</v>
      </c>
      <c r="AP681" s="550">
        <v>3</v>
      </c>
    </row>
    <row r="682" spans="1:42" s="550" customFormat="1" ht="12.75" customHeight="1">
      <c r="A682" s="679"/>
      <c r="B682" s="536"/>
      <c r="C682" s="931"/>
      <c r="D682" s="663"/>
      <c r="E682" s="2424"/>
      <c r="F682" s="2424"/>
      <c r="G682" s="2424"/>
      <c r="H682" s="2424"/>
      <c r="I682" s="2424"/>
      <c r="J682" s="2424"/>
      <c r="K682" s="2424"/>
      <c r="L682" s="2424"/>
      <c r="M682" s="2424"/>
      <c r="N682" s="2424"/>
      <c r="O682" s="2424"/>
      <c r="P682" s="2424"/>
      <c r="Q682" s="2424"/>
      <c r="R682" s="2424"/>
      <c r="S682" s="2424"/>
      <c r="T682" s="2424"/>
      <c r="U682" s="2424"/>
      <c r="V682" s="2424"/>
      <c r="W682" s="2424"/>
      <c r="X682" s="2424"/>
      <c r="Y682" s="2424"/>
      <c r="Z682" s="2424"/>
      <c r="AA682" s="2424"/>
      <c r="AB682" s="2424"/>
      <c r="AC682" s="2424"/>
      <c r="AD682" s="536"/>
      <c r="AE682" s="536"/>
      <c r="AF682" s="594"/>
      <c r="AG682" s="594"/>
      <c r="AH682" s="594"/>
      <c r="AI682" s="594"/>
      <c r="AJ682" s="594"/>
      <c r="AK682" s="594"/>
      <c r="AL682" s="594"/>
      <c r="AM682" s="596"/>
      <c r="AN682" s="597"/>
      <c r="AO682" s="611" t="s">
        <v>508</v>
      </c>
      <c r="AP682" s="550">
        <v>2</v>
      </c>
    </row>
    <row r="683" spans="1:42" s="550" customFormat="1" ht="12.75" customHeight="1">
      <c r="A683" s="679"/>
      <c r="B683" s="536"/>
      <c r="C683" s="931"/>
      <c r="D683" s="663"/>
      <c r="E683" s="2424"/>
      <c r="F683" s="2424"/>
      <c r="G683" s="2424"/>
      <c r="H683" s="2424"/>
      <c r="I683" s="2424"/>
      <c r="J683" s="2424"/>
      <c r="K683" s="2424"/>
      <c r="L683" s="2424"/>
      <c r="M683" s="2424"/>
      <c r="N683" s="2424"/>
      <c r="O683" s="2424"/>
      <c r="P683" s="2424"/>
      <c r="Q683" s="2424"/>
      <c r="R683" s="2424"/>
      <c r="S683" s="2424"/>
      <c r="T683" s="2424"/>
      <c r="U683" s="2424"/>
      <c r="V683" s="2424"/>
      <c r="W683" s="2424"/>
      <c r="X683" s="2424"/>
      <c r="Y683" s="2424"/>
      <c r="Z683" s="2424"/>
      <c r="AA683" s="2424"/>
      <c r="AB683" s="2424"/>
      <c r="AC683" s="2424"/>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448" t="s">
        <v>686</v>
      </c>
      <c r="I685" s="2448"/>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31">
        <f>VLOOKUP($H$685,$AO$633:$AP$640,2,FALSE)</f>
        <v>5</v>
      </c>
      <c r="AK687" s="2433"/>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2">
        <f>Application!G753</f>
        <v>130</v>
      </c>
    </row>
    <row r="691" spans="1:51" s="550" customFormat="1" ht="12.75" customHeight="1">
      <c r="A691" s="679"/>
      <c r="B691" s="536"/>
      <c r="C691" s="948"/>
      <c r="D691" s="663" t="s">
        <v>686</v>
      </c>
      <c r="E691" s="2394" t="s">
        <v>2189</v>
      </c>
      <c r="F691" s="2394"/>
      <c r="G691" s="2394"/>
      <c r="H691" s="2394"/>
      <c r="I691" s="2394"/>
      <c r="J691" s="2394"/>
      <c r="K691" s="2394"/>
      <c r="L691" s="2394"/>
      <c r="M691" s="2394"/>
      <c r="N691" s="2394"/>
      <c r="O691" s="2394"/>
      <c r="P691" s="2394"/>
      <c r="Q691" s="2394"/>
      <c r="R691" s="2394"/>
      <c r="S691" s="2394"/>
      <c r="T691" s="2394"/>
      <c r="U691" s="2394"/>
      <c r="V691" s="2394"/>
      <c r="W691" s="2394"/>
      <c r="X691" s="2394"/>
      <c r="Y691" s="2394"/>
      <c r="Z691" s="2394"/>
      <c r="AA691" s="2394"/>
      <c r="AB691" s="2394"/>
      <c r="AC691" s="536"/>
      <c r="AD691" s="536"/>
      <c r="AE691" s="536"/>
      <c r="AF691" s="2524" t="s">
        <v>1352</v>
      </c>
      <c r="AG691" s="2524"/>
      <c r="AH691" s="2524"/>
      <c r="AI691" s="2524"/>
      <c r="AJ691" s="2524"/>
      <c r="AK691" s="2524"/>
      <c r="AL691" s="2524"/>
      <c r="AN691" s="597"/>
      <c r="AW691" s="22" t="s">
        <v>2184</v>
      </c>
      <c r="AX691" s="550">
        <f>Application!DE753</f>
        <v>42</v>
      </c>
    </row>
    <row r="692" spans="1:51" s="550" customFormat="1" ht="12.75" customHeight="1">
      <c r="A692" s="679"/>
      <c r="B692" s="536"/>
      <c r="C692" s="948"/>
      <c r="D692" s="663"/>
      <c r="E692" s="2394"/>
      <c r="F692" s="2394"/>
      <c r="G692" s="2394"/>
      <c r="H692" s="2394"/>
      <c r="I692" s="2394"/>
      <c r="J692" s="2394"/>
      <c r="K692" s="2394"/>
      <c r="L692" s="2394"/>
      <c r="M692" s="2394"/>
      <c r="N692" s="2394"/>
      <c r="O692" s="2394"/>
      <c r="P692" s="2394"/>
      <c r="Q692" s="2394"/>
      <c r="R692" s="2394"/>
      <c r="S692" s="2394"/>
      <c r="T692" s="2394"/>
      <c r="U692" s="2394"/>
      <c r="V692" s="2394"/>
      <c r="W692" s="2394"/>
      <c r="X692" s="2394"/>
      <c r="Y692" s="2394"/>
      <c r="Z692" s="2394"/>
      <c r="AA692" s="2394"/>
      <c r="AB692" s="2394"/>
      <c r="AC692" s="536"/>
      <c r="AD692" s="536"/>
      <c r="AE692" s="536"/>
      <c r="AF692" s="536"/>
      <c r="AG692" s="536"/>
      <c r="AH692" s="536"/>
      <c r="AI692" s="536"/>
      <c r="AJ692" s="536"/>
      <c r="AK692" s="536"/>
      <c r="AL692" s="536"/>
      <c r="AN692" s="597"/>
      <c r="AW692" s="22" t="s">
        <v>2185</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1"/>
      <c r="D694" s="663" t="s">
        <v>508</v>
      </c>
      <c r="E694" s="2424" t="s">
        <v>2133</v>
      </c>
      <c r="F694" s="2424"/>
      <c r="G694" s="2424"/>
      <c r="H694" s="2424"/>
      <c r="I694" s="2424"/>
      <c r="J694" s="2424"/>
      <c r="K694" s="2424"/>
      <c r="L694" s="2424"/>
      <c r="M694" s="2424"/>
      <c r="N694" s="2424"/>
      <c r="O694" s="2424"/>
      <c r="P694" s="2424"/>
      <c r="Q694" s="2424"/>
      <c r="R694" s="2424"/>
      <c r="S694" s="2424"/>
      <c r="T694" s="2424"/>
      <c r="U694" s="2424"/>
      <c r="V694" s="2424"/>
      <c r="W694" s="2424"/>
      <c r="X694" s="2424"/>
      <c r="Y694" s="2424"/>
      <c r="Z694" s="2424"/>
      <c r="AA694" s="2424"/>
      <c r="AB694" s="2424"/>
      <c r="AC694" s="536"/>
      <c r="AD694" s="536"/>
      <c r="AE694" s="536"/>
      <c r="AF694" s="2524" t="s">
        <v>1352</v>
      </c>
      <c r="AG694" s="2524"/>
      <c r="AH694" s="2524"/>
      <c r="AI694" s="2524"/>
      <c r="AJ694" s="2524"/>
      <c r="AK694" s="2524"/>
      <c r="AL694" s="2524"/>
      <c r="AN694" s="597"/>
      <c r="AW694" s="22" t="s">
        <v>2187</v>
      </c>
      <c r="AX694" s="550">
        <f>AX691+AX692+AX693</f>
        <v>42</v>
      </c>
    </row>
    <row r="695" spans="1:51" s="550" customFormat="1" ht="12.75" customHeight="1">
      <c r="B695" s="536"/>
      <c r="C695" s="940"/>
      <c r="D695" s="663"/>
      <c r="E695" s="2424"/>
      <c r="F695" s="2424"/>
      <c r="G695" s="2424"/>
      <c r="H695" s="2424"/>
      <c r="I695" s="2424"/>
      <c r="J695" s="2424"/>
      <c r="K695" s="2424"/>
      <c r="L695" s="2424"/>
      <c r="M695" s="2424"/>
      <c r="N695" s="2424"/>
      <c r="O695" s="2424"/>
      <c r="P695" s="2424"/>
      <c r="Q695" s="2424"/>
      <c r="R695" s="2424"/>
      <c r="S695" s="2424"/>
      <c r="T695" s="2424"/>
      <c r="U695" s="2424"/>
      <c r="V695" s="2424"/>
      <c r="W695" s="2424"/>
      <c r="X695" s="2424"/>
      <c r="Y695" s="2424"/>
      <c r="Z695" s="2424"/>
      <c r="AA695" s="2424"/>
      <c r="AB695" s="2424"/>
      <c r="AC695" s="536"/>
      <c r="AD695" s="536"/>
      <c r="AE695" s="616"/>
      <c r="AF695" s="536"/>
      <c r="AG695" s="536"/>
      <c r="AH695" s="536"/>
      <c r="AI695" s="536"/>
      <c r="AJ695" s="536"/>
      <c r="AK695" s="536"/>
      <c r="AL695" s="536"/>
      <c r="AN695" s="597"/>
      <c r="AO695" s="2438" t="b">
        <f>IF(Application!D211="Special Needs",IF(AY695&gt;=0.25,TRUE,FALSE),IF(AX695&gt;=0.25,TRUE,FALSE))</f>
        <v>1</v>
      </c>
      <c r="AP695" s="2438"/>
      <c r="AW695" s="22" t="s">
        <v>2188</v>
      </c>
      <c r="AX695" s="550">
        <f>IFERROR(AX694/AX690,0)</f>
        <v>0.32307692307692309</v>
      </c>
      <c r="AY695" s="550">
        <f>IFERROR(AX694/(AX690-AX689),0)</f>
        <v>0.32307692307692309</v>
      </c>
    </row>
    <row r="696" spans="1:51" s="550" customFormat="1" ht="12.75" customHeight="1">
      <c r="B696" s="536"/>
      <c r="C696" s="940"/>
      <c r="E696" s="2424"/>
      <c r="F696" s="2424"/>
      <c r="G696" s="2424"/>
      <c r="H696" s="2424"/>
      <c r="I696" s="2424"/>
      <c r="J696" s="2424"/>
      <c r="K696" s="2424"/>
      <c r="L696" s="2424"/>
      <c r="M696" s="2424"/>
      <c r="N696" s="2424"/>
      <c r="O696" s="2424"/>
      <c r="P696" s="2424"/>
      <c r="Q696" s="2424"/>
      <c r="R696" s="2424"/>
      <c r="S696" s="2424"/>
      <c r="T696" s="2424"/>
      <c r="U696" s="2424"/>
      <c r="V696" s="2424"/>
      <c r="W696" s="2424"/>
      <c r="X696" s="2424"/>
      <c r="Y696" s="2424"/>
      <c r="Z696" s="2424"/>
      <c r="AA696" s="2424"/>
      <c r="AB696" s="2424"/>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4"/>
      <c r="F697" s="2424"/>
      <c r="G697" s="2424"/>
      <c r="H697" s="2424"/>
      <c r="I697" s="2424"/>
      <c r="J697" s="2424"/>
      <c r="K697" s="2424"/>
      <c r="L697" s="2424"/>
      <c r="M697" s="2424"/>
      <c r="N697" s="2424"/>
      <c r="O697" s="2424"/>
      <c r="P697" s="2424"/>
      <c r="Q697" s="2424"/>
      <c r="R697" s="2424"/>
      <c r="S697" s="2424"/>
      <c r="T697" s="2424"/>
      <c r="U697" s="2424"/>
      <c r="V697" s="2424"/>
      <c r="W697" s="2424"/>
      <c r="X697" s="2424"/>
      <c r="Y697" s="2424"/>
      <c r="Z697" s="2424"/>
      <c r="AA697" s="2424"/>
      <c r="AB697" s="2424"/>
      <c r="AC697" s="536"/>
      <c r="AD697" s="536"/>
      <c r="AE697" s="616"/>
      <c r="AF697" s="616"/>
      <c r="AG697" s="616"/>
      <c r="AH697" s="616"/>
      <c r="AI697" s="616"/>
      <c r="AJ697" s="616"/>
      <c r="AK697" s="616"/>
      <c r="AL697" s="616"/>
      <c r="AN697" s="597"/>
      <c r="AO697" s="550" t="s">
        <v>590</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686</v>
      </c>
      <c r="AP698" s="550">
        <v>2</v>
      </c>
    </row>
    <row r="699" spans="1:51" s="550" customFormat="1" ht="12.75" customHeight="1">
      <c r="B699" s="536"/>
      <c r="C699" s="931"/>
      <c r="D699" s="663" t="s">
        <v>277</v>
      </c>
      <c r="E699" s="2424" t="s">
        <v>2134</v>
      </c>
      <c r="F699" s="2424"/>
      <c r="G699" s="2424"/>
      <c r="H699" s="2424"/>
      <c r="I699" s="2424"/>
      <c r="J699" s="2424"/>
      <c r="K699" s="2424"/>
      <c r="L699" s="2424"/>
      <c r="M699" s="2424"/>
      <c r="N699" s="2424"/>
      <c r="O699" s="2424"/>
      <c r="P699" s="2424"/>
      <c r="Q699" s="2424"/>
      <c r="R699" s="2424"/>
      <c r="S699" s="2424"/>
      <c r="T699" s="2424"/>
      <c r="U699" s="2424"/>
      <c r="V699" s="2424"/>
      <c r="W699" s="2424"/>
      <c r="X699" s="2424"/>
      <c r="Y699" s="2424"/>
      <c r="Z699" s="2424"/>
      <c r="AA699" s="2424"/>
      <c r="AB699" s="2424"/>
      <c r="AC699" s="536"/>
      <c r="AD699" s="536"/>
      <c r="AE699" s="536"/>
      <c r="AF699" s="2524" t="s">
        <v>1408</v>
      </c>
      <c r="AG699" s="2524"/>
      <c r="AH699" s="2524"/>
      <c r="AI699" s="2524"/>
      <c r="AJ699" s="2524"/>
      <c r="AK699" s="2524"/>
      <c r="AL699" s="2524"/>
      <c r="AN699" s="597"/>
      <c r="AO699" s="611" t="s">
        <v>508</v>
      </c>
      <c r="AP699" s="550">
        <v>1</v>
      </c>
    </row>
    <row r="700" spans="1:51" s="550" customFormat="1" ht="12" customHeight="1">
      <c r="B700" s="536"/>
      <c r="C700" s="931"/>
      <c r="E700" s="2424"/>
      <c r="F700" s="2424"/>
      <c r="G700" s="2424"/>
      <c r="H700" s="2424"/>
      <c r="I700" s="2424"/>
      <c r="J700" s="2424"/>
      <c r="K700" s="2424"/>
      <c r="L700" s="2424"/>
      <c r="M700" s="2424"/>
      <c r="N700" s="2424"/>
      <c r="O700" s="2424"/>
      <c r="P700" s="2424"/>
      <c r="Q700" s="2424"/>
      <c r="R700" s="2424"/>
      <c r="S700" s="2424"/>
      <c r="T700" s="2424"/>
      <c r="U700" s="2424"/>
      <c r="V700" s="2424"/>
      <c r="W700" s="2424"/>
      <c r="X700" s="2424"/>
      <c r="Y700" s="2424"/>
      <c r="Z700" s="2424"/>
      <c r="AA700" s="2424"/>
      <c r="AB700" s="2424"/>
      <c r="AC700" s="536"/>
      <c r="AD700" s="536"/>
      <c r="AE700" s="616"/>
      <c r="AF700" s="536"/>
      <c r="AG700" s="536"/>
      <c r="AH700" s="536"/>
      <c r="AI700" s="536"/>
      <c r="AJ700" s="536"/>
      <c r="AK700" s="536"/>
      <c r="AL700" s="536"/>
      <c r="AN700" s="597"/>
    </row>
    <row r="701" spans="1:51" s="550" customFormat="1" ht="12" customHeight="1">
      <c r="B701" s="536"/>
      <c r="C701" s="931"/>
      <c r="D701" s="536"/>
      <c r="E701" s="2424"/>
      <c r="F701" s="2424"/>
      <c r="G701" s="2424"/>
      <c r="H701" s="2424"/>
      <c r="I701" s="2424"/>
      <c r="J701" s="2424"/>
      <c r="K701" s="2424"/>
      <c r="L701" s="2424"/>
      <c r="M701" s="2424"/>
      <c r="N701" s="2424"/>
      <c r="O701" s="2424"/>
      <c r="P701" s="2424"/>
      <c r="Q701" s="2424"/>
      <c r="R701" s="2424"/>
      <c r="S701" s="2424"/>
      <c r="T701" s="2424"/>
      <c r="U701" s="2424"/>
      <c r="V701" s="2424"/>
      <c r="W701" s="2424"/>
      <c r="X701" s="2424"/>
      <c r="Y701" s="2424"/>
      <c r="Z701" s="2424"/>
      <c r="AA701" s="2424"/>
      <c r="AB701" s="2424"/>
      <c r="AC701" s="536"/>
      <c r="AD701" s="536"/>
      <c r="AE701" s="616"/>
      <c r="AF701" s="536"/>
      <c r="AG701" s="536"/>
      <c r="AH701" s="536"/>
      <c r="AI701" s="536"/>
      <c r="AJ701" s="536"/>
      <c r="AK701" s="536"/>
      <c r="AL701" s="536"/>
      <c r="AN701" s="597"/>
    </row>
    <row r="702" spans="1:51" s="550" customFormat="1" ht="12" customHeight="1">
      <c r="B702" s="536"/>
      <c r="C702" s="931"/>
      <c r="D702" s="536"/>
      <c r="E702" s="2424"/>
      <c r="F702" s="2424"/>
      <c r="G702" s="2424"/>
      <c r="H702" s="2424"/>
      <c r="I702" s="2424"/>
      <c r="J702" s="2424"/>
      <c r="K702" s="2424"/>
      <c r="L702" s="2424"/>
      <c r="M702" s="2424"/>
      <c r="N702" s="2424"/>
      <c r="O702" s="2424"/>
      <c r="P702" s="2424"/>
      <c r="Q702" s="2424"/>
      <c r="R702" s="2424"/>
      <c r="S702" s="2424"/>
      <c r="T702" s="2424"/>
      <c r="U702" s="2424"/>
      <c r="V702" s="2424"/>
      <c r="W702" s="2424"/>
      <c r="X702" s="2424"/>
      <c r="Y702" s="2424"/>
      <c r="Z702" s="2424"/>
      <c r="AA702" s="2424"/>
      <c r="AB702" s="2424"/>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24"/>
      <c r="F703" s="2424"/>
      <c r="G703" s="2424"/>
      <c r="H703" s="2424"/>
      <c r="I703" s="2424"/>
      <c r="J703" s="2424"/>
      <c r="K703" s="2424"/>
      <c r="L703" s="2424"/>
      <c r="M703" s="2424"/>
      <c r="N703" s="2424"/>
      <c r="O703" s="2424"/>
      <c r="P703" s="2424"/>
      <c r="Q703" s="2424"/>
      <c r="R703" s="2424"/>
      <c r="S703" s="2424"/>
      <c r="T703" s="2424"/>
      <c r="U703" s="2424"/>
      <c r="V703" s="2424"/>
      <c r="W703" s="2424"/>
      <c r="X703" s="2424"/>
      <c r="Y703" s="2424"/>
      <c r="Z703" s="2424"/>
      <c r="AA703" s="2424"/>
      <c r="AB703" s="2424"/>
      <c r="AC703" s="536"/>
      <c r="AD703" s="536"/>
      <c r="AE703" s="616"/>
      <c r="AF703" s="616"/>
      <c r="AG703" s="616"/>
      <c r="AH703" s="616"/>
      <c r="AI703" s="616"/>
      <c r="AJ703" s="536"/>
      <c r="AK703" s="536"/>
      <c r="AL703" s="536"/>
      <c r="AM703" s="550"/>
      <c r="AN703" s="684"/>
      <c r="AO703" s="550" t="s">
        <v>590</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686</v>
      </c>
      <c r="AP704" s="550">
        <v>3</v>
      </c>
    </row>
    <row r="705" spans="1:43" s="570" customFormat="1" ht="12.75" customHeight="1">
      <c r="A705" s="550"/>
      <c r="B705" s="536"/>
      <c r="C705" s="931"/>
      <c r="D705" s="536"/>
      <c r="E705" s="2424" t="s">
        <v>1693</v>
      </c>
      <c r="F705" s="2424"/>
      <c r="G705" s="2424"/>
      <c r="H705" s="2424"/>
      <c r="I705" s="2424"/>
      <c r="J705" s="2424"/>
      <c r="K705" s="2424"/>
      <c r="L705" s="2424"/>
      <c r="M705" s="2424"/>
      <c r="N705" s="2424"/>
      <c r="O705" s="2424"/>
      <c r="P705" s="2424"/>
      <c r="Q705" s="2424"/>
      <c r="R705" s="2424"/>
      <c r="S705" s="2424"/>
      <c r="T705" s="2424"/>
      <c r="U705" s="2424"/>
      <c r="V705" s="2424"/>
      <c r="W705" s="2424"/>
      <c r="X705" s="2424"/>
      <c r="Y705" s="2424"/>
      <c r="Z705" s="2424"/>
      <c r="AA705" s="2424"/>
      <c r="AB705" s="2424"/>
      <c r="AC705" s="536"/>
      <c r="AD705" s="536"/>
      <c r="AE705" s="616"/>
      <c r="AF705" s="616"/>
      <c r="AG705" s="616"/>
      <c r="AH705" s="616"/>
      <c r="AI705" s="616"/>
      <c r="AJ705" s="536"/>
      <c r="AK705" s="536"/>
      <c r="AL705" s="536"/>
      <c r="AM705" s="550"/>
      <c r="AN705" s="684"/>
      <c r="AO705" s="611" t="s">
        <v>508</v>
      </c>
      <c r="AP705" s="550">
        <f>3*$AO$695</f>
        <v>3</v>
      </c>
    </row>
    <row r="706" spans="1:43" s="570" customFormat="1" ht="12.75" customHeight="1">
      <c r="A706" s="550"/>
      <c r="B706" s="536"/>
      <c r="C706" s="931"/>
      <c r="D706" s="536"/>
      <c r="E706" s="2424"/>
      <c r="F706" s="2424"/>
      <c r="G706" s="2424"/>
      <c r="H706" s="2424"/>
      <c r="I706" s="2424"/>
      <c r="J706" s="2424"/>
      <c r="K706" s="2424"/>
      <c r="L706" s="2424"/>
      <c r="M706" s="2424"/>
      <c r="N706" s="2424"/>
      <c r="O706" s="2424"/>
      <c r="P706" s="2424"/>
      <c r="Q706" s="2424"/>
      <c r="R706" s="2424"/>
      <c r="S706" s="2424"/>
      <c r="T706" s="2424"/>
      <c r="U706" s="2424"/>
      <c r="V706" s="2424"/>
      <c r="W706" s="2424"/>
      <c r="X706" s="2424"/>
      <c r="Y706" s="2424"/>
      <c r="Z706" s="2424"/>
      <c r="AA706" s="2424"/>
      <c r="AB706" s="2424"/>
      <c r="AC706" s="536"/>
      <c r="AD706" s="536"/>
      <c r="AE706" s="616"/>
      <c r="AF706" s="616"/>
      <c r="AG706" s="616"/>
      <c r="AH706" s="616"/>
      <c r="AI706" s="616"/>
      <c r="AJ706" s="536"/>
      <c r="AK706" s="536"/>
      <c r="AL706" s="536"/>
      <c r="AM706" s="550"/>
      <c r="AN706" s="684"/>
      <c r="AO706" s="611" t="s">
        <v>277</v>
      </c>
      <c r="AP706" s="550">
        <f>2*$AO$695</f>
        <v>2</v>
      </c>
    </row>
    <row r="707" spans="1:43" s="570" customFormat="1" ht="12.75" customHeight="1">
      <c r="A707" s="550"/>
      <c r="B707" s="536"/>
      <c r="C707" s="931"/>
      <c r="D707" s="536"/>
      <c r="E707" s="2424"/>
      <c r="F707" s="2424"/>
      <c r="G707" s="2424"/>
      <c r="H707" s="2424"/>
      <c r="I707" s="2424"/>
      <c r="J707" s="2424"/>
      <c r="K707" s="2424"/>
      <c r="L707" s="2424"/>
      <c r="M707" s="2424"/>
      <c r="N707" s="2424"/>
      <c r="O707" s="2424"/>
      <c r="P707" s="2424"/>
      <c r="Q707" s="2424"/>
      <c r="R707" s="2424"/>
      <c r="S707" s="2424"/>
      <c r="T707" s="2424"/>
      <c r="U707" s="2424"/>
      <c r="V707" s="2424"/>
      <c r="W707" s="2424"/>
      <c r="X707" s="2424"/>
      <c r="Y707" s="2424"/>
      <c r="Z707" s="2424"/>
      <c r="AA707" s="2424"/>
      <c r="AB707" s="2424"/>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448" t="s">
        <v>590</v>
      </c>
      <c r="I709" s="2448"/>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2136</v>
      </c>
      <c r="AJ711" s="2431">
        <f>VLOOKUP($H$709,$AO$703:$AP$706,2,FALSE)</f>
        <v>0</v>
      </c>
      <c r="AK711" s="2433"/>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686</v>
      </c>
      <c r="E715" s="2536" t="s">
        <v>1695</v>
      </c>
      <c r="F715" s="2536"/>
      <c r="G715" s="2536"/>
      <c r="H715" s="2536"/>
      <c r="I715" s="2536"/>
      <c r="J715" s="2536"/>
      <c r="K715" s="2536"/>
      <c r="L715" s="2536"/>
      <c r="M715" s="2536"/>
      <c r="N715" s="2536"/>
      <c r="O715" s="2536"/>
      <c r="P715" s="2536"/>
      <c r="Q715" s="2536"/>
      <c r="R715" s="2536"/>
      <c r="S715" s="2536"/>
      <c r="T715" s="2536"/>
      <c r="U715" s="2536"/>
      <c r="V715" s="2536"/>
      <c r="W715" s="2536"/>
      <c r="X715" s="2536"/>
      <c r="Y715" s="2536"/>
      <c r="Z715" s="2536"/>
      <c r="AA715" s="2536"/>
      <c r="AB715" s="2536"/>
      <c r="AC715" s="536"/>
      <c r="AD715" s="536"/>
      <c r="AE715" s="536"/>
      <c r="AF715" s="2524" t="s">
        <v>1352</v>
      </c>
      <c r="AG715" s="2524"/>
      <c r="AH715" s="2524"/>
      <c r="AI715" s="2524"/>
      <c r="AJ715" s="2524"/>
      <c r="AK715" s="2524"/>
      <c r="AL715" s="2524"/>
      <c r="AM715" s="550"/>
      <c r="AN715" s="684"/>
      <c r="AP715" s="570" t="s">
        <v>1432</v>
      </c>
    </row>
    <row r="716" spans="1:43" s="570" customFormat="1" ht="11.85" customHeight="1">
      <c r="A716" s="550"/>
      <c r="B716" s="536"/>
      <c r="C716" s="933"/>
      <c r="D716" s="663"/>
      <c r="E716" s="2536"/>
      <c r="F716" s="2536"/>
      <c r="G716" s="2536"/>
      <c r="H716" s="2536"/>
      <c r="I716" s="2536"/>
      <c r="J716" s="2536"/>
      <c r="K716" s="2536"/>
      <c r="L716" s="2536"/>
      <c r="M716" s="2536"/>
      <c r="N716" s="2536"/>
      <c r="O716" s="2536"/>
      <c r="P716" s="2536"/>
      <c r="Q716" s="2536"/>
      <c r="R716" s="2536"/>
      <c r="S716" s="2536"/>
      <c r="T716" s="2536"/>
      <c r="U716" s="2536"/>
      <c r="V716" s="2536"/>
      <c r="W716" s="2536"/>
      <c r="X716" s="2536"/>
      <c r="Y716" s="2536"/>
      <c r="Z716" s="2536"/>
      <c r="AA716" s="2536"/>
      <c r="AB716" s="2536"/>
      <c r="AC716" s="536"/>
      <c r="AD716" s="536"/>
      <c r="AE716" s="536"/>
      <c r="AF716" s="536"/>
      <c r="AG716" s="536"/>
      <c r="AH716" s="536"/>
      <c r="AI716" s="536"/>
      <c r="AJ716" s="536"/>
      <c r="AK716" s="536"/>
      <c r="AL716" s="536"/>
      <c r="AM716" s="550"/>
      <c r="AN716" s="684"/>
      <c r="AP716" s="570" t="s">
        <v>1433</v>
      </c>
    </row>
    <row r="717" spans="1:43" s="570" customFormat="1" ht="13.9" customHeight="1">
      <c r="A717" s="550"/>
      <c r="B717" s="610"/>
      <c r="C717" s="931"/>
      <c r="D717" s="663"/>
      <c r="E717" s="2536"/>
      <c r="F717" s="2536"/>
      <c r="G717" s="2536"/>
      <c r="H717" s="2536"/>
      <c r="I717" s="2536"/>
      <c r="J717" s="2536"/>
      <c r="K717" s="2536"/>
      <c r="L717" s="2536"/>
      <c r="M717" s="2536"/>
      <c r="N717" s="2536"/>
      <c r="O717" s="2536"/>
      <c r="P717" s="2536"/>
      <c r="Q717" s="2536"/>
      <c r="R717" s="2536"/>
      <c r="S717" s="2536"/>
      <c r="T717" s="2536"/>
      <c r="U717" s="2536"/>
      <c r="V717" s="2536"/>
      <c r="W717" s="2536"/>
      <c r="X717" s="2536"/>
      <c r="Y717" s="2536"/>
      <c r="Z717" s="2536"/>
      <c r="AA717" s="2536"/>
      <c r="AB717" s="2536"/>
      <c r="AC717" s="536"/>
      <c r="AD717" s="536"/>
      <c r="AE717" s="616"/>
      <c r="AF717" s="536"/>
      <c r="AG717" s="536"/>
      <c r="AH717" s="536"/>
      <c r="AI717" s="536"/>
      <c r="AJ717" s="536"/>
      <c r="AK717" s="536"/>
      <c r="AL717" s="536"/>
      <c r="AM717" s="550"/>
      <c r="AN717" s="684"/>
      <c r="AP717" s="570" t="s">
        <v>1434</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3.9" customHeight="1">
      <c r="A719" s="550"/>
      <c r="B719" s="536"/>
      <c r="C719" s="931"/>
      <c r="D719" s="663" t="s">
        <v>508</v>
      </c>
      <c r="E719" s="2537" t="s">
        <v>1435</v>
      </c>
      <c r="F719" s="2537"/>
      <c r="G719" s="2537"/>
      <c r="H719" s="2537"/>
      <c r="I719" s="2537"/>
      <c r="J719" s="2537"/>
      <c r="K719" s="2537"/>
      <c r="L719" s="2537"/>
      <c r="M719" s="2537"/>
      <c r="N719" s="2537"/>
      <c r="O719" s="2537"/>
      <c r="P719" s="2537"/>
      <c r="Q719" s="2537"/>
      <c r="R719" s="2537"/>
      <c r="S719" s="2537"/>
      <c r="T719" s="2537"/>
      <c r="U719" s="2537"/>
      <c r="V719" s="2537"/>
      <c r="W719" s="2537"/>
      <c r="X719" s="2537"/>
      <c r="Y719" s="2537"/>
      <c r="Z719" s="2537"/>
      <c r="AA719" s="2537"/>
      <c r="AB719" s="2537"/>
      <c r="AC719" s="536"/>
      <c r="AD719" s="536"/>
      <c r="AE719" s="536"/>
      <c r="AF719" s="2524" t="s">
        <v>1408</v>
      </c>
      <c r="AG719" s="2524"/>
      <c r="AH719" s="2524"/>
      <c r="AI719" s="2524"/>
      <c r="AJ719" s="2524"/>
      <c r="AK719" s="2524"/>
      <c r="AL719" s="2524"/>
      <c r="AM719" s="550"/>
      <c r="AN719" s="685"/>
    </row>
    <row r="720" spans="1:43" s="570" customFormat="1" ht="12.75" customHeight="1">
      <c r="A720" s="550"/>
      <c r="B720" s="536"/>
      <c r="C720" s="933"/>
      <c r="D720" s="536"/>
      <c r="E720" s="2537"/>
      <c r="F720" s="2537"/>
      <c r="G720" s="2537"/>
      <c r="H720" s="2537"/>
      <c r="I720" s="2537"/>
      <c r="J720" s="2537"/>
      <c r="K720" s="2537"/>
      <c r="L720" s="2537"/>
      <c r="M720" s="2537"/>
      <c r="N720" s="2537"/>
      <c r="O720" s="2537"/>
      <c r="P720" s="2537"/>
      <c r="Q720" s="2537"/>
      <c r="R720" s="2537"/>
      <c r="S720" s="2537"/>
      <c r="T720" s="2537"/>
      <c r="U720" s="2537"/>
      <c r="V720" s="2537"/>
      <c r="W720" s="2537"/>
      <c r="X720" s="2537"/>
      <c r="Y720" s="2537"/>
      <c r="Z720" s="2537"/>
      <c r="AA720" s="2537"/>
      <c r="AB720" s="2537"/>
      <c r="AC720" s="536"/>
      <c r="AD720" s="536"/>
      <c r="AE720" s="536"/>
      <c r="AF720" s="536"/>
      <c r="AG720" s="536"/>
      <c r="AH720" s="536"/>
      <c r="AI720" s="536"/>
      <c r="AJ720" s="536"/>
      <c r="AK720" s="536"/>
      <c r="AL720" s="536"/>
      <c r="AM720" s="550"/>
      <c r="AN720" s="684"/>
      <c r="AP720" s="550" t="s">
        <v>590</v>
      </c>
      <c r="AQ720" s="673">
        <v>0</v>
      </c>
    </row>
    <row r="721" spans="1:81" s="570" customFormat="1" ht="13.9" customHeight="1">
      <c r="A721" s="550"/>
      <c r="B721" s="536"/>
      <c r="C721" s="933"/>
      <c r="D721" s="536"/>
      <c r="E721" s="2537"/>
      <c r="F721" s="2537"/>
      <c r="G721" s="2537"/>
      <c r="H721" s="2537"/>
      <c r="I721" s="2537"/>
      <c r="J721" s="2537"/>
      <c r="K721" s="2537"/>
      <c r="L721" s="2537"/>
      <c r="M721" s="2537"/>
      <c r="N721" s="2537"/>
      <c r="O721" s="2537"/>
      <c r="P721" s="2537"/>
      <c r="Q721" s="2537"/>
      <c r="R721" s="2537"/>
      <c r="S721" s="2537"/>
      <c r="T721" s="2537"/>
      <c r="U721" s="2537"/>
      <c r="V721" s="2537"/>
      <c r="W721" s="2537"/>
      <c r="X721" s="2537"/>
      <c r="Y721" s="2537"/>
      <c r="Z721" s="2537"/>
      <c r="AA721" s="2537"/>
      <c r="AB721" s="2537"/>
      <c r="AC721" s="536"/>
      <c r="AD721" s="536"/>
      <c r="AE721" s="536"/>
      <c r="AF721" s="536"/>
      <c r="AG721" s="536"/>
      <c r="AH721" s="536"/>
      <c r="AI721" s="536"/>
      <c r="AJ721" s="536"/>
      <c r="AK721" s="536"/>
      <c r="AL721" s="536"/>
      <c r="AM721" s="550"/>
      <c r="AN721" s="684"/>
      <c r="AP721" s="611" t="s">
        <v>686</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508</v>
      </c>
      <c r="AQ722" s="550">
        <v>2</v>
      </c>
    </row>
    <row r="723" spans="1:81" s="570" customFormat="1" ht="13.9" customHeight="1">
      <c r="A723" s="550"/>
      <c r="B723" s="536"/>
      <c r="C723" s="933"/>
      <c r="D723" s="536" t="s">
        <v>1400</v>
      </c>
      <c r="E723" s="936"/>
      <c r="F723" s="936"/>
      <c r="G723" s="936"/>
      <c r="H723" s="2448" t="s">
        <v>590</v>
      </c>
      <c r="I723" s="2448"/>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31">
        <f>VLOOKUP($H$723,$AP$720:$AQ$722,2,FALSE)</f>
        <v>0</v>
      </c>
      <c r="AK725" s="2433"/>
      <c r="AL725" s="595"/>
      <c r="AM725" s="550"/>
      <c r="AN725" s="684"/>
      <c r="AP725" s="2431"/>
      <c r="AQ725" s="2433"/>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686</v>
      </c>
      <c r="E729" s="2424" t="s">
        <v>1696</v>
      </c>
      <c r="F729" s="2424"/>
      <c r="G729" s="2424"/>
      <c r="H729" s="2424"/>
      <c r="I729" s="2424"/>
      <c r="J729" s="2424"/>
      <c r="K729" s="2424"/>
      <c r="L729" s="2424"/>
      <c r="M729" s="2424"/>
      <c r="N729" s="2424"/>
      <c r="O729" s="2424"/>
      <c r="P729" s="2424"/>
      <c r="Q729" s="2424"/>
      <c r="R729" s="2424"/>
      <c r="S729" s="2424"/>
      <c r="T729" s="2424"/>
      <c r="U729" s="2424"/>
      <c r="V729" s="2424"/>
      <c r="W729" s="2424"/>
      <c r="X729" s="2424"/>
      <c r="Y729" s="2424"/>
      <c r="Z729" s="2424"/>
      <c r="AA729" s="2424"/>
      <c r="AB729" s="2424"/>
      <c r="AC729" s="536"/>
      <c r="AD729" s="536"/>
      <c r="AE729" s="536"/>
      <c r="AF729" s="2524" t="s">
        <v>1352</v>
      </c>
      <c r="AG729" s="2524"/>
      <c r="AH729" s="2524"/>
      <c r="AI729" s="2524"/>
      <c r="AJ729" s="2524"/>
      <c r="AK729" s="2524"/>
      <c r="AL729" s="2524"/>
      <c r="AM729" s="550"/>
      <c r="AN729" s="684"/>
      <c r="AT729" s="14"/>
      <c r="AU729" s="14"/>
      <c r="AV729" s="14"/>
      <c r="AW729" s="14"/>
      <c r="AX729" s="14"/>
      <c r="AY729" s="14"/>
      <c r="AZ729" s="14"/>
    </row>
    <row r="730" spans="1:81" s="570" customFormat="1">
      <c r="A730" s="550"/>
      <c r="B730" s="536"/>
      <c r="C730" s="933"/>
      <c r="D730" s="663"/>
      <c r="E730" s="2424"/>
      <c r="F730" s="2424"/>
      <c r="G730" s="2424"/>
      <c r="H730" s="2424"/>
      <c r="I730" s="2424"/>
      <c r="J730" s="2424"/>
      <c r="K730" s="2424"/>
      <c r="L730" s="2424"/>
      <c r="M730" s="2424"/>
      <c r="N730" s="2424"/>
      <c r="O730" s="2424"/>
      <c r="P730" s="2424"/>
      <c r="Q730" s="2424"/>
      <c r="R730" s="2424"/>
      <c r="S730" s="2424"/>
      <c r="T730" s="2424"/>
      <c r="U730" s="2424"/>
      <c r="V730" s="2424"/>
      <c r="W730" s="2424"/>
      <c r="X730" s="2424"/>
      <c r="Y730" s="2424"/>
      <c r="Z730" s="2424"/>
      <c r="AA730" s="2424"/>
      <c r="AB730" s="2424"/>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508</v>
      </c>
      <c r="E732" s="2424" t="s">
        <v>1439</v>
      </c>
      <c r="F732" s="2424"/>
      <c r="G732" s="2424"/>
      <c r="H732" s="2424"/>
      <c r="I732" s="2424"/>
      <c r="J732" s="2424"/>
      <c r="K732" s="2424"/>
      <c r="L732" s="2424"/>
      <c r="M732" s="2424"/>
      <c r="N732" s="2424"/>
      <c r="O732" s="2424"/>
      <c r="P732" s="2424"/>
      <c r="Q732" s="2424"/>
      <c r="R732" s="2424"/>
      <c r="S732" s="2424"/>
      <c r="T732" s="2424"/>
      <c r="U732" s="2424"/>
      <c r="V732" s="2424"/>
      <c r="W732" s="2424"/>
      <c r="X732" s="2424"/>
      <c r="Y732" s="2424"/>
      <c r="Z732" s="2424"/>
      <c r="AA732" s="2424"/>
      <c r="AB732" s="2424"/>
      <c r="AC732" s="536"/>
      <c r="AD732" s="536"/>
      <c r="AE732" s="536"/>
      <c r="AF732" s="2524" t="s">
        <v>1408</v>
      </c>
      <c r="AG732" s="2524"/>
      <c r="AH732" s="2524"/>
      <c r="AI732" s="2524"/>
      <c r="AJ732" s="2524"/>
      <c r="AK732" s="2524"/>
      <c r="AL732" s="2524"/>
      <c r="AM732" s="550"/>
      <c r="AN732" s="684"/>
      <c r="AT732" s="14"/>
      <c r="AU732" s="14"/>
      <c r="AV732" s="14"/>
      <c r="AW732" s="14"/>
      <c r="AX732" s="14"/>
      <c r="AY732" s="14"/>
      <c r="AZ732" s="14"/>
    </row>
    <row r="733" spans="1:81" s="570" customFormat="1">
      <c r="A733" s="550"/>
      <c r="B733" s="536"/>
      <c r="C733" s="933"/>
      <c r="D733" s="536"/>
      <c r="E733" s="2424"/>
      <c r="F733" s="2424"/>
      <c r="G733" s="2424"/>
      <c r="H733" s="2424"/>
      <c r="I733" s="2424"/>
      <c r="J733" s="2424"/>
      <c r="K733" s="2424"/>
      <c r="L733" s="2424"/>
      <c r="M733" s="2424"/>
      <c r="N733" s="2424"/>
      <c r="O733" s="2424"/>
      <c r="P733" s="2424"/>
      <c r="Q733" s="2424"/>
      <c r="R733" s="2424"/>
      <c r="S733" s="2424"/>
      <c r="T733" s="2424"/>
      <c r="U733" s="2424"/>
      <c r="V733" s="2424"/>
      <c r="W733" s="2424"/>
      <c r="X733" s="2424"/>
      <c r="Y733" s="2424"/>
      <c r="Z733" s="2424"/>
      <c r="AA733" s="2424"/>
      <c r="AB733" s="2424"/>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448" t="s">
        <v>590</v>
      </c>
      <c r="I735" s="2448"/>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31">
        <f>VLOOKUP($H$735,$AO$666:$AP$668,2,FALSE)</f>
        <v>0</v>
      </c>
      <c r="AK737" s="2433"/>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686</v>
      </c>
      <c r="E741" s="2424" t="s">
        <v>1442</v>
      </c>
      <c r="F741" s="2424"/>
      <c r="G741" s="2424"/>
      <c r="H741" s="2424"/>
      <c r="I741" s="2424"/>
      <c r="J741" s="2424"/>
      <c r="K741" s="2424"/>
      <c r="L741" s="2424"/>
      <c r="M741" s="2424"/>
      <c r="N741" s="2424"/>
      <c r="O741" s="2424"/>
      <c r="P741" s="2424"/>
      <c r="Q741" s="2424"/>
      <c r="R741" s="2424"/>
      <c r="S741" s="2424"/>
      <c r="T741" s="2424"/>
      <c r="U741" s="2424"/>
      <c r="V741" s="2424"/>
      <c r="W741" s="2424"/>
      <c r="X741" s="2424"/>
      <c r="Y741" s="2424"/>
      <c r="Z741" s="2424"/>
      <c r="AA741" s="2424"/>
      <c r="AB741" s="2424"/>
      <c r="AC741" s="536"/>
      <c r="AD741" s="536"/>
      <c r="AE741" s="536"/>
      <c r="AF741" s="2524" t="s">
        <v>1352</v>
      </c>
      <c r="AG741" s="2524"/>
      <c r="AH741" s="2524"/>
      <c r="AI741" s="2524"/>
      <c r="AJ741" s="2524"/>
      <c r="AK741" s="2524"/>
      <c r="AL741" s="2524"/>
      <c r="AM741" s="550"/>
      <c r="AN741" s="684"/>
      <c r="AT741" s="14"/>
      <c r="AU741" s="14"/>
      <c r="AV741" s="14"/>
      <c r="AW741" s="14"/>
      <c r="AX741" s="14"/>
      <c r="AY741" s="14"/>
      <c r="AZ741" s="14"/>
    </row>
    <row r="742" spans="1:81" s="570" customFormat="1">
      <c r="A742" s="550"/>
      <c r="B742" s="536"/>
      <c r="C742" s="931"/>
      <c r="D742" s="663"/>
      <c r="E742" s="2424"/>
      <c r="F742" s="2424"/>
      <c r="G742" s="2424"/>
      <c r="H742" s="2424"/>
      <c r="I742" s="2424"/>
      <c r="J742" s="2424"/>
      <c r="K742" s="2424"/>
      <c r="L742" s="2424"/>
      <c r="M742" s="2424"/>
      <c r="N742" s="2424"/>
      <c r="O742" s="2424"/>
      <c r="P742" s="2424"/>
      <c r="Q742" s="2424"/>
      <c r="R742" s="2424"/>
      <c r="S742" s="2424"/>
      <c r="T742" s="2424"/>
      <c r="U742" s="2424"/>
      <c r="V742" s="2424"/>
      <c r="W742" s="2424"/>
      <c r="X742" s="2424"/>
      <c r="Y742" s="2424"/>
      <c r="Z742" s="2424"/>
      <c r="AA742" s="2424"/>
      <c r="AB742" s="2424"/>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24"/>
      <c r="F743" s="2424"/>
      <c r="G743" s="2424"/>
      <c r="H743" s="2424"/>
      <c r="I743" s="2424"/>
      <c r="J743" s="2424"/>
      <c r="K743" s="2424"/>
      <c r="L743" s="2424"/>
      <c r="M743" s="2424"/>
      <c r="N743" s="2424"/>
      <c r="O743" s="2424"/>
      <c r="P743" s="2424"/>
      <c r="Q743" s="2424"/>
      <c r="R743" s="2424"/>
      <c r="S743" s="2424"/>
      <c r="T743" s="2424"/>
      <c r="U743" s="2424"/>
      <c r="V743" s="2424"/>
      <c r="W743" s="2424"/>
      <c r="X743" s="2424"/>
      <c r="Y743" s="2424"/>
      <c r="Z743" s="2424"/>
      <c r="AA743" s="2424"/>
      <c r="AB743" s="2424"/>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4"/>
      <c r="F744" s="2424"/>
      <c r="G744" s="2424"/>
      <c r="H744" s="2424"/>
      <c r="I744" s="2424"/>
      <c r="J744" s="2424"/>
      <c r="K744" s="2424"/>
      <c r="L744" s="2424"/>
      <c r="M744" s="2424"/>
      <c r="N744" s="2424"/>
      <c r="O744" s="2424"/>
      <c r="P744" s="2424"/>
      <c r="Q744" s="2424"/>
      <c r="R744" s="2424"/>
      <c r="S744" s="2424"/>
      <c r="T744" s="2424"/>
      <c r="U744" s="2424"/>
      <c r="V744" s="2424"/>
      <c r="W744" s="2424"/>
      <c r="X744" s="2424"/>
      <c r="Y744" s="2424"/>
      <c r="Z744" s="2424"/>
      <c r="AA744" s="2424"/>
      <c r="AB744" s="2424"/>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508</v>
      </c>
      <c r="E746" s="2424" t="s">
        <v>1443</v>
      </c>
      <c r="F746" s="2424"/>
      <c r="G746" s="2424"/>
      <c r="H746" s="2424"/>
      <c r="I746" s="2424"/>
      <c r="J746" s="2424"/>
      <c r="K746" s="2424"/>
      <c r="L746" s="2424"/>
      <c r="M746" s="2424"/>
      <c r="N746" s="2424"/>
      <c r="O746" s="2424"/>
      <c r="P746" s="2424"/>
      <c r="Q746" s="2424"/>
      <c r="R746" s="2424"/>
      <c r="S746" s="2424"/>
      <c r="T746" s="2424"/>
      <c r="U746" s="2424"/>
      <c r="V746" s="2424"/>
      <c r="W746" s="2424"/>
      <c r="X746" s="2424"/>
      <c r="Y746" s="2424"/>
      <c r="Z746" s="2424"/>
      <c r="AA746" s="2424"/>
      <c r="AB746" s="575"/>
      <c r="AC746" s="536"/>
      <c r="AD746" s="536"/>
      <c r="AE746" s="536"/>
      <c r="AF746" s="2524" t="s">
        <v>1408</v>
      </c>
      <c r="AG746" s="2524"/>
      <c r="AH746" s="2524"/>
      <c r="AI746" s="2524"/>
      <c r="AJ746" s="2524"/>
      <c r="AK746" s="2524"/>
      <c r="AL746" s="2524"/>
      <c r="AM746" s="550"/>
      <c r="AN746" s="684"/>
      <c r="AO746" s="30"/>
      <c r="AP746" s="14"/>
    </row>
    <row r="747" spans="1:81" s="570" customFormat="1">
      <c r="A747" s="550"/>
      <c r="B747" s="536"/>
      <c r="C747" s="931"/>
      <c r="D747" s="663"/>
      <c r="E747" s="2424"/>
      <c r="F747" s="2424"/>
      <c r="G747" s="2424"/>
      <c r="H747" s="2424"/>
      <c r="I747" s="2424"/>
      <c r="J747" s="2424"/>
      <c r="K747" s="2424"/>
      <c r="L747" s="2424"/>
      <c r="M747" s="2424"/>
      <c r="N747" s="2424"/>
      <c r="O747" s="2424"/>
      <c r="P747" s="2424"/>
      <c r="Q747" s="2424"/>
      <c r="R747" s="2424"/>
      <c r="S747" s="2424"/>
      <c r="T747" s="2424"/>
      <c r="U747" s="2424"/>
      <c r="V747" s="2424"/>
      <c r="W747" s="2424"/>
      <c r="X747" s="2424"/>
      <c r="Y747" s="2424"/>
      <c r="Z747" s="2424"/>
      <c r="AA747" s="2424"/>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24"/>
      <c r="F748" s="2424"/>
      <c r="G748" s="2424"/>
      <c r="H748" s="2424"/>
      <c r="I748" s="2424"/>
      <c r="J748" s="2424"/>
      <c r="K748" s="2424"/>
      <c r="L748" s="2424"/>
      <c r="M748" s="2424"/>
      <c r="N748" s="2424"/>
      <c r="O748" s="2424"/>
      <c r="P748" s="2424"/>
      <c r="Q748" s="2424"/>
      <c r="R748" s="2424"/>
      <c r="S748" s="2424"/>
      <c r="T748" s="2424"/>
      <c r="U748" s="2424"/>
      <c r="V748" s="2424"/>
      <c r="W748" s="2424"/>
      <c r="X748" s="2424"/>
      <c r="Y748" s="2424"/>
      <c r="Z748" s="2424"/>
      <c r="AA748" s="2424"/>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24"/>
      <c r="F749" s="2424"/>
      <c r="G749" s="2424"/>
      <c r="H749" s="2424"/>
      <c r="I749" s="2424"/>
      <c r="J749" s="2424"/>
      <c r="K749" s="2424"/>
      <c r="L749" s="2424"/>
      <c r="M749" s="2424"/>
      <c r="N749" s="2424"/>
      <c r="O749" s="2424"/>
      <c r="P749" s="2424"/>
      <c r="Q749" s="2424"/>
      <c r="R749" s="2424"/>
      <c r="S749" s="2424"/>
      <c r="T749" s="2424"/>
      <c r="U749" s="2424"/>
      <c r="V749" s="2424"/>
      <c r="W749" s="2424"/>
      <c r="X749" s="2424"/>
      <c r="Y749" s="2424"/>
      <c r="Z749" s="2424"/>
      <c r="AA749" s="2424"/>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448" t="s">
        <v>508</v>
      </c>
      <c r="I751" s="2448"/>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31">
        <f>VLOOKUP($H$751,$AO$680:$AP$682,2,FALSE)</f>
        <v>2</v>
      </c>
      <c r="AK753" s="2433"/>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686</v>
      </c>
      <c r="E757" s="2424" t="s">
        <v>1445</v>
      </c>
      <c r="F757" s="2424"/>
      <c r="G757" s="2424"/>
      <c r="H757" s="2424"/>
      <c r="I757" s="2424"/>
      <c r="J757" s="2424"/>
      <c r="K757" s="2424"/>
      <c r="L757" s="2424"/>
      <c r="M757" s="2424"/>
      <c r="N757" s="2424"/>
      <c r="O757" s="2424"/>
      <c r="P757" s="2424"/>
      <c r="Q757" s="2424"/>
      <c r="R757" s="2424"/>
      <c r="S757" s="2424"/>
      <c r="T757" s="2424"/>
      <c r="U757" s="2424"/>
      <c r="V757" s="2424"/>
      <c r="W757" s="2424"/>
      <c r="X757" s="2424"/>
      <c r="Y757" s="2424"/>
      <c r="Z757" s="2424"/>
      <c r="AA757" s="2424"/>
      <c r="AB757" s="2424"/>
      <c r="AC757" s="536"/>
      <c r="AD757" s="536"/>
      <c r="AE757" s="536"/>
      <c r="AF757" s="2524" t="s">
        <v>1408</v>
      </c>
      <c r="AG757" s="2524"/>
      <c r="AH757" s="2524"/>
      <c r="AI757" s="2524"/>
      <c r="AJ757" s="2524"/>
      <c r="AK757" s="2524"/>
      <c r="AL757" s="2524"/>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24"/>
      <c r="F758" s="2424"/>
      <c r="G758" s="2424"/>
      <c r="H758" s="2424"/>
      <c r="I758" s="2424"/>
      <c r="J758" s="2424"/>
      <c r="K758" s="2424"/>
      <c r="L758" s="2424"/>
      <c r="M758" s="2424"/>
      <c r="N758" s="2424"/>
      <c r="O758" s="2424"/>
      <c r="P758" s="2424"/>
      <c r="Q758" s="2424"/>
      <c r="R758" s="2424"/>
      <c r="S758" s="2424"/>
      <c r="T758" s="2424"/>
      <c r="U758" s="2424"/>
      <c r="V758" s="2424"/>
      <c r="W758" s="2424"/>
      <c r="X758" s="2424"/>
      <c r="Y758" s="2424"/>
      <c r="Z758" s="2424"/>
      <c r="AA758" s="2424"/>
      <c r="AB758" s="2424"/>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508</v>
      </c>
      <c r="E760" s="2424" t="s">
        <v>1446</v>
      </c>
      <c r="F760" s="2424"/>
      <c r="G760" s="2424"/>
      <c r="H760" s="2424"/>
      <c r="I760" s="2424"/>
      <c r="J760" s="2424"/>
      <c r="K760" s="2424"/>
      <c r="L760" s="2424"/>
      <c r="M760" s="2424"/>
      <c r="N760" s="2424"/>
      <c r="O760" s="2424"/>
      <c r="P760" s="2424"/>
      <c r="Q760" s="2424"/>
      <c r="R760" s="2424"/>
      <c r="S760" s="2424"/>
      <c r="T760" s="2424"/>
      <c r="U760" s="2424"/>
      <c r="V760" s="2424"/>
      <c r="W760" s="2424"/>
      <c r="X760" s="2424"/>
      <c r="Y760" s="2424"/>
      <c r="Z760" s="2424"/>
      <c r="AA760" s="2424"/>
      <c r="AB760" s="2424"/>
      <c r="AC760" s="536"/>
      <c r="AD760" s="536"/>
      <c r="AE760" s="536"/>
      <c r="AF760" s="2524" t="s">
        <v>1425</v>
      </c>
      <c r="AG760" s="2524"/>
      <c r="AH760" s="2524"/>
      <c r="AI760" s="2524"/>
      <c r="AJ760" s="2524"/>
      <c r="AK760" s="2524"/>
      <c r="AL760" s="2524"/>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4"/>
      <c r="F761" s="2424"/>
      <c r="G761" s="2424"/>
      <c r="H761" s="2424"/>
      <c r="I761" s="2424"/>
      <c r="J761" s="2424"/>
      <c r="K761" s="2424"/>
      <c r="L761" s="2424"/>
      <c r="M761" s="2424"/>
      <c r="N761" s="2424"/>
      <c r="O761" s="2424"/>
      <c r="P761" s="2424"/>
      <c r="Q761" s="2424"/>
      <c r="R761" s="2424"/>
      <c r="S761" s="2424"/>
      <c r="T761" s="2424"/>
      <c r="U761" s="2424"/>
      <c r="V761" s="2424"/>
      <c r="W761" s="2424"/>
      <c r="X761" s="2424"/>
      <c r="Y761" s="2424"/>
      <c r="Z761" s="2424"/>
      <c r="AA761" s="2424"/>
      <c r="AB761" s="2424"/>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448" t="s">
        <v>686</v>
      </c>
      <c r="I763" s="2448"/>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31">
        <f>VLOOKUP($H$763,$AO$697:$AP$699,2,FALSE)</f>
        <v>2</v>
      </c>
      <c r="AK765" s="2433"/>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686</v>
      </c>
      <c r="E769" s="2424" t="s">
        <v>1692</v>
      </c>
      <c r="F769" s="2424"/>
      <c r="G769" s="2424"/>
      <c r="H769" s="2424"/>
      <c r="I769" s="2424"/>
      <c r="J769" s="2424"/>
      <c r="K769" s="2424"/>
      <c r="L769" s="2424"/>
      <c r="M769" s="2424"/>
      <c r="N769" s="2424"/>
      <c r="O769" s="2424"/>
      <c r="P769" s="2424"/>
      <c r="Q769" s="2424"/>
      <c r="R769" s="2424"/>
      <c r="S769" s="2424"/>
      <c r="T769" s="2424"/>
      <c r="U769" s="2424"/>
      <c r="V769" s="2424"/>
      <c r="W769" s="2424"/>
      <c r="X769" s="2424"/>
      <c r="Y769" s="2424"/>
      <c r="Z769" s="2424"/>
      <c r="AA769" s="2424"/>
      <c r="AB769" s="2424"/>
      <c r="AC769" s="2424"/>
      <c r="AD769" s="2424"/>
      <c r="AE769" s="536"/>
      <c r="AF769" s="2524" t="s">
        <v>1408</v>
      </c>
      <c r="AG769" s="2524"/>
      <c r="AH769" s="2524"/>
      <c r="AI769" s="2524"/>
      <c r="AJ769" s="2524"/>
      <c r="AK769" s="2524"/>
      <c r="AL769" s="2524"/>
      <c r="AM769" s="613"/>
      <c r="AN769" s="684"/>
      <c r="AO769" s="550" t="s">
        <v>590</v>
      </c>
      <c r="AP769" s="673">
        <v>0</v>
      </c>
    </row>
    <row r="770" spans="1:81" s="570" customFormat="1" ht="13.7" customHeight="1">
      <c r="A770" s="550"/>
      <c r="B770" s="616"/>
      <c r="C770" s="940"/>
      <c r="D770" s="663"/>
      <c r="E770" s="2424"/>
      <c r="F770" s="2424"/>
      <c r="G770" s="2424"/>
      <c r="H770" s="2424"/>
      <c r="I770" s="2424"/>
      <c r="J770" s="2424"/>
      <c r="K770" s="2424"/>
      <c r="L770" s="2424"/>
      <c r="M770" s="2424"/>
      <c r="N770" s="2424"/>
      <c r="O770" s="2424"/>
      <c r="P770" s="2424"/>
      <c r="Q770" s="2424"/>
      <c r="R770" s="2424"/>
      <c r="S770" s="2424"/>
      <c r="T770" s="2424"/>
      <c r="U770" s="2424"/>
      <c r="V770" s="2424"/>
      <c r="W770" s="2424"/>
      <c r="X770" s="2424"/>
      <c r="Y770" s="2424"/>
      <c r="Z770" s="2424"/>
      <c r="AA770" s="2424"/>
      <c r="AB770" s="2424"/>
      <c r="AC770" s="2424"/>
      <c r="AD770" s="2424"/>
      <c r="AE770" s="536"/>
      <c r="AF770" s="594"/>
      <c r="AG770" s="594"/>
      <c r="AH770" s="594"/>
      <c r="AI770" s="594"/>
      <c r="AJ770" s="594"/>
      <c r="AK770" s="594"/>
      <c r="AL770" s="594"/>
      <c r="AM770" s="613"/>
      <c r="AN770" s="684"/>
      <c r="AO770" s="611" t="s">
        <v>686</v>
      </c>
      <c r="AP770" s="550">
        <v>2</v>
      </c>
    </row>
    <row r="771" spans="1:81" s="570" customFormat="1">
      <c r="A771" s="550"/>
      <c r="B771" s="616"/>
      <c r="C771" s="940"/>
      <c r="D771" s="663"/>
      <c r="E771" s="2424"/>
      <c r="F771" s="2424"/>
      <c r="G771" s="2424"/>
      <c r="H771" s="2424"/>
      <c r="I771" s="2424"/>
      <c r="J771" s="2424"/>
      <c r="K771" s="2424"/>
      <c r="L771" s="2424"/>
      <c r="M771" s="2424"/>
      <c r="N771" s="2424"/>
      <c r="O771" s="2424"/>
      <c r="P771" s="2424"/>
      <c r="Q771" s="2424"/>
      <c r="R771" s="2424"/>
      <c r="S771" s="2424"/>
      <c r="T771" s="2424"/>
      <c r="U771" s="2424"/>
      <c r="V771" s="2424"/>
      <c r="W771" s="2424"/>
      <c r="X771" s="2424"/>
      <c r="Y771" s="2424"/>
      <c r="Z771" s="2424"/>
      <c r="AA771" s="2424"/>
      <c r="AB771" s="2424"/>
      <c r="AC771" s="2424"/>
      <c r="AD771" s="2424"/>
      <c r="AE771" s="536"/>
      <c r="AF771" s="536"/>
      <c r="AG771" s="536"/>
      <c r="AH771" s="536"/>
      <c r="AI771" s="536"/>
      <c r="AJ771" s="536"/>
      <c r="AK771" s="536"/>
      <c r="AL771" s="594"/>
      <c r="AM771" s="613"/>
      <c r="AN771" s="534"/>
      <c r="AO771" s="611" t="s">
        <v>508</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24"/>
      <c r="F772" s="2424"/>
      <c r="G772" s="2424"/>
      <c r="H772" s="2424"/>
      <c r="I772" s="2424"/>
      <c r="J772" s="2424"/>
      <c r="K772" s="2424"/>
      <c r="L772" s="2424"/>
      <c r="M772" s="2424"/>
      <c r="N772" s="2424"/>
      <c r="O772" s="2424"/>
      <c r="P772" s="2424"/>
      <c r="Q772" s="2424"/>
      <c r="R772" s="2424"/>
      <c r="S772" s="2424"/>
      <c r="T772" s="2424"/>
      <c r="U772" s="2424"/>
      <c r="V772" s="2424"/>
      <c r="W772" s="2424"/>
      <c r="X772" s="2424"/>
      <c r="Y772" s="2424"/>
      <c r="Z772" s="2424"/>
      <c r="AA772" s="2424"/>
      <c r="AB772" s="2424"/>
      <c r="AC772" s="2424"/>
      <c r="AD772" s="2424"/>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508</v>
      </c>
      <c r="E774" s="2535" t="s">
        <v>1697</v>
      </c>
      <c r="F774" s="2535"/>
      <c r="G774" s="2535"/>
      <c r="H774" s="2535"/>
      <c r="I774" s="2535"/>
      <c r="J774" s="2535"/>
      <c r="K774" s="2535"/>
      <c r="L774" s="2535"/>
      <c r="M774" s="2535"/>
      <c r="N774" s="2535"/>
      <c r="O774" s="2535"/>
      <c r="P774" s="2535"/>
      <c r="Q774" s="2535"/>
      <c r="R774" s="2535"/>
      <c r="S774" s="2535"/>
      <c r="T774" s="2535"/>
      <c r="U774" s="2535"/>
      <c r="V774" s="2535"/>
      <c r="W774" s="2535"/>
      <c r="X774" s="2535"/>
      <c r="Y774" s="2535"/>
      <c r="Z774" s="2535"/>
      <c r="AA774" s="2535"/>
      <c r="AB774" s="2535"/>
      <c r="AC774" s="2535"/>
      <c r="AD774" s="2535"/>
      <c r="AE774" s="536"/>
      <c r="AF774" s="2524" t="s">
        <v>1352</v>
      </c>
      <c r="AG774" s="2524"/>
      <c r="AH774" s="2524"/>
      <c r="AI774" s="2524"/>
      <c r="AJ774" s="2524"/>
      <c r="AK774" s="2524"/>
      <c r="AL774" s="2524"/>
      <c r="AM774" s="613"/>
      <c r="AN774" s="597"/>
    </row>
    <row r="775" spans="1:81" s="550" customFormat="1" ht="12.75" customHeight="1">
      <c r="B775" s="616"/>
      <c r="C775" s="940"/>
      <c r="D775" s="663"/>
      <c r="E775" s="2535"/>
      <c r="F775" s="2535"/>
      <c r="G775" s="2535"/>
      <c r="H775" s="2535"/>
      <c r="I775" s="2535"/>
      <c r="J775" s="2535"/>
      <c r="K775" s="2535"/>
      <c r="L775" s="2535"/>
      <c r="M775" s="2535"/>
      <c r="N775" s="2535"/>
      <c r="O775" s="2535"/>
      <c r="P775" s="2535"/>
      <c r="Q775" s="2535"/>
      <c r="R775" s="2535"/>
      <c r="S775" s="2535"/>
      <c r="T775" s="2535"/>
      <c r="U775" s="2535"/>
      <c r="V775" s="2535"/>
      <c r="W775" s="2535"/>
      <c r="X775" s="2535"/>
      <c r="Y775" s="2535"/>
      <c r="Z775" s="2535"/>
      <c r="AA775" s="2535"/>
      <c r="AB775" s="2535"/>
      <c r="AC775" s="2535"/>
      <c r="AD775" s="2535"/>
      <c r="AE775" s="594"/>
      <c r="AF775" s="594"/>
      <c r="AG775" s="594"/>
      <c r="AH775" s="594"/>
      <c r="AI775" s="594"/>
      <c r="AJ775" s="594"/>
      <c r="AK775" s="594"/>
      <c r="AL775" s="594"/>
      <c r="AM775" s="613"/>
      <c r="AN775" s="597"/>
    </row>
    <row r="776" spans="1:81" s="550" customFormat="1" ht="12.75" customHeight="1">
      <c r="B776" s="616"/>
      <c r="C776" s="940"/>
      <c r="D776" s="663"/>
      <c r="E776" s="2535"/>
      <c r="F776" s="2535"/>
      <c r="G776" s="2535"/>
      <c r="H776" s="2535"/>
      <c r="I776" s="2535"/>
      <c r="J776" s="2535"/>
      <c r="K776" s="2535"/>
      <c r="L776" s="2535"/>
      <c r="M776" s="2535"/>
      <c r="N776" s="2535"/>
      <c r="O776" s="2535"/>
      <c r="P776" s="2535"/>
      <c r="Q776" s="2535"/>
      <c r="R776" s="2535"/>
      <c r="S776" s="2535"/>
      <c r="T776" s="2535"/>
      <c r="U776" s="2535"/>
      <c r="V776" s="2535"/>
      <c r="W776" s="2535"/>
      <c r="X776" s="2535"/>
      <c r="Y776" s="2535"/>
      <c r="Z776" s="2535"/>
      <c r="AA776" s="2535"/>
      <c r="AB776" s="2535"/>
      <c r="AC776" s="2535"/>
      <c r="AD776" s="2535"/>
      <c r="AE776" s="594"/>
      <c r="AF776" s="594"/>
      <c r="AG776" s="594"/>
      <c r="AH776" s="594"/>
      <c r="AI776" s="594"/>
      <c r="AJ776" s="594"/>
      <c r="AK776" s="594"/>
      <c r="AL776" s="594"/>
      <c r="AM776" s="613"/>
      <c r="AN776" s="597"/>
    </row>
    <row r="777" spans="1:81" s="550" customFormat="1" ht="12.75" customHeight="1">
      <c r="B777" s="616"/>
      <c r="C777" s="940"/>
      <c r="D777" s="663"/>
      <c r="E777" s="2535"/>
      <c r="F777" s="2535"/>
      <c r="G777" s="2535"/>
      <c r="H777" s="2535"/>
      <c r="I777" s="2535"/>
      <c r="J777" s="2535"/>
      <c r="K777" s="2535"/>
      <c r="L777" s="2535"/>
      <c r="M777" s="2535"/>
      <c r="N777" s="2535"/>
      <c r="O777" s="2535"/>
      <c r="P777" s="2535"/>
      <c r="Q777" s="2535"/>
      <c r="R777" s="2535"/>
      <c r="S777" s="2535"/>
      <c r="T777" s="2535"/>
      <c r="U777" s="2535"/>
      <c r="V777" s="2535"/>
      <c r="W777" s="2535"/>
      <c r="X777" s="2535"/>
      <c r="Y777" s="2535"/>
      <c r="Z777" s="2535"/>
      <c r="AA777" s="2535"/>
      <c r="AB777" s="2535"/>
      <c r="AC777" s="2535"/>
      <c r="AD777" s="2535"/>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448" t="s">
        <v>590</v>
      </c>
      <c r="I779" s="2448"/>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31">
        <f>VLOOKUP($H$779,$AO$769:$AP$771,2,FALSE)</f>
        <v>0</v>
      </c>
      <c r="AK781" s="2433"/>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590</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686</v>
      </c>
      <c r="E785" s="2424" t="s">
        <v>2032</v>
      </c>
      <c r="F785" s="2424"/>
      <c r="G785" s="2424"/>
      <c r="H785" s="2424"/>
      <c r="I785" s="2424"/>
      <c r="J785" s="2424"/>
      <c r="K785" s="2424"/>
      <c r="L785" s="2424"/>
      <c r="M785" s="2424"/>
      <c r="N785" s="2424"/>
      <c r="O785" s="2424"/>
      <c r="P785" s="2424"/>
      <c r="Q785" s="2424"/>
      <c r="R785" s="2424"/>
      <c r="S785" s="2424"/>
      <c r="T785" s="2424"/>
      <c r="U785" s="2424"/>
      <c r="V785" s="2424"/>
      <c r="W785" s="2424"/>
      <c r="X785" s="2424"/>
      <c r="Y785" s="2424"/>
      <c r="Z785" s="2424"/>
      <c r="AA785" s="2424"/>
      <c r="AB785" s="2424"/>
      <c r="AC785" s="2424"/>
      <c r="AD785" s="2424"/>
      <c r="AE785" s="536"/>
      <c r="AF785" s="2524" t="s">
        <v>1352</v>
      </c>
      <c r="AG785" s="2524"/>
      <c r="AH785" s="2524"/>
      <c r="AI785" s="2524"/>
      <c r="AJ785" s="2524"/>
      <c r="AK785" s="2524"/>
      <c r="AL785" s="2524"/>
      <c r="AM785" s="613"/>
      <c r="AN785" s="684"/>
      <c r="AO785" s="611" t="s">
        <v>544</v>
      </c>
      <c r="AP785" s="550">
        <v>3</v>
      </c>
      <c r="AT785" s="674"/>
      <c r="AU785" s="674"/>
      <c r="AV785" s="674"/>
      <c r="AW785" s="674"/>
      <c r="AX785" s="674"/>
      <c r="AY785" s="674"/>
      <c r="AZ785" s="674"/>
    </row>
    <row r="786" spans="1:81" s="570" customFormat="1" ht="13.7" customHeight="1">
      <c r="A786" s="550"/>
      <c r="B786" s="616"/>
      <c r="C786" s="940"/>
      <c r="D786" s="663"/>
      <c r="E786" s="2424"/>
      <c r="F786" s="2424"/>
      <c r="G786" s="2424"/>
      <c r="H786" s="2424"/>
      <c r="I786" s="2424"/>
      <c r="J786" s="2424"/>
      <c r="K786" s="2424"/>
      <c r="L786" s="2424"/>
      <c r="M786" s="2424"/>
      <c r="N786" s="2424"/>
      <c r="O786" s="2424"/>
      <c r="P786" s="2424"/>
      <c r="Q786" s="2424"/>
      <c r="R786" s="2424"/>
      <c r="S786" s="2424"/>
      <c r="T786" s="2424"/>
      <c r="U786" s="2424"/>
      <c r="V786" s="2424"/>
      <c r="W786" s="2424"/>
      <c r="X786" s="2424"/>
      <c r="Y786" s="2424"/>
      <c r="Z786" s="2424"/>
      <c r="AA786" s="2424"/>
      <c r="AB786" s="2424"/>
      <c r="AC786" s="2424"/>
      <c r="AD786" s="2424"/>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24"/>
      <c r="F787" s="2424"/>
      <c r="G787" s="2424"/>
      <c r="H787" s="2424"/>
      <c r="I787" s="2424"/>
      <c r="J787" s="2424"/>
      <c r="K787" s="2424"/>
      <c r="L787" s="2424"/>
      <c r="M787" s="2424"/>
      <c r="N787" s="2424"/>
      <c r="O787" s="2424"/>
      <c r="P787" s="2424"/>
      <c r="Q787" s="2424"/>
      <c r="R787" s="2424"/>
      <c r="S787" s="2424"/>
      <c r="T787" s="2424"/>
      <c r="U787" s="2424"/>
      <c r="V787" s="2424"/>
      <c r="W787" s="2424"/>
      <c r="X787" s="2424"/>
      <c r="Y787" s="2424"/>
      <c r="Z787" s="2424"/>
      <c r="AA787" s="2424"/>
      <c r="AB787" s="2424"/>
      <c r="AC787" s="2424"/>
      <c r="AD787" s="2424"/>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24"/>
      <c r="F788" s="2424"/>
      <c r="G788" s="2424"/>
      <c r="H788" s="2424"/>
      <c r="I788" s="2424"/>
      <c r="J788" s="2424"/>
      <c r="K788" s="2424"/>
      <c r="L788" s="2424"/>
      <c r="M788" s="2424"/>
      <c r="N788" s="2424"/>
      <c r="O788" s="2424"/>
      <c r="P788" s="2424"/>
      <c r="Q788" s="2424"/>
      <c r="R788" s="2424"/>
      <c r="S788" s="2424"/>
      <c r="T788" s="2424"/>
      <c r="U788" s="2424"/>
      <c r="V788" s="2424"/>
      <c r="W788" s="2424"/>
      <c r="X788" s="2424"/>
      <c r="Y788" s="2424"/>
      <c r="Z788" s="2424"/>
      <c r="AA788" s="2424"/>
      <c r="AB788" s="2424"/>
      <c r="AC788" s="2424"/>
      <c r="AD788" s="2424"/>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448" t="s">
        <v>544</v>
      </c>
      <c r="I790" s="2448"/>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31">
        <f>VLOOKUP($H$790,$AO$784:$AP$785,2,FALSE)</f>
        <v>3</v>
      </c>
      <c r="AK792" s="2433"/>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31">
        <f>IF(($AJ$621+$AJ$640+$AJ$652+$AJ$687+$AJ$711+$AJ$725+$AJ$737+$AJ$753+$AJ$765+$AJ$781+AJ792)&gt;10,10,($AJ$621+$AJ$640+$AJ$652+$AJ$687+$AJ$711+$AJ$725+$AJ$737+$AJ$753+$AJ$765+$AJ$781+AJ792))</f>
        <v>10</v>
      </c>
      <c r="AL794" s="2432"/>
      <c r="AM794" s="2433"/>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5" t="s">
        <v>1568</v>
      </c>
      <c r="B797" s="2516"/>
      <c r="C797" s="2516"/>
      <c r="D797" s="2516"/>
      <c r="E797" s="2516"/>
      <c r="F797" s="2516"/>
      <c r="G797" s="2516"/>
      <c r="H797" s="2516"/>
      <c r="I797" s="2516"/>
      <c r="J797" s="2516"/>
      <c r="K797" s="2516"/>
      <c r="L797" s="2516"/>
      <c r="M797" s="2516"/>
      <c r="N797" s="2516"/>
      <c r="O797" s="2516"/>
      <c r="P797" s="2516"/>
      <c r="Q797" s="2516"/>
      <c r="R797" s="2516"/>
      <c r="S797" s="2516"/>
      <c r="T797" s="2516"/>
      <c r="U797" s="2516"/>
      <c r="V797" s="2516"/>
      <c r="W797" s="2516"/>
      <c r="X797" s="2516"/>
      <c r="Y797" s="2516"/>
      <c r="Z797" s="2516"/>
      <c r="AA797" s="2516"/>
      <c r="AB797" s="2516"/>
      <c r="AC797" s="2516"/>
      <c r="AD797" s="2516"/>
      <c r="AE797" s="2516"/>
      <c r="AF797" s="2516"/>
      <c r="AG797" s="2516"/>
      <c r="AH797" s="2516"/>
      <c r="AI797" s="2516"/>
      <c r="AJ797" s="2516"/>
      <c r="AK797" s="2516"/>
      <c r="AL797" s="2516"/>
      <c r="AM797" s="2516"/>
    </row>
    <row r="798" spans="1:81">
      <c r="A798" s="2517"/>
      <c r="B798" s="2517"/>
      <c r="C798" s="2517"/>
      <c r="D798" s="2517"/>
      <c r="E798" s="2517"/>
      <c r="F798" s="2517"/>
      <c r="G798" s="2517"/>
      <c r="H798" s="2517"/>
      <c r="I798" s="2517"/>
      <c r="J798" s="2517"/>
      <c r="K798" s="2517"/>
      <c r="L798" s="2517"/>
      <c r="M798" s="2517"/>
      <c r="N798" s="2517"/>
      <c r="O798" s="2517"/>
      <c r="P798" s="2517"/>
      <c r="Q798" s="2517"/>
      <c r="R798" s="2517"/>
      <c r="S798" s="2517"/>
      <c r="T798" s="2517"/>
      <c r="U798" s="2517"/>
      <c r="V798" s="2517"/>
      <c r="W798" s="2517"/>
      <c r="X798" s="2517"/>
      <c r="Y798" s="2517"/>
      <c r="Z798" s="2517"/>
      <c r="AA798" s="2517"/>
      <c r="AB798" s="2517"/>
      <c r="AC798" s="2517"/>
      <c r="AD798" s="2517"/>
      <c r="AE798" s="2517"/>
      <c r="AF798" s="2517"/>
      <c r="AG798" s="2517"/>
      <c r="AH798" s="2517"/>
      <c r="AI798" s="2517"/>
      <c r="AJ798" s="2517"/>
      <c r="AK798" s="2517"/>
      <c r="AL798" s="2517"/>
      <c r="AM798" s="2517"/>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6"/>
      <c r="B800" s="2446"/>
      <c r="C800" s="2446"/>
      <c r="D800" s="2446"/>
      <c r="E800" s="2446"/>
      <c r="F800" s="2446"/>
      <c r="G800" s="2446"/>
      <c r="H800" s="2446"/>
      <c r="I800" s="2446"/>
      <c r="J800" s="2446"/>
      <c r="K800" s="2446"/>
      <c r="L800" s="2446"/>
      <c r="M800" s="2446"/>
      <c r="N800" s="2446"/>
      <c r="O800" s="2446"/>
      <c r="P800" s="2446"/>
      <c r="Q800" s="2446"/>
      <c r="R800" s="2446"/>
      <c r="S800" s="2446"/>
      <c r="T800" s="2446"/>
      <c r="U800" s="2446"/>
      <c r="V800" s="2446"/>
      <c r="W800" s="2446"/>
      <c r="X800" s="2446"/>
      <c r="Y800" s="2446"/>
      <c r="Z800" s="2446"/>
      <c r="AA800" s="2446"/>
      <c r="AB800" s="2446"/>
      <c r="AC800" s="2446"/>
      <c r="AD800" s="2446"/>
      <c r="AE800" s="2446"/>
      <c r="AF800" s="2446"/>
      <c r="AG800" s="2446"/>
      <c r="AH800" s="2446"/>
      <c r="AI800" s="2446"/>
      <c r="AJ800" s="2446"/>
      <c r="AK800" s="2446"/>
      <c r="AL800" s="2446"/>
      <c r="AM800" s="2446"/>
      <c r="AP800" s="816"/>
      <c r="AQ800" s="816"/>
    </row>
    <row r="801" spans="1:81">
      <c r="A801" s="2446"/>
      <c r="B801" s="2446"/>
      <c r="C801" s="2446"/>
      <c r="D801" s="2446"/>
      <c r="E801" s="2446"/>
      <c r="F801" s="2446"/>
      <c r="G801" s="2446"/>
      <c r="H801" s="2446"/>
      <c r="I801" s="2446"/>
      <c r="J801" s="2446"/>
      <c r="K801" s="2446"/>
      <c r="L801" s="2446"/>
      <c r="M801" s="2446"/>
      <c r="N801" s="2446"/>
      <c r="O801" s="2446"/>
      <c r="P801" s="2446"/>
      <c r="Q801" s="2446"/>
      <c r="R801" s="2446"/>
      <c r="S801" s="2446"/>
      <c r="T801" s="2446"/>
      <c r="U801" s="2446"/>
      <c r="V801" s="2446"/>
      <c r="W801" s="2446"/>
      <c r="X801" s="2446"/>
      <c r="Y801" s="2446"/>
      <c r="Z801" s="2446"/>
      <c r="AA801" s="2446"/>
      <c r="AB801" s="2446"/>
      <c r="AC801" s="2446"/>
      <c r="AD801" s="2446"/>
      <c r="AE801" s="2446"/>
      <c r="AF801" s="2446"/>
      <c r="AG801" s="2446"/>
      <c r="AH801" s="2446"/>
      <c r="AI801" s="2446"/>
      <c r="AJ801" s="2446"/>
      <c r="AK801" s="2446"/>
      <c r="AL801" s="2446"/>
      <c r="AM801" s="2446"/>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8" t="s">
        <v>1569</v>
      </c>
      <c r="U802" s="2519"/>
      <c r="V802" s="2519"/>
      <c r="W802" s="2519"/>
      <c r="X802" s="2519"/>
      <c r="Y802" s="2520"/>
      <c r="Z802" s="2518" t="s">
        <v>1570</v>
      </c>
      <c r="AA802" s="2519"/>
      <c r="AB802" s="2519"/>
      <c r="AC802" s="2519"/>
      <c r="AD802" s="2519"/>
      <c r="AE802" s="2520"/>
      <c r="AF802" s="2518" t="s">
        <v>1571</v>
      </c>
      <c r="AG802" s="2519"/>
      <c r="AH802" s="2519"/>
      <c r="AI802" s="2519"/>
      <c r="AJ802" s="2519"/>
      <c r="AK802" s="2520"/>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21"/>
      <c r="U803" s="2522"/>
      <c r="V803" s="2522"/>
      <c r="W803" s="2522"/>
      <c r="X803" s="2522"/>
      <c r="Y803" s="2523"/>
      <c r="Z803" s="2521"/>
      <c r="AA803" s="2522"/>
      <c r="AB803" s="2522"/>
      <c r="AC803" s="2522"/>
      <c r="AD803" s="2522"/>
      <c r="AE803" s="2523"/>
      <c r="AF803" s="2521"/>
      <c r="AG803" s="2522"/>
      <c r="AH803" s="2522"/>
      <c r="AI803" s="2522"/>
      <c r="AJ803" s="2522"/>
      <c r="AK803" s="2523"/>
      <c r="AL803" s="818"/>
      <c r="AM803" s="596"/>
      <c r="AO803" s="816"/>
      <c r="AP803" s="816"/>
      <c r="AQ803" s="816"/>
    </row>
    <row r="804" spans="1:81">
      <c r="A804" s="819" t="s">
        <v>756</v>
      </c>
      <c r="B804" s="2475" t="s">
        <v>1304</v>
      </c>
      <c r="C804" s="2475"/>
      <c r="D804" s="2475"/>
      <c r="E804" s="2475"/>
      <c r="F804" s="2475"/>
      <c r="G804" s="2475"/>
      <c r="H804" s="2475"/>
      <c r="I804" s="2475"/>
      <c r="J804" s="2475"/>
      <c r="K804" s="2475"/>
      <c r="L804" s="2475"/>
      <c r="M804" s="2475"/>
      <c r="N804" s="2475"/>
      <c r="O804" s="2475"/>
      <c r="P804" s="2475"/>
      <c r="Q804" s="2475"/>
      <c r="R804" s="2475"/>
      <c r="S804" s="2476"/>
      <c r="T804" s="2503">
        <f>AK62</f>
        <v>0</v>
      </c>
      <c r="U804" s="2479"/>
      <c r="V804" s="2479"/>
      <c r="W804" s="2479"/>
      <c r="X804" s="2479"/>
      <c r="Y804" s="2480"/>
      <c r="Z804" s="2478">
        <v>20</v>
      </c>
      <c r="AA804" s="2479"/>
      <c r="AB804" s="2479"/>
      <c r="AC804" s="2479"/>
      <c r="AD804" s="2479"/>
      <c r="AE804" s="2480"/>
      <c r="AF804" s="2443">
        <f>IF(T804&gt;Z804,Z804,T804)</f>
        <v>0</v>
      </c>
      <c r="AG804" s="2443"/>
      <c r="AH804" s="2443"/>
      <c r="AI804" s="2443"/>
      <c r="AJ804" s="2443"/>
      <c r="AK804" s="2443"/>
      <c r="AL804" s="818"/>
      <c r="AM804" s="596"/>
      <c r="AO804" s="816"/>
      <c r="AP804" s="816"/>
      <c r="AQ804" s="816"/>
    </row>
    <row r="805" spans="1:81">
      <c r="A805" s="819" t="s">
        <v>1541</v>
      </c>
      <c r="B805" s="2475" t="s">
        <v>1313</v>
      </c>
      <c r="C805" s="2475"/>
      <c r="D805" s="2475"/>
      <c r="E805" s="2475"/>
      <c r="F805" s="2475"/>
      <c r="G805" s="2475"/>
      <c r="H805" s="2475"/>
      <c r="I805" s="2475"/>
      <c r="J805" s="2475"/>
      <c r="K805" s="2475"/>
      <c r="L805" s="2475"/>
      <c r="M805" s="2475"/>
      <c r="N805" s="2475"/>
      <c r="O805" s="2475"/>
      <c r="P805" s="2475"/>
      <c r="Q805" s="2475"/>
      <c r="R805" s="2475"/>
      <c r="S805" s="2476"/>
      <c r="T805" s="2503">
        <f>AK84</f>
        <v>10</v>
      </c>
      <c r="U805" s="2479"/>
      <c r="V805" s="2479"/>
      <c r="W805" s="2479"/>
      <c r="X805" s="2479"/>
      <c r="Y805" s="2480"/>
      <c r="Z805" s="2478">
        <v>10</v>
      </c>
      <c r="AA805" s="2479"/>
      <c r="AB805" s="2479"/>
      <c r="AC805" s="2479"/>
      <c r="AD805" s="2479"/>
      <c r="AE805" s="2480"/>
      <c r="AF805" s="2443">
        <f>IF(T805&gt;Z805,Z805,T805)</f>
        <v>10</v>
      </c>
      <c r="AG805" s="2443"/>
      <c r="AH805" s="2443"/>
      <c r="AI805" s="2443"/>
      <c r="AJ805" s="2443"/>
      <c r="AK805" s="2443"/>
      <c r="AL805" s="818"/>
      <c r="AM805" s="596"/>
      <c r="AO805" s="816"/>
      <c r="AP805" s="816"/>
      <c r="AQ805" s="816"/>
    </row>
    <row r="806" spans="1:81">
      <c r="A806" s="819" t="s">
        <v>1550</v>
      </c>
      <c r="B806" s="2475" t="s">
        <v>1323</v>
      </c>
      <c r="C806" s="2475"/>
      <c r="D806" s="2475"/>
      <c r="E806" s="2475"/>
      <c r="F806" s="2475"/>
      <c r="G806" s="2475"/>
      <c r="H806" s="2475"/>
      <c r="I806" s="2475"/>
      <c r="J806" s="2475"/>
      <c r="K806" s="2475"/>
      <c r="L806" s="2475"/>
      <c r="M806" s="2475"/>
      <c r="N806" s="2475"/>
      <c r="O806" s="2475"/>
      <c r="P806" s="2475"/>
      <c r="Q806" s="2475"/>
      <c r="R806" s="2475"/>
      <c r="S806" s="2476"/>
      <c r="T806" s="2503">
        <f ca="1">AK109</f>
        <v>20</v>
      </c>
      <c r="U806" s="2479"/>
      <c r="V806" s="2479"/>
      <c r="W806" s="2479"/>
      <c r="X806" s="2479"/>
      <c r="Y806" s="2480"/>
      <c r="Z806" s="2478">
        <v>20</v>
      </c>
      <c r="AA806" s="2479"/>
      <c r="AB806" s="2479"/>
      <c r="AC806" s="2479"/>
      <c r="AD806" s="2479"/>
      <c r="AE806" s="2480"/>
      <c r="AF806" s="2443">
        <f ca="1">IF(T806&gt;Z806,Z806,T806)</f>
        <v>20</v>
      </c>
      <c r="AG806" s="2443"/>
      <c r="AH806" s="2443"/>
      <c r="AI806" s="2443"/>
      <c r="AJ806" s="2443"/>
      <c r="AK806" s="2443"/>
      <c r="AL806" s="818"/>
      <c r="AM806" s="596"/>
      <c r="AO806" s="816"/>
      <c r="AP806" s="816"/>
      <c r="AQ806" s="816"/>
    </row>
    <row r="807" spans="1:81">
      <c r="A807" s="819" t="s">
        <v>1572</v>
      </c>
      <c r="B807" s="2475" t="s">
        <v>1333</v>
      </c>
      <c r="C807" s="2475"/>
      <c r="D807" s="2475"/>
      <c r="E807" s="2475"/>
      <c r="F807" s="2475"/>
      <c r="G807" s="2475"/>
      <c r="H807" s="2475"/>
      <c r="I807" s="2475"/>
      <c r="J807" s="2475"/>
      <c r="K807" s="2475"/>
      <c r="L807" s="2475"/>
      <c r="M807" s="2475"/>
      <c r="N807" s="2475"/>
      <c r="O807" s="2475"/>
      <c r="P807" s="2475"/>
      <c r="Q807" s="2475"/>
      <c r="R807" s="2475"/>
      <c r="S807" s="2476"/>
      <c r="T807" s="2503">
        <f>AK143</f>
        <v>10</v>
      </c>
      <c r="U807" s="2479"/>
      <c r="V807" s="2479"/>
      <c r="W807" s="2479"/>
      <c r="X807" s="2479"/>
      <c r="Y807" s="2480"/>
      <c r="Z807" s="2478">
        <v>10</v>
      </c>
      <c r="AA807" s="2479"/>
      <c r="AB807" s="2479"/>
      <c r="AC807" s="2479"/>
      <c r="AD807" s="2479"/>
      <c r="AE807" s="2480"/>
      <c r="AF807" s="2443">
        <f>IF(T807&gt;Z807,Z807,T807)</f>
        <v>10</v>
      </c>
      <c r="AG807" s="2443"/>
      <c r="AH807" s="2443"/>
      <c r="AI807" s="2443"/>
      <c r="AJ807" s="2443"/>
      <c r="AK807" s="2443"/>
      <c r="AL807" s="818"/>
      <c r="AM807" s="596"/>
      <c r="AO807" s="816"/>
      <c r="AP807" s="816"/>
      <c r="AQ807" s="816"/>
    </row>
    <row r="808" spans="1:81">
      <c r="A808" s="820" t="s">
        <v>1573</v>
      </c>
      <c r="B808" s="2475" t="s">
        <v>1574</v>
      </c>
      <c r="C808" s="2475"/>
      <c r="D808" s="2475"/>
      <c r="E808" s="2475"/>
      <c r="F808" s="2475"/>
      <c r="G808" s="2475"/>
      <c r="H808" s="2475"/>
      <c r="I808" s="2475"/>
      <c r="J808" s="2475"/>
      <c r="K808" s="2475"/>
      <c r="L808" s="2475"/>
      <c r="M808" s="2475"/>
      <c r="N808" s="2475"/>
      <c r="O808" s="2475"/>
      <c r="P808" s="2475"/>
      <c r="Q808" s="2475"/>
      <c r="R808" s="2475"/>
      <c r="S808" s="2476"/>
      <c r="T808" s="2477">
        <f>SUM(T809:Y810)</f>
        <v>10</v>
      </c>
      <c r="U808" s="2477"/>
      <c r="V808" s="2477"/>
      <c r="W808" s="2477"/>
      <c r="X808" s="2477"/>
      <c r="Y808" s="2477"/>
      <c r="Z808" s="2443">
        <v>10</v>
      </c>
      <c r="AA808" s="2443"/>
      <c r="AB808" s="2443"/>
      <c r="AC808" s="2443"/>
      <c r="AD808" s="2443"/>
      <c r="AE808" s="2443"/>
      <c r="AF808" s="2443">
        <f>IF(T808&gt;Z808,Z808,T808)</f>
        <v>10</v>
      </c>
      <c r="AG808" s="2443"/>
      <c r="AH808" s="2443"/>
      <c r="AI808" s="2443"/>
      <c r="AJ808" s="2443"/>
      <c r="AK808" s="2443"/>
      <c r="AL808" s="818"/>
      <c r="AM808" s="596"/>
    </row>
    <row r="809" spans="1:81">
      <c r="A809" s="535"/>
      <c r="B809" s="601"/>
      <c r="C809" s="2481" t="s">
        <v>1575</v>
      </c>
      <c r="D809" s="2481"/>
      <c r="E809" s="2481"/>
      <c r="F809" s="2481"/>
      <c r="G809" s="2481"/>
      <c r="H809" s="2481"/>
      <c r="I809" s="2481"/>
      <c r="J809" s="2481"/>
      <c r="K809" s="2481"/>
      <c r="L809" s="2481"/>
      <c r="M809" s="2481"/>
      <c r="N809" s="2481"/>
      <c r="O809" s="2481"/>
      <c r="P809" s="2481"/>
      <c r="Q809" s="2481"/>
      <c r="R809" s="2481"/>
      <c r="S809" s="2482"/>
      <c r="T809" s="2483">
        <f>AJ166</f>
        <v>7</v>
      </c>
      <c r="U809" s="2483"/>
      <c r="V809" s="2483"/>
      <c r="W809" s="2483"/>
      <c r="X809" s="2483"/>
      <c r="Y809" s="2483"/>
      <c r="Z809" s="2484">
        <v>7</v>
      </c>
      <c r="AA809" s="2484"/>
      <c r="AB809" s="2484"/>
      <c r="AC809" s="2484"/>
      <c r="AD809" s="2484"/>
      <c r="AE809" s="2484"/>
      <c r="AF809" s="2485"/>
      <c r="AG809" s="2485"/>
      <c r="AH809" s="2485"/>
      <c r="AI809" s="2485"/>
      <c r="AJ809" s="2485"/>
      <c r="AK809" s="2485"/>
      <c r="AL809" s="818"/>
      <c r="AM809" s="596"/>
    </row>
    <row r="810" spans="1:81">
      <c r="A810" s="600"/>
      <c r="B810" s="601"/>
      <c r="C810" s="2481" t="s">
        <v>1576</v>
      </c>
      <c r="D810" s="2481"/>
      <c r="E810" s="2481"/>
      <c r="F810" s="2481"/>
      <c r="G810" s="2481"/>
      <c r="H810" s="2481"/>
      <c r="I810" s="2481"/>
      <c r="J810" s="2481"/>
      <c r="K810" s="2481"/>
      <c r="L810" s="2481"/>
      <c r="M810" s="2481"/>
      <c r="N810" s="2481"/>
      <c r="O810" s="2481"/>
      <c r="P810" s="2481"/>
      <c r="Q810" s="2481"/>
      <c r="R810" s="2481"/>
      <c r="S810" s="2482"/>
      <c r="T810" s="2483">
        <f>AJ180</f>
        <v>3</v>
      </c>
      <c r="U810" s="2483"/>
      <c r="V810" s="2483"/>
      <c r="W810" s="2483"/>
      <c r="X810" s="2483"/>
      <c r="Y810" s="2483"/>
      <c r="Z810" s="2484">
        <v>3</v>
      </c>
      <c r="AA810" s="2484"/>
      <c r="AB810" s="2484"/>
      <c r="AC810" s="2484"/>
      <c r="AD810" s="2484"/>
      <c r="AE810" s="2484"/>
      <c r="AF810" s="2485"/>
      <c r="AG810" s="2485"/>
      <c r="AH810" s="2485"/>
      <c r="AI810" s="2485"/>
      <c r="AJ810" s="2485"/>
      <c r="AK810" s="2485"/>
      <c r="AL810" s="818"/>
      <c r="AM810" s="596"/>
      <c r="AO810" s="550"/>
    </row>
    <row r="811" spans="1:81">
      <c r="A811" s="820" t="s">
        <v>1361</v>
      </c>
      <c r="B811" s="2475" t="s">
        <v>1577</v>
      </c>
      <c r="C811" s="2475"/>
      <c r="D811" s="2475"/>
      <c r="E811" s="2475"/>
      <c r="F811" s="2475"/>
      <c r="G811" s="2475"/>
      <c r="H811" s="2475"/>
      <c r="I811" s="2475"/>
      <c r="J811" s="2475"/>
      <c r="K811" s="2475"/>
      <c r="L811" s="2475"/>
      <c r="M811" s="2475"/>
      <c r="N811" s="2475"/>
      <c r="O811" s="2475"/>
      <c r="P811" s="2475"/>
      <c r="Q811" s="2475"/>
      <c r="R811" s="2475"/>
      <c r="S811" s="2476"/>
      <c r="T811" s="2477">
        <f>AK191</f>
        <v>10</v>
      </c>
      <c r="U811" s="2477"/>
      <c r="V811" s="2477"/>
      <c r="W811" s="2477"/>
      <c r="X811" s="2477"/>
      <c r="Y811" s="2477"/>
      <c r="Z811" s="2443">
        <v>10</v>
      </c>
      <c r="AA811" s="2443"/>
      <c r="AB811" s="2443"/>
      <c r="AC811" s="2443"/>
      <c r="AD811" s="2443"/>
      <c r="AE811" s="2443"/>
      <c r="AF811" s="2443">
        <f>IF(T811&gt;Z811,Z811,T811)</f>
        <v>10</v>
      </c>
      <c r="AG811" s="2443"/>
      <c r="AH811" s="2443"/>
      <c r="AI811" s="2443"/>
      <c r="AJ811" s="2443"/>
      <c r="AK811" s="2443"/>
      <c r="AL811" s="818"/>
      <c r="AM811" s="596"/>
    </row>
    <row r="812" spans="1:81">
      <c r="A812" s="819" t="s">
        <v>1370</v>
      </c>
      <c r="B812" s="2475" t="s">
        <v>1371</v>
      </c>
      <c r="C812" s="2475"/>
      <c r="D812" s="2475"/>
      <c r="E812" s="2475"/>
      <c r="F812" s="2475"/>
      <c r="G812" s="2475"/>
      <c r="H812" s="2475"/>
      <c r="I812" s="2475"/>
      <c r="J812" s="2475"/>
      <c r="K812" s="2475"/>
      <c r="L812" s="2475"/>
      <c r="M812" s="2475"/>
      <c r="N812" s="2475"/>
      <c r="O812" s="2475"/>
      <c r="P812" s="2475"/>
      <c r="Q812" s="2475"/>
      <c r="R812" s="2475"/>
      <c r="S812" s="2476"/>
      <c r="T812" s="2477">
        <f>AK273</f>
        <v>8</v>
      </c>
      <c r="U812" s="2477"/>
      <c r="V812" s="2477"/>
      <c r="W812" s="2477"/>
      <c r="X812" s="2477"/>
      <c r="Y812" s="2477"/>
      <c r="Z812" s="2478">
        <v>8</v>
      </c>
      <c r="AA812" s="2479"/>
      <c r="AB812" s="2479"/>
      <c r="AC812" s="2479"/>
      <c r="AD812" s="2479"/>
      <c r="AE812" s="2480"/>
      <c r="AF812" s="2443">
        <f>IF(T812&gt;Z812,Z812,T812)</f>
        <v>8</v>
      </c>
      <c r="AG812" s="2443"/>
      <c r="AH812" s="2443"/>
      <c r="AI812" s="2443"/>
      <c r="AJ812" s="2443"/>
      <c r="AK812" s="2443"/>
      <c r="AL812" s="818"/>
      <c r="AM812" s="596"/>
    </row>
    <row r="813" spans="1:81" s="534" customFormat="1" hidden="1">
      <c r="A813" s="820" t="s">
        <v>588</v>
      </c>
      <c r="B813" s="2475" t="s">
        <v>1578</v>
      </c>
      <c r="C813" s="2475"/>
      <c r="D813" s="2475"/>
      <c r="E813" s="2475"/>
      <c r="F813" s="2475"/>
      <c r="G813" s="2475"/>
      <c r="H813" s="2475"/>
      <c r="I813" s="2475"/>
      <c r="J813" s="2475"/>
      <c r="K813" s="2475"/>
      <c r="L813" s="2475"/>
      <c r="M813" s="2475"/>
      <c r="N813" s="2475"/>
      <c r="O813" s="2475"/>
      <c r="P813" s="2475"/>
      <c r="Q813" s="2475"/>
      <c r="R813" s="2475"/>
      <c r="S813" s="2476"/>
      <c r="T813" s="2477">
        <f>IF(AK535&gt;5,5,AK535)</f>
        <v>0</v>
      </c>
      <c r="U813" s="2477"/>
      <c r="V813" s="2477"/>
      <c r="W813" s="2477"/>
      <c r="X813" s="2477"/>
      <c r="Y813" s="2477"/>
      <c r="Z813" s="2443">
        <v>5</v>
      </c>
      <c r="AA813" s="2443"/>
      <c r="AB813" s="2443"/>
      <c r="AC813" s="2443"/>
      <c r="AD813" s="2443"/>
      <c r="AE813" s="2443"/>
      <c r="AF813" s="2443">
        <f>IF(T813&gt;Z813,5,T813)</f>
        <v>0</v>
      </c>
      <c r="AG813" s="2443"/>
      <c r="AH813" s="2443"/>
      <c r="AI813" s="2443"/>
      <c r="AJ813" s="2443"/>
      <c r="AK813" s="2443"/>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475" t="s">
        <v>1579</v>
      </c>
      <c r="C814" s="2475"/>
      <c r="D814" s="2475"/>
      <c r="E814" s="2475"/>
      <c r="F814" s="2475"/>
      <c r="G814" s="2475"/>
      <c r="H814" s="2475"/>
      <c r="I814" s="2475"/>
      <c r="J814" s="2475"/>
      <c r="K814" s="2475"/>
      <c r="L814" s="2475"/>
      <c r="M814" s="2475"/>
      <c r="N814" s="2475"/>
      <c r="O814" s="2475"/>
      <c r="P814" s="2475"/>
      <c r="Q814" s="2475"/>
      <c r="R814" s="2475"/>
      <c r="S814" s="2476"/>
      <c r="T814" s="2477">
        <f>AK285</f>
        <v>10</v>
      </c>
      <c r="U814" s="2477"/>
      <c r="V814" s="2477"/>
      <c r="W814" s="2477"/>
      <c r="X814" s="2477"/>
      <c r="Y814" s="2477"/>
      <c r="Z814" s="2443">
        <v>10</v>
      </c>
      <c r="AA814" s="2443"/>
      <c r="AB814" s="2443"/>
      <c r="AC814" s="2443"/>
      <c r="AD814" s="2443"/>
      <c r="AE814" s="2443"/>
      <c r="AF814" s="2486">
        <f>IF(T814&gt;Z814,Z814,T814)</f>
        <v>10</v>
      </c>
      <c r="AG814" s="2487"/>
      <c r="AH814" s="2487"/>
      <c r="AI814" s="2487"/>
      <c r="AJ814" s="2487"/>
      <c r="AK814" s="2488"/>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475" t="s">
        <v>1381</v>
      </c>
      <c r="C815" s="2475"/>
      <c r="D815" s="2475"/>
      <c r="E815" s="2475"/>
      <c r="F815" s="2475"/>
      <c r="G815" s="2475"/>
      <c r="H815" s="2475"/>
      <c r="I815" s="2475"/>
      <c r="J815" s="2475"/>
      <c r="K815" s="2475"/>
      <c r="L815" s="2475"/>
      <c r="M815" s="2475"/>
      <c r="N815" s="2475"/>
      <c r="O815" s="2475"/>
      <c r="P815" s="2475"/>
      <c r="Q815" s="2475"/>
      <c r="R815" s="2475"/>
      <c r="S815" s="2476"/>
      <c r="T815" s="2477">
        <f>AK338</f>
        <v>10</v>
      </c>
      <c r="U815" s="2477"/>
      <c r="V815" s="2477"/>
      <c r="W815" s="2477"/>
      <c r="X815" s="2477"/>
      <c r="Y815" s="2477"/>
      <c r="Z815" s="2486">
        <v>10</v>
      </c>
      <c r="AA815" s="2487"/>
      <c r="AB815" s="2487"/>
      <c r="AC815" s="2487"/>
      <c r="AD815" s="2487"/>
      <c r="AE815" s="2488"/>
      <c r="AF815" s="2486">
        <f>IF(T815&gt;Z815,Z815,T815)</f>
        <v>10</v>
      </c>
      <c r="AG815" s="2487"/>
      <c r="AH815" s="2487"/>
      <c r="AI815" s="2487"/>
      <c r="AJ815" s="2487"/>
      <c r="AK815" s="2488"/>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83">
        <f>AK338</f>
        <v>10</v>
      </c>
      <c r="U816" s="2483"/>
      <c r="V816" s="2483"/>
      <c r="W816" s="2483"/>
      <c r="X816" s="2483"/>
      <c r="Y816" s="2483"/>
      <c r="Z816" s="2431">
        <v>20</v>
      </c>
      <c r="AA816" s="2432"/>
      <c r="AB816" s="2432"/>
      <c r="AC816" s="2432"/>
      <c r="AD816" s="2432"/>
      <c r="AE816" s="2433"/>
      <c r="AF816" s="2485"/>
      <c r="AG816" s="2485"/>
      <c r="AH816" s="2485"/>
      <c r="AI816" s="2485"/>
      <c r="AJ816" s="2485"/>
      <c r="AK816" s="2485"/>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475" t="s">
        <v>844</v>
      </c>
      <c r="C817" s="2475"/>
      <c r="D817" s="2475"/>
      <c r="E817" s="2475"/>
      <c r="F817" s="2475"/>
      <c r="G817" s="2475"/>
      <c r="H817" s="2475"/>
      <c r="I817" s="2475"/>
      <c r="J817" s="2475"/>
      <c r="K817" s="2475"/>
      <c r="L817" s="2475"/>
      <c r="M817" s="2475"/>
      <c r="N817" s="2475"/>
      <c r="O817" s="2475"/>
      <c r="P817" s="2475"/>
      <c r="Q817" s="2475"/>
      <c r="R817" s="2475"/>
      <c r="S817" s="2476"/>
      <c r="T817" s="2477">
        <f>AK469</f>
        <v>10</v>
      </c>
      <c r="U817" s="2477"/>
      <c r="V817" s="2477"/>
      <c r="W817" s="2477"/>
      <c r="X817" s="2477"/>
      <c r="Y817" s="2477"/>
      <c r="Z817" s="2486">
        <v>10</v>
      </c>
      <c r="AA817" s="2487"/>
      <c r="AB817" s="2487"/>
      <c r="AC817" s="2487"/>
      <c r="AD817" s="2487"/>
      <c r="AE817" s="2488"/>
      <c r="AF817" s="2443">
        <f>IF(T817&gt;Z817,Z817,T817)</f>
        <v>10</v>
      </c>
      <c r="AG817" s="2443"/>
      <c r="AH817" s="2443"/>
      <c r="AI817" s="2443"/>
      <c r="AJ817" s="2443"/>
      <c r="AK817" s="2443"/>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475" t="s">
        <v>1559</v>
      </c>
      <c r="C818" s="2475"/>
      <c r="D818" s="2475"/>
      <c r="E818" s="2475"/>
      <c r="F818" s="2475"/>
      <c r="G818" s="2475"/>
      <c r="H818" s="2475"/>
      <c r="I818" s="2475"/>
      <c r="J818" s="2475"/>
      <c r="K818" s="2475"/>
      <c r="L818" s="2475"/>
      <c r="M818" s="2475"/>
      <c r="N818" s="2475"/>
      <c r="O818" s="2475"/>
      <c r="P818" s="2475"/>
      <c r="Q818" s="2475"/>
      <c r="R818" s="2475"/>
      <c r="S818" s="2476"/>
      <c r="T818" s="2477">
        <f>AK559</f>
        <v>12</v>
      </c>
      <c r="U818" s="2477"/>
      <c r="V818" s="2477"/>
      <c r="W818" s="2477"/>
      <c r="X818" s="2477"/>
      <c r="Y818" s="2477"/>
      <c r="Z818" s="2486">
        <v>12</v>
      </c>
      <c r="AA818" s="2487"/>
      <c r="AB818" s="2487"/>
      <c r="AC818" s="2487"/>
      <c r="AD818" s="2487"/>
      <c r="AE818" s="2488"/>
      <c r="AF818" s="2443">
        <f>IF(T818&gt;Z818,Z818,T818)</f>
        <v>12</v>
      </c>
      <c r="AG818" s="2443"/>
      <c r="AH818" s="2443"/>
      <c r="AI818" s="2443"/>
      <c r="AJ818" s="2443"/>
      <c r="AK818" s="2443"/>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2020</v>
      </c>
      <c r="B819" s="2475" t="s">
        <v>1581</v>
      </c>
      <c r="C819" s="2475"/>
      <c r="D819" s="2475"/>
      <c r="E819" s="2475"/>
      <c r="F819" s="2475"/>
      <c r="G819" s="2475"/>
      <c r="H819" s="2475"/>
      <c r="I819" s="2475"/>
      <c r="J819" s="2475"/>
      <c r="K819" s="2475"/>
      <c r="L819" s="2475"/>
      <c r="M819" s="2475"/>
      <c r="N819" s="2475"/>
      <c r="O819" s="2475"/>
      <c r="P819" s="2475"/>
      <c r="Q819" s="2475"/>
      <c r="R819" s="2475"/>
      <c r="S819" s="2476"/>
      <c r="T819" s="2477">
        <f>AK794</f>
        <v>10</v>
      </c>
      <c r="U819" s="2477"/>
      <c r="V819" s="2477"/>
      <c r="W819" s="2477"/>
      <c r="X819" s="2477"/>
      <c r="Y819" s="2477"/>
      <c r="Z819" s="2486">
        <v>10</v>
      </c>
      <c r="AA819" s="2487"/>
      <c r="AB819" s="2487"/>
      <c r="AC819" s="2487"/>
      <c r="AD819" s="2487"/>
      <c r="AE819" s="2488"/>
      <c r="AF819" s="2443">
        <f>IF(T819&gt;Z819,Z819,T819)</f>
        <v>10</v>
      </c>
      <c r="AG819" s="2443"/>
      <c r="AH819" s="2443"/>
      <c r="AI819" s="2443"/>
      <c r="AJ819" s="2443"/>
      <c r="AK819" s="2443"/>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89" t="s">
        <v>1582</v>
      </c>
      <c r="B820" s="2475"/>
      <c r="C820" s="2475"/>
      <c r="D820" s="2475"/>
      <c r="E820" s="2475"/>
      <c r="F820" s="2475"/>
      <c r="G820" s="2475"/>
      <c r="H820" s="2475"/>
      <c r="I820" s="2475"/>
      <c r="J820" s="2475"/>
      <c r="K820" s="2475"/>
      <c r="L820" s="2475"/>
      <c r="M820" s="2475"/>
      <c r="N820" s="2475"/>
      <c r="O820" s="2475"/>
      <c r="P820" s="2475"/>
      <c r="Q820" s="2475"/>
      <c r="R820" s="2475"/>
      <c r="S820" s="2476"/>
      <c r="T820" s="2490"/>
      <c r="U820" s="2490"/>
      <c r="V820" s="2490"/>
      <c r="W820" s="2490"/>
      <c r="X820" s="2490"/>
      <c r="Y820" s="2490"/>
      <c r="Z820" s="2484" t="s">
        <v>1583</v>
      </c>
      <c r="AA820" s="2484"/>
      <c r="AB820" s="2484"/>
      <c r="AC820" s="2484"/>
      <c r="AD820" s="2484"/>
      <c r="AE820" s="2484"/>
      <c r="AF820" s="2486">
        <f>IF(T820&gt;0,T820,0)</f>
        <v>0</v>
      </c>
      <c r="AG820" s="2487"/>
      <c r="AH820" s="2487"/>
      <c r="AI820" s="2487"/>
      <c r="AJ820" s="2487"/>
      <c r="AK820" s="2488"/>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491" t="s">
        <v>1584</v>
      </c>
      <c r="B821" s="2492"/>
      <c r="C821" s="2492"/>
      <c r="D821" s="2492"/>
      <c r="E821" s="2492"/>
      <c r="F821" s="2492"/>
      <c r="G821" s="2492"/>
      <c r="H821" s="2492"/>
      <c r="I821" s="2492"/>
      <c r="J821" s="2492"/>
      <c r="K821" s="2492"/>
      <c r="L821" s="2492"/>
      <c r="M821" s="2492"/>
      <c r="N821" s="2492"/>
      <c r="O821" s="2492"/>
      <c r="P821" s="2492"/>
      <c r="Q821" s="2492"/>
      <c r="R821" s="2492"/>
      <c r="S821" s="2492"/>
      <c r="T821" s="2492"/>
      <c r="U821" s="2492"/>
      <c r="V821" s="2492"/>
      <c r="W821" s="2492"/>
      <c r="X821" s="2492"/>
      <c r="Y821" s="2492"/>
      <c r="Z821" s="2492"/>
      <c r="AA821" s="2492"/>
      <c r="AB821" s="2492"/>
      <c r="AC821" s="2492"/>
      <c r="AD821" s="2492"/>
      <c r="AE821" s="2493"/>
      <c r="AF821" s="2497">
        <f ca="1">SUM(AF804:AK819)-AF820</f>
        <v>120</v>
      </c>
      <c r="AG821" s="2498"/>
      <c r="AH821" s="2498"/>
      <c r="AI821" s="2498"/>
      <c r="AJ821" s="2498"/>
      <c r="AK821" s="2499"/>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494"/>
      <c r="B822" s="2495"/>
      <c r="C822" s="2495"/>
      <c r="D822" s="2495"/>
      <c r="E822" s="2495"/>
      <c r="F822" s="2495"/>
      <c r="G822" s="2495"/>
      <c r="H822" s="2495"/>
      <c r="I822" s="2495"/>
      <c r="J822" s="2495"/>
      <c r="K822" s="2495"/>
      <c r="L822" s="2495"/>
      <c r="M822" s="2495"/>
      <c r="N822" s="2495"/>
      <c r="O822" s="2495"/>
      <c r="P822" s="2495"/>
      <c r="Q822" s="2495"/>
      <c r="R822" s="2495"/>
      <c r="S822" s="2495"/>
      <c r="T822" s="2495"/>
      <c r="U822" s="2495"/>
      <c r="V822" s="2495"/>
      <c r="W822" s="2495"/>
      <c r="X822" s="2495"/>
      <c r="Y822" s="2495"/>
      <c r="Z822" s="2495"/>
      <c r="AA822" s="2495"/>
      <c r="AB822" s="2495"/>
      <c r="AC822" s="2495"/>
      <c r="AD822" s="2495"/>
      <c r="AE822" s="2496"/>
      <c r="AF822" s="2500"/>
      <c r="AG822" s="2501"/>
      <c r="AH822" s="2501"/>
      <c r="AI822" s="2501"/>
      <c r="AJ822" s="2501"/>
      <c r="AK822" s="2502"/>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Steve Strain</cp:lastModifiedBy>
  <cp:lastPrinted>2025-08-28T17:02:39Z</cp:lastPrinted>
  <dcterms:created xsi:type="dcterms:W3CDTF">2007-12-27T18:26:28Z</dcterms:created>
  <dcterms:modified xsi:type="dcterms:W3CDTF">2025-09-09T05:31:45Z</dcterms:modified>
</cp:coreProperties>
</file>