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Y:\Frogs\Otay Ranch II\7. Financing\3. TCAC_CDLAC\2025 3rd Round Application\Final\Tab 40 - Joint TCAC-CDLAC Workbook\"/>
    </mc:Choice>
  </mc:AlternateContent>
  <xr:revisionPtr revIDLastSave="0" documentId="13_ncr:1_{FFE3AE9D-585E-4269-BF6A-B2A56F0EBDBD}" xr6:coauthVersionLast="47" xr6:coauthVersionMax="47" xr10:uidLastSave="{00000000-0000-0000-0000-000000000000}"/>
  <bookViews>
    <workbookView xWindow="690" yWindow="690" windowWidth="18870" windowHeight="14655" tabRatio="807"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Forma'!$A$1:$AH$81</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Forma'!$A$1:$AH$81</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7" l="1"/>
  <c r="E87" i="4"/>
  <c r="E76" i="4"/>
  <c r="E74" i="4"/>
  <c r="E73" i="4"/>
  <c r="E72" i="4"/>
  <c r="E68" i="4"/>
  <c r="E67" i="4"/>
  <c r="E66" i="4"/>
  <c r="E60" i="4"/>
  <c r="E59" i="4"/>
  <c r="E56" i="4"/>
  <c r="E53" i="4"/>
  <c r="E49" i="4"/>
  <c r="E36" i="4"/>
  <c r="T628" i="3" l="1"/>
  <c r="Q628" i="3"/>
  <c r="Q627" i="3"/>
  <c r="T627" i="3"/>
  <c r="S36" i="4" l="1"/>
  <c r="AH495" i="3" l="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R53" i="21" a="1"/>
  <c r="R53" i="21" s="1"/>
  <c r="S47"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30" i="7"/>
  <c r="E29" i="7"/>
  <c r="E28" i="7"/>
  <c r="E27" i="7"/>
  <c r="E26" i="7"/>
  <c r="E15" i="7"/>
  <c r="G15"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R66" i="4"/>
  <c r="R67" i="4"/>
  <c r="R68" i="4"/>
  <c r="A104" i="11"/>
  <c r="C101" i="11"/>
  <c r="C102" i="11"/>
  <c r="C103" i="11"/>
  <c r="C104" i="11"/>
  <c r="B101" i="11"/>
  <c r="B102" i="11"/>
  <c r="B103" i="11"/>
  <c r="B104" i="11"/>
  <c r="C88" i="11"/>
  <c r="B88" i="11"/>
  <c r="A70" i="11"/>
  <c r="C67" i="11"/>
  <c r="C68" i="11"/>
  <c r="C69" i="11"/>
  <c r="B67" i="11"/>
  <c r="B68" i="11"/>
  <c r="B69" i="11"/>
  <c r="A62" i="11"/>
  <c r="A54" i="11"/>
  <c r="A38" i="11"/>
  <c r="A26" i="11"/>
  <c r="C35" i="11"/>
  <c r="C37" i="11"/>
  <c r="B35" i="11"/>
  <c r="B37" i="11"/>
  <c r="C24" i="11"/>
  <c r="C25" i="11"/>
  <c r="C26" i="11"/>
  <c r="B25" i="11"/>
  <c r="B26" i="11"/>
  <c r="D70" i="4"/>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87" i="13"/>
  <c r="E53" i="13"/>
  <c r="E49" i="13"/>
  <c r="E34" i="13"/>
  <c r="E27" i="13"/>
  <c r="E25" i="13"/>
  <c r="E23" i="13"/>
  <c r="E22" i="13"/>
  <c r="E21" i="13"/>
  <c r="E20" i="13"/>
  <c r="E19" i="13"/>
  <c r="E18" i="13"/>
  <c r="E17" i="13"/>
  <c r="E15" i="13"/>
  <c r="E14" i="13"/>
  <c r="E13" i="13"/>
  <c r="E10" i="13"/>
  <c r="B87" i="13"/>
  <c r="B76" i="13"/>
  <c r="B74" i="13"/>
  <c r="B73" i="13"/>
  <c r="B72" i="13"/>
  <c r="B60" i="13"/>
  <c r="B59" i="13"/>
  <c r="B56" i="13"/>
  <c r="B53" i="13"/>
  <c r="B49" i="13"/>
  <c r="B34" i="13"/>
  <c r="B27" i="13"/>
  <c r="B25" i="13"/>
  <c r="B23" i="13"/>
  <c r="B22" i="13"/>
  <c r="B21" i="13"/>
  <c r="B20" i="13"/>
  <c r="B19" i="13"/>
  <c r="B18" i="13"/>
  <c r="B17" i="13"/>
  <c r="B5" i="13"/>
  <c r="B6" i="13"/>
  <c r="B7" i="13"/>
  <c r="B9" i="13"/>
  <c r="B10"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87" i="4"/>
  <c r="R76" i="4"/>
  <c r="R72" i="4"/>
  <c r="R73" i="4"/>
  <c r="R74" i="4"/>
  <c r="R60" i="4"/>
  <c r="R59" i="4"/>
  <c r="R56" i="4"/>
  <c r="R53" i="4"/>
  <c r="R49" i="4"/>
  <c r="R34" i="4"/>
  <c r="R27" i="4"/>
  <c r="R25" i="4"/>
  <c r="R23" i="4"/>
  <c r="R22" i="4"/>
  <c r="R21" i="4"/>
  <c r="R20" i="4"/>
  <c r="R19" i="4"/>
  <c r="R18" i="4"/>
  <c r="R17" i="4"/>
  <c r="R15" i="4"/>
  <c r="R14" i="4"/>
  <c r="R9" i="4"/>
  <c r="R7" i="4"/>
  <c r="R6" i="4"/>
  <c r="R5" i="4"/>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50" i="11"/>
  <c r="C50" i="11"/>
  <c r="B57" i="11"/>
  <c r="C57" i="11"/>
  <c r="B60" i="11"/>
  <c r="C60" i="11"/>
  <c r="B61" i="11"/>
  <c r="C61"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K38" i="4"/>
  <c r="L38" i="4"/>
  <c r="O38" i="4"/>
  <c r="P38" i="4"/>
  <c r="P42" i="4"/>
  <c r="P54" i="4"/>
  <c r="P62" i="4"/>
  <c r="P70" i="4"/>
  <c r="P77" i="4"/>
  <c r="P96" i="4"/>
  <c r="P104" i="4"/>
  <c r="Q38" i="4"/>
  <c r="G42" i="4"/>
  <c r="H42" i="4"/>
  <c r="K42" i="4"/>
  <c r="L42" i="4"/>
  <c r="O42" i="4"/>
  <c r="Q42" i="4"/>
  <c r="B49" i="4"/>
  <c r="B53" i="4"/>
  <c r="G54" i="4"/>
  <c r="H54" i="4"/>
  <c r="K54" i="4"/>
  <c r="L54" i="4"/>
  <c r="O54" i="4"/>
  <c r="Q54" i="4"/>
  <c r="B56"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F96" i="4"/>
  <c r="G96" i="4"/>
  <c r="H96" i="4"/>
  <c r="I96" i="4"/>
  <c r="K96" i="4"/>
  <c r="L96" i="4"/>
  <c r="Q96" i="4"/>
  <c r="B101" i="4"/>
  <c r="B102" i="4"/>
  <c r="B103" i="4"/>
  <c r="F104" i="4"/>
  <c r="G104" i="4"/>
  <c r="H104" i="4"/>
  <c r="K104" i="4"/>
  <c r="L104" i="4"/>
  <c r="Q104"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B26" i="4"/>
  <c r="AO18" i="20"/>
  <c r="D103" i="11"/>
  <c r="D6" i="11"/>
  <c r="D25" i="11"/>
  <c r="D54" i="11"/>
  <c r="D101" i="11"/>
  <c r="D88" i="11"/>
  <c r="D104" i="11"/>
  <c r="D75" i="11"/>
  <c r="L12" i="4"/>
  <c r="H12" i="4"/>
  <c r="D20" i="11"/>
  <c r="D15" i="11"/>
  <c r="D8" i="11"/>
  <c r="D12" i="13"/>
  <c r="D74" i="11"/>
  <c r="C12" i="13"/>
  <c r="D77" i="11"/>
  <c r="D73" i="11"/>
  <c r="D50" i="11"/>
  <c r="D21" i="11"/>
  <c r="D16" i="11"/>
  <c r="B12" i="11"/>
  <c r="D28" i="11"/>
  <c r="N63" i="4"/>
  <c r="N97" i="4" s="1"/>
  <c r="N105" i="4" s="1"/>
  <c r="D12" i="4"/>
  <c r="F12" i="4"/>
  <c r="D11" i="11"/>
  <c r="F63" i="13"/>
  <c r="F97" i="13" s="1"/>
  <c r="F105" i="13" s="1"/>
  <c r="F107" i="13" s="1"/>
  <c r="D24" i="11"/>
  <c r="O12" i="4"/>
  <c r="D10" i="11"/>
  <c r="Q12" i="4"/>
  <c r="K12" i="4"/>
  <c r="D61" i="11"/>
  <c r="D57" i="11"/>
  <c r="J12" i="4"/>
  <c r="D22" i="11"/>
  <c r="O63" i="4"/>
  <c r="O97" i="4" s="1"/>
  <c r="O105" i="4" s="1"/>
  <c r="M63" i="4"/>
  <c r="M97" i="4" s="1"/>
  <c r="M105" i="4" s="1"/>
  <c r="N12" i="4"/>
  <c r="I12" i="4"/>
  <c r="D102" i="11"/>
  <c r="P63" i="4"/>
  <c r="P97" i="4" s="1"/>
  <c r="P105" i="4" s="1"/>
  <c r="I63" i="13"/>
  <c r="I97" i="13" s="1"/>
  <c r="I105" i="13" s="1"/>
  <c r="I107" i="13" s="1"/>
  <c r="C63" i="13"/>
  <c r="C97" i="13" s="1"/>
  <c r="C105" i="13" s="1"/>
  <c r="R11" i="4"/>
  <c r="G58" i="7"/>
  <c r="I63" i="4"/>
  <c r="I97" i="4" s="1"/>
  <c r="L63" i="4"/>
  <c r="L97" i="4" s="1"/>
  <c r="L105" i="4" s="1"/>
  <c r="D18"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9" i="11"/>
  <c r="D7" i="11"/>
  <c r="G63" i="13"/>
  <c r="G97" i="13" s="1"/>
  <c r="G105" i="13" s="1"/>
  <c r="G107" i="13" s="1"/>
  <c r="M53" i="7"/>
  <c r="K58" i="7"/>
  <c r="C27" i="11"/>
  <c r="I58" i="7"/>
  <c r="T63" i="4"/>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C7" i="7"/>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DZ797" i="3"/>
  <c r="R35" i="21" a="1"/>
  <c r="R35" i="21" s="1"/>
  <c r="R43" i="21" a="1"/>
  <c r="R43" i="21" s="1"/>
  <c r="R31" i="21" a="1"/>
  <c r="R31" i="21" s="1"/>
  <c r="R988" i="3"/>
  <c r="R987" i="3"/>
  <c r="R986" i="3"/>
  <c r="AC777" i="3"/>
  <c r="T41" i="21"/>
  <c r="E105" i="20"/>
  <c r="R23" i="21" a="1"/>
  <c r="R23" i="21" s="1"/>
  <c r="E104" i="20"/>
  <c r="R40" i="21" a="1"/>
  <c r="R40" i="21"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2" i="11" l="1"/>
  <c r="D27" i="11"/>
  <c r="T97" i="4"/>
  <c r="H63" i="13"/>
  <c r="AO39" i="20"/>
  <c r="AK62" i="20" s="1"/>
  <c r="T804" i="20" s="1"/>
  <c r="AF804" i="20" s="1"/>
  <c r="BE71" i="3" s="1"/>
  <c r="O53" i="7"/>
  <c r="M58" i="7"/>
  <c r="BA1039" i="3"/>
  <c r="BA1048" i="3" s="1" a="1"/>
  <c r="BA1048" i="3" s="1"/>
  <c r="AO42" i="20"/>
  <c r="AS360" i="20"/>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Y800" i="3"/>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E29" i="21"/>
  <c r="G24" i="21"/>
  <c r="O27" i="21" l="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AK84" i="20"/>
  <c r="AK191" i="20" s="1"/>
  <c r="T811" i="20" s="1"/>
  <c r="AF811" i="20" s="1"/>
  <c r="BE76" i="3" s="1"/>
  <c r="O58" i="7"/>
  <c r="Q53" i="7"/>
  <c r="T105" i="4"/>
  <c r="H97" i="13"/>
  <c r="P29" i="21" a="1"/>
  <c r="P29" i="21" s="1"/>
  <c r="S29" i="21" s="1"/>
  <c r="P31" i="21" a="1"/>
  <c r="P31" i="21" s="1"/>
  <c r="S31" i="21" s="1"/>
  <c r="P30" i="21" a="1"/>
  <c r="P30" i="21" s="1"/>
  <c r="S30" i="21" s="1"/>
  <c r="P28" i="21" a="1"/>
  <c r="P28" i="21" s="1"/>
  <c r="S28" i="21" s="1"/>
  <c r="P20" i="21" a="1"/>
  <c r="P20" i="21" s="1"/>
  <c r="S20" i="21" s="1"/>
  <c r="DU755" i="3"/>
  <c r="O756" i="3" s="1"/>
  <c r="BG753" i="3"/>
  <c r="BU753" i="3"/>
  <c r="AH753" i="3" s="1"/>
  <c r="BE43" i="3" s="1"/>
  <c r="BT753" i="3"/>
  <c r="AX695" i="20"/>
  <c r="AO695" i="20" s="1"/>
  <c r="BH718" i="3"/>
  <c r="DX670" i="3"/>
  <c r="E130" i="20" s="1"/>
  <c r="E133" i="20" s="1"/>
  <c r="E136" i="20" s="1"/>
  <c r="AW122" i="20"/>
  <c r="G4" i="7"/>
  <c r="G5" i="7" s="1"/>
  <c r="EC670" i="3"/>
  <c r="J130" i="20" s="1"/>
  <c r="J133" i="20" s="1"/>
  <c r="J136" i="20" s="1"/>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J711" i="20" s="1"/>
  <c r="AK794" i="20" s="1"/>
  <c r="T819" i="20" s="1"/>
  <c r="AF819" i="20" s="1"/>
  <c r="BE82" i="3" s="1"/>
  <c r="AP706" i="20"/>
  <c r="I4" i="7"/>
  <c r="I5" i="7" s="1"/>
  <c r="AJ992" i="3"/>
  <c r="AJ1029" i="3" s="1"/>
  <c r="E138" i="20"/>
  <c r="E139" i="20" s="1"/>
  <c r="AK143" i="20" s="1"/>
  <c r="T807" i="20" s="1"/>
  <c r="AF807" i="20" s="1"/>
  <c r="BE74" i="3" s="1"/>
  <c r="AB991" i="3"/>
  <c r="DU802" i="3"/>
  <c r="U373" i="20" s="1"/>
  <c r="P421" i="3"/>
  <c r="I6" i="7"/>
  <c r="G7" i="7"/>
  <c r="O15" i="7"/>
  <c r="G27" i="21"/>
  <c r="F26" i="21"/>
  <c r="AD11" i="15" l="1"/>
  <c r="AD23" i="15" s="1"/>
  <c r="AD26" i="15" s="1"/>
  <c r="AD28" i="15" s="1"/>
  <c r="AI11" i="15"/>
  <c r="AI23" i="15" s="1"/>
  <c r="AI26" i="15" s="1"/>
  <c r="AI28" i="15" s="1"/>
  <c r="S58" i="7"/>
  <c r="U53" i="7"/>
  <c r="AJ1045" i="3"/>
  <c r="AJ1049" i="3"/>
  <c r="AP553" i="20" s="1"/>
  <c r="AP550" i="20"/>
  <c r="K4" i="7"/>
  <c r="M4" i="7" s="1"/>
  <c r="K6" i="7"/>
  <c r="I7" i="7"/>
  <c r="G26" i="21"/>
  <c r="F29" i="21"/>
  <c r="G29" i="21"/>
  <c r="Q15" i="7"/>
  <c r="U58" i="7" l="1"/>
  <c r="W53" i="7"/>
  <c r="AJ1053" i="3"/>
  <c r="AP552" i="20"/>
  <c r="AP554" i="20" s="1"/>
  <c r="K5" i="7"/>
  <c r="O4" i="7"/>
  <c r="M5" i="7"/>
  <c r="M6" i="7"/>
  <c r="K7" i="7"/>
  <c r="S15" i="7"/>
  <c r="G79" i="21"/>
  <c r="G31" i="21"/>
  <c r="G33" i="21" s="1"/>
  <c r="E9" i="21" s="1"/>
  <c r="G88" i="21"/>
  <c r="G90" i="21" s="1"/>
  <c r="E16" i="21" s="1"/>
  <c r="G111" i="21"/>
  <c r="G96" i="21"/>
  <c r="G80" i="21" l="1"/>
  <c r="E15" i="21" s="1"/>
  <c r="W58" i="7"/>
  <c r="Y53" i="7"/>
  <c r="T24" i="15"/>
  <c r="AP557" i="20"/>
  <c r="AP556" i="20" s="1"/>
  <c r="AP559" i="20" s="1"/>
  <c r="AF552" i="20" s="1"/>
  <c r="O5" i="7"/>
  <c r="Q4" i="7"/>
  <c r="M7" i="7"/>
  <c r="O6" i="7"/>
  <c r="G101" i="21"/>
  <c r="G113" i="21"/>
  <c r="G97" i="21"/>
  <c r="U15" i="7"/>
  <c r="AA53" i="7" l="1"/>
  <c r="Y58" i="7"/>
  <c r="G115" i="21"/>
  <c r="E17" i="21" s="1"/>
  <c r="E14" i="21" s="1"/>
  <c r="E18" i="21" s="1"/>
  <c r="S4" i="7"/>
  <c r="Q5" i="7"/>
  <c r="O7" i="7"/>
  <c r="Q6" i="7"/>
  <c r="W15" i="7"/>
  <c r="AC53" i="7" l="1"/>
  <c r="AA58" i="7"/>
  <c r="U4" i="7"/>
  <c r="S5" i="7"/>
  <c r="Q7" i="7"/>
  <c r="S6" i="7"/>
  <c r="Y15" i="7"/>
  <c r="AE53" i="7" l="1"/>
  <c r="AC58" i="7"/>
  <c r="U5" i="7"/>
  <c r="W4" i="7"/>
  <c r="S7" i="7"/>
  <c r="U6" i="7"/>
  <c r="AA15" i="7"/>
  <c r="AG53" i="7" l="1"/>
  <c r="AG58" i="7" s="1"/>
  <c r="AE58" i="7"/>
  <c r="W5" i="7"/>
  <c r="Y4" i="7"/>
  <c r="U7" i="7"/>
  <c r="W6" i="7"/>
  <c r="AC15" i="7"/>
  <c r="AA4" i="7" l="1"/>
  <c r="Y5" i="7"/>
  <c r="Y6" i="7"/>
  <c r="W7" i="7"/>
  <c r="AE15" i="7"/>
  <c r="AA5" i="7" l="1"/>
  <c r="AC4" i="7"/>
  <c r="Y7" i="7"/>
  <c r="AA6" i="7"/>
  <c r="AG15" i="7"/>
  <c r="AC5" i="7" l="1"/>
  <c r="AE4" i="7"/>
  <c r="AC6" i="7"/>
  <c r="AA7" i="7"/>
  <c r="AE5" i="7" l="1"/>
  <c r="AG4" i="7"/>
  <c r="AE6" i="7"/>
  <c r="AC7" i="7"/>
  <c r="AG5" i="7" l="1"/>
  <c r="AE7" i="7"/>
  <c r="AG6" i="7"/>
  <c r="AG7" i="7" l="1"/>
  <c r="BH753" i="3" l="1"/>
  <c r="AC753" i="3" s="1"/>
  <c r="BE42" i="3" s="1"/>
  <c r="E93" i="20" l="1"/>
  <c r="E94" i="20" s="1"/>
  <c r="E95" i="20" s="1"/>
  <c r="E103" i="20"/>
  <c r="E106" i="20" s="1"/>
  <c r="AP106" i="20" s="1"/>
  <c r="AK109" i="20" s="1"/>
  <c r="T806" i="20" s="1"/>
  <c r="AF806" i="20" s="1"/>
  <c r="BE73" i="3" l="1"/>
  <c r="H3" i="21"/>
  <c r="AD211" i="20" l="1"/>
  <c r="I9" i="21"/>
  <c r="BE21" i="3"/>
  <c r="G143" i="21" l="1"/>
  <c r="G144" i="21"/>
  <c r="E48" i="13" l="1"/>
  <c r="E69" i="13" l="1"/>
  <c r="S70" i="4" l="1"/>
  <c r="E70" i="13" s="1"/>
  <c r="E65" i="13"/>
  <c r="E50" i="4"/>
  <c r="R50" i="4" s="1"/>
  <c r="B50" i="4"/>
  <c r="B51" i="11"/>
  <c r="C51" i="11"/>
  <c r="B50" i="13"/>
  <c r="E91" i="4"/>
  <c r="R91" i="4" s="1"/>
  <c r="B91" i="13"/>
  <c r="B91" i="4"/>
  <c r="C92" i="11"/>
  <c r="B92" i="11"/>
  <c r="E88" i="4"/>
  <c r="R88" i="4" s="1"/>
  <c r="C89" i="11"/>
  <c r="B88" i="4"/>
  <c r="B88" i="13"/>
  <c r="B89" i="11"/>
  <c r="E95" i="4"/>
  <c r="R95" i="4" s="1"/>
  <c r="C96" i="11"/>
  <c r="B96" i="11"/>
  <c r="B95" i="13"/>
  <c r="B95" i="4"/>
  <c r="E65" i="4"/>
  <c r="B66" i="11"/>
  <c r="C66" i="11"/>
  <c r="B65" i="4"/>
  <c r="B65" i="13"/>
  <c r="E58" i="4"/>
  <c r="R58" i="4" s="1"/>
  <c r="B58" i="4"/>
  <c r="B59" i="11"/>
  <c r="C59" i="11"/>
  <c r="B58" i="13"/>
  <c r="E4" i="4"/>
  <c r="C5" i="11"/>
  <c r="B4" i="4"/>
  <c r="BE23" i="3" s="1"/>
  <c r="C8" i="4"/>
  <c r="B4" i="13"/>
  <c r="B5" i="11"/>
  <c r="B9" i="11" s="1"/>
  <c r="E51" i="4"/>
  <c r="R51" i="4" s="1"/>
  <c r="B52" i="11"/>
  <c r="B51" i="13"/>
  <c r="B51" i="4"/>
  <c r="C52" i="11"/>
  <c r="E93" i="4"/>
  <c r="R93" i="4" s="1"/>
  <c r="B93" i="4"/>
  <c r="B94" i="11"/>
  <c r="C94" i="11"/>
  <c r="B93" i="13"/>
  <c r="Z817" i="3"/>
  <c r="E51" i="13"/>
  <c r="E50" i="13"/>
  <c r="D51" i="11" l="1"/>
  <c r="D94" i="11"/>
  <c r="E8" i="7"/>
  <c r="Z818" i="3"/>
  <c r="D52" i="11"/>
  <c r="E29" i="13"/>
  <c r="D89" i="11"/>
  <c r="D59" i="11"/>
  <c r="E69" i="4"/>
  <c r="R69" i="4" s="1"/>
  <c r="B69" i="4"/>
  <c r="B69" i="13"/>
  <c r="C70" i="11"/>
  <c r="C71" i="11" s="1"/>
  <c r="B70" i="11"/>
  <c r="B71" i="11" s="1"/>
  <c r="H29" i="4"/>
  <c r="B30" i="11"/>
  <c r="B29" i="4"/>
  <c r="B29" i="13"/>
  <c r="C30" i="11"/>
  <c r="D66" i="11"/>
  <c r="B8" i="13"/>
  <c r="C12" i="4"/>
  <c r="B12" i="13" s="1"/>
  <c r="B8" i="4"/>
  <c r="D96" i="11"/>
  <c r="C70" i="4"/>
  <c r="C9" i="11"/>
  <c r="D5" i="11"/>
  <c r="R65" i="4"/>
  <c r="D92" i="11"/>
  <c r="R4" i="4"/>
  <c r="R8" i="4" s="1"/>
  <c r="E8" i="4"/>
  <c r="E12" i="4" s="1"/>
  <c r="B13" i="11"/>
  <c r="H108" i="4"/>
  <c r="E91" i="13"/>
  <c r="E47" i="13"/>
  <c r="R70" i="4" l="1"/>
  <c r="E70" i="4"/>
  <c r="G8" i="7"/>
  <c r="E9" i="7"/>
  <c r="E11" i="7" s="1"/>
  <c r="AG393" i="3"/>
  <c r="Q393" i="3" s="1"/>
  <c r="E13" i="4"/>
  <c r="R13" i="4" s="1"/>
  <c r="B14" i="11"/>
  <c r="B13" i="4"/>
  <c r="C14" i="11"/>
  <c r="B13" i="13"/>
  <c r="H38" i="4"/>
  <c r="H63" i="4" s="1"/>
  <c r="H97" i="4" s="1"/>
  <c r="H105" i="4" s="1"/>
  <c r="R29" i="4"/>
  <c r="N189" i="23"/>
  <c r="B12" i="4"/>
  <c r="D30" i="11"/>
  <c r="D70" i="11"/>
  <c r="E94" i="4"/>
  <c r="R94" i="4" s="1"/>
  <c r="B95" i="11"/>
  <c r="B94" i="4"/>
  <c r="B94" i="13"/>
  <c r="C95" i="11"/>
  <c r="E47" i="4"/>
  <c r="R47" i="4" s="1"/>
  <c r="B48" i="11"/>
  <c r="C48" i="11"/>
  <c r="B47" i="4"/>
  <c r="B47" i="13"/>
  <c r="D9" i="11"/>
  <c r="C13" i="11"/>
  <c r="D13" i="11" s="1"/>
  <c r="R12" i="4"/>
  <c r="B70" i="13"/>
  <c r="B70" i="4"/>
  <c r="D71" i="11"/>
  <c r="E89" i="13"/>
  <c r="E92" i="13"/>
  <c r="E41" i="13"/>
  <c r="E94" i="13"/>
  <c r="D14" i="11" l="1"/>
  <c r="G9" i="7"/>
  <c r="G11" i="7" s="1"/>
  <c r="I8" i="7"/>
  <c r="E84" i="13"/>
  <c r="E40" i="13"/>
  <c r="S42" i="4"/>
  <c r="E42" i="13" s="1"/>
  <c r="D95" i="11"/>
  <c r="E43" i="4"/>
  <c r="R43" i="4" s="1"/>
  <c r="B44" i="11"/>
  <c r="B43" i="4"/>
  <c r="C44" i="11"/>
  <c r="B43" i="13"/>
  <c r="E86" i="4"/>
  <c r="R86" i="4" s="1"/>
  <c r="B86" i="13"/>
  <c r="B86" i="4"/>
  <c r="C87" i="11"/>
  <c r="B87" i="11"/>
  <c r="D48" i="11"/>
  <c r="E90" i="4"/>
  <c r="R90" i="4" s="1"/>
  <c r="C91" i="11"/>
  <c r="B91" i="11"/>
  <c r="B90" i="13"/>
  <c r="B90" i="4"/>
  <c r="E84" i="4"/>
  <c r="R84" i="4" s="1"/>
  <c r="C85" i="11"/>
  <c r="B85" i="11"/>
  <c r="B84" i="4"/>
  <c r="B84" i="13"/>
  <c r="E89" i="4"/>
  <c r="R89" i="4" s="1"/>
  <c r="C90" i="11"/>
  <c r="B90" i="11"/>
  <c r="B89" i="4"/>
  <c r="B89" i="13"/>
  <c r="E40" i="4"/>
  <c r="C42" i="4"/>
  <c r="C41" i="11"/>
  <c r="B40" i="4"/>
  <c r="B41" i="11"/>
  <c r="B40" i="13"/>
  <c r="E92" i="4"/>
  <c r="R92" i="4" s="1"/>
  <c r="B92" i="13"/>
  <c r="B92" i="4"/>
  <c r="C93" i="11"/>
  <c r="B93" i="11"/>
  <c r="E41" i="4"/>
  <c r="R41" i="4" s="1"/>
  <c r="C42" i="11"/>
  <c r="B41" i="4"/>
  <c r="B42" i="11"/>
  <c r="B41" i="13"/>
  <c r="E86" i="13"/>
  <c r="E43" i="13"/>
  <c r="E90" i="13"/>
  <c r="B43" i="11" l="1"/>
  <c r="I9" i="7"/>
  <c r="I11" i="7" s="1"/>
  <c r="K8" i="7"/>
  <c r="D44" i="11"/>
  <c r="D42" i="11"/>
  <c r="B42" i="13"/>
  <c r="B42" i="4"/>
  <c r="E42" i="4"/>
  <c r="R40" i="4"/>
  <c r="R42" i="4" s="1"/>
  <c r="D91" i="11"/>
  <c r="D87" i="11"/>
  <c r="D93" i="11"/>
  <c r="D85" i="11"/>
  <c r="D41" i="11"/>
  <c r="C43" i="11"/>
  <c r="D90" i="11"/>
  <c r="D43" i="11" l="1"/>
  <c r="M8" i="7"/>
  <c r="K9" i="7"/>
  <c r="K11" i="7" s="1"/>
  <c r="E31" i="13"/>
  <c r="M9" i="7" l="1"/>
  <c r="M11" i="7" s="1"/>
  <c r="O8" i="7"/>
  <c r="E31" i="4"/>
  <c r="R31" i="4" s="1"/>
  <c r="B31" i="4"/>
  <c r="B32" i="11"/>
  <c r="B31" i="13"/>
  <c r="C32" i="11"/>
  <c r="B30" i="13"/>
  <c r="B30" i="4"/>
  <c r="B31" i="11"/>
  <c r="C31" i="11"/>
  <c r="E33" i="13"/>
  <c r="E32" i="13"/>
  <c r="E16" i="7" l="1"/>
  <c r="AC883" i="3"/>
  <c r="AC885" i="3" s="1"/>
  <c r="D32" i="11"/>
  <c r="O9" i="7"/>
  <c r="O11" i="7" s="1"/>
  <c r="Q8" i="7"/>
  <c r="E30" i="13"/>
  <c r="E33" i="4"/>
  <c r="R33" i="4" s="1"/>
  <c r="C34" i="11"/>
  <c r="B34" i="11"/>
  <c r="B33" i="4"/>
  <c r="B33" i="13"/>
  <c r="D31" i="11"/>
  <c r="E85" i="4"/>
  <c r="R85" i="4" s="1"/>
  <c r="B85" i="13"/>
  <c r="C86" i="11"/>
  <c r="B86" i="11"/>
  <c r="B85" i="4"/>
  <c r="N188" i="23" s="1"/>
  <c r="N195" i="23" s="1"/>
  <c r="E32" i="4"/>
  <c r="R32" i="4" s="1"/>
  <c r="B33" i="11"/>
  <c r="B32" i="4"/>
  <c r="C33" i="11"/>
  <c r="B32" i="13"/>
  <c r="S8" i="7" l="1"/>
  <c r="Q9" i="7"/>
  <c r="Q11" i="7" s="1"/>
  <c r="G16" i="7"/>
  <c r="E22" i="7"/>
  <c r="E35" i="7" s="1"/>
  <c r="E37" i="7" s="1"/>
  <c r="D86" i="11"/>
  <c r="D33" i="11"/>
  <c r="D34" i="11"/>
  <c r="I16" i="7" l="1"/>
  <c r="G22" i="7"/>
  <c r="G35" i="7" s="1"/>
  <c r="G37" i="7" s="1"/>
  <c r="U8" i="7"/>
  <c r="S9" i="7"/>
  <c r="S11" i="7" s="1"/>
  <c r="E35" i="13"/>
  <c r="E35" i="4"/>
  <c r="R35" i="4" s="1"/>
  <c r="B35" i="4"/>
  <c r="C36" i="11"/>
  <c r="B35" i="13"/>
  <c r="B36" i="11"/>
  <c r="C38" i="4"/>
  <c r="K16" i="7" l="1"/>
  <c r="I22" i="7"/>
  <c r="I35" i="7" s="1"/>
  <c r="I37" i="7" s="1"/>
  <c r="W8" i="7"/>
  <c r="U9" i="7"/>
  <c r="U11" i="7" s="1"/>
  <c r="E85" i="13"/>
  <c r="S96" i="4"/>
  <c r="E96" i="13" s="1"/>
  <c r="B38" i="13"/>
  <c r="B38" i="4"/>
  <c r="D36" i="11"/>
  <c r="E52" i="4"/>
  <c r="R52" i="4" s="1"/>
  <c r="B52" i="13"/>
  <c r="B53" i="11"/>
  <c r="C53" i="11"/>
  <c r="B52" i="4"/>
  <c r="E37" i="4"/>
  <c r="R37" i="4" s="1"/>
  <c r="B37" i="13"/>
  <c r="B38" i="11"/>
  <c r="B39" i="11" s="1"/>
  <c r="B37" i="4"/>
  <c r="C38" i="11"/>
  <c r="C39" i="11" s="1"/>
  <c r="W9" i="7" l="1"/>
  <c r="W11" i="7" s="1"/>
  <c r="Y8" i="7"/>
  <c r="M16" i="7"/>
  <c r="K22" i="7"/>
  <c r="K23" i="7" s="1"/>
  <c r="K35" i="7" s="1"/>
  <c r="K37" i="7" s="1"/>
  <c r="E37" i="13"/>
  <c r="S38" i="4"/>
  <c r="D38" i="11"/>
  <c r="E80" i="4"/>
  <c r="R80" i="4" s="1"/>
  <c r="C81" i="11"/>
  <c r="B80" i="13"/>
  <c r="B81" i="11"/>
  <c r="B80" i="4"/>
  <c r="D39" i="11"/>
  <c r="D53" i="11"/>
  <c r="E52" i="13"/>
  <c r="E80" i="13"/>
  <c r="O16" i="7" l="1"/>
  <c r="M22" i="7"/>
  <c r="M35" i="7" s="1"/>
  <c r="M37" i="7" s="1"/>
  <c r="Y9" i="7"/>
  <c r="Y11" i="7" s="1"/>
  <c r="AA8" i="7"/>
  <c r="E38" i="13"/>
  <c r="D81" i="11"/>
  <c r="E79" i="4"/>
  <c r="C80" i="11"/>
  <c r="B79" i="13"/>
  <c r="C81" i="4"/>
  <c r="B79" i="4"/>
  <c r="B80" i="11"/>
  <c r="B82" i="11" s="1"/>
  <c r="AC8" i="7" l="1"/>
  <c r="AA9" i="7"/>
  <c r="AA11" i="7" s="1"/>
  <c r="Q16" i="7"/>
  <c r="O22" i="7"/>
  <c r="O35" i="7" s="1"/>
  <c r="O37" i="7" s="1"/>
  <c r="C82" i="11"/>
  <c r="D82" i="11" s="1"/>
  <c r="D80" i="11"/>
  <c r="E81" i="4"/>
  <c r="R79" i="4"/>
  <c r="R81" i="4" s="1"/>
  <c r="B81" i="13"/>
  <c r="B81" i="4"/>
  <c r="AC9" i="7" l="1"/>
  <c r="AC11" i="7" s="1"/>
  <c r="AE8" i="7"/>
  <c r="S16" i="7"/>
  <c r="Q22" i="7"/>
  <c r="Q35" i="7" s="1"/>
  <c r="Q37" i="7" s="1"/>
  <c r="E79" i="13"/>
  <c r="S81" i="4"/>
  <c r="E81" i="13" s="1"/>
  <c r="U16" i="7" l="1"/>
  <c r="S22" i="7"/>
  <c r="S35" i="7" s="1"/>
  <c r="S37" i="7" s="1"/>
  <c r="AE9" i="7"/>
  <c r="AE11" i="7" s="1"/>
  <c r="AG8" i="7"/>
  <c r="AG9" i="7" l="1"/>
  <c r="AG11" i="7" s="1"/>
  <c r="W16" i="7"/>
  <c r="U22" i="7"/>
  <c r="U35" i="7" s="1"/>
  <c r="U37" i="7" s="1"/>
  <c r="Y16" i="7" l="1"/>
  <c r="W22" i="7"/>
  <c r="W35" i="7" s="1"/>
  <c r="W37" i="7" s="1"/>
  <c r="AA16" i="7" l="1"/>
  <c r="Y22" i="7"/>
  <c r="Y35" i="7" s="1"/>
  <c r="Y37" i="7" s="1"/>
  <c r="AC16" i="7" l="1"/>
  <c r="AA22" i="7"/>
  <c r="AA35" i="7" s="1"/>
  <c r="AA37" i="7" s="1"/>
  <c r="AE16" i="7" l="1"/>
  <c r="AC22" i="7"/>
  <c r="AC35" i="7" s="1"/>
  <c r="AC37" i="7" s="1"/>
  <c r="AG16" i="7" l="1"/>
  <c r="AG22" i="7" s="1"/>
  <c r="AG35" i="7" s="1"/>
  <c r="AG37" i="7" s="1"/>
  <c r="AE22" i="7"/>
  <c r="AE35" i="7" s="1"/>
  <c r="AE37" i="7" s="1"/>
  <c r="E83" i="4" l="1"/>
  <c r="B84" i="11"/>
  <c r="B97" i="11" s="1"/>
  <c r="C96" i="4"/>
  <c r="C84" i="11"/>
  <c r="B83" i="13"/>
  <c r="B83" i="4"/>
  <c r="D84" i="11" l="1"/>
  <c r="C97" i="11"/>
  <c r="D97" i="11" s="1"/>
  <c r="B96" i="13"/>
  <c r="B96" i="4"/>
  <c r="R83" i="4"/>
  <c r="R96" i="4" s="1"/>
  <c r="E96" i="4"/>
  <c r="E48" i="4" l="1"/>
  <c r="R48" i="4" s="1"/>
  <c r="B48" i="13"/>
  <c r="B49" i="11"/>
  <c r="C49" i="11"/>
  <c r="B48" i="4"/>
  <c r="D49" i="11" l="1"/>
  <c r="E46" i="4" l="1"/>
  <c r="R46" i="4" s="1"/>
  <c r="B46" i="13"/>
  <c r="B46" i="4"/>
  <c r="B47" i="11"/>
  <c r="C47" i="11"/>
  <c r="D47" i="11" l="1"/>
  <c r="E46" i="13"/>
  <c r="E45" i="13" l="1"/>
  <c r="S54" i="4"/>
  <c r="E45" i="4"/>
  <c r="B45" i="13"/>
  <c r="B45" i="4"/>
  <c r="C46" i="11"/>
  <c r="B46" i="11"/>
  <c r="B55" i="11" s="1"/>
  <c r="C54" i="4"/>
  <c r="E54" i="13" l="1"/>
  <c r="S63" i="4"/>
  <c r="B54" i="4"/>
  <c r="B54" i="13"/>
  <c r="D46" i="11"/>
  <c r="C55" i="11"/>
  <c r="E54" i="4"/>
  <c r="R45" i="4"/>
  <c r="R54" i="4" s="1"/>
  <c r="E63" i="13" l="1"/>
  <c r="S97" i="4"/>
  <c r="D55" i="11"/>
  <c r="E97" i="13" l="1"/>
  <c r="AZ1046" i="3"/>
  <c r="BA1056" i="3" l="1"/>
  <c r="AZ1051" i="3"/>
  <c r="BA1055" i="3" s="1"/>
  <c r="E99" i="13" l="1"/>
  <c r="S104" i="4"/>
  <c r="B99" i="4"/>
  <c r="C100" i="11"/>
  <c r="B99" i="13"/>
  <c r="B100" i="11"/>
  <c r="B105" i="11" s="1"/>
  <c r="C104" i="4"/>
  <c r="E104" i="13" l="1"/>
  <c r="BA1058" i="3"/>
  <c r="BA1059" i="3" s="1"/>
  <c r="S105" i="4"/>
  <c r="B104" i="13"/>
  <c r="B104" i="4"/>
  <c r="C105" i="11"/>
  <c r="D105" i="11" s="1"/>
  <c r="D100" i="11"/>
  <c r="S107" i="4" l="1"/>
  <c r="E105" i="13"/>
  <c r="E61" i="4"/>
  <c r="R61" i="4" s="1"/>
  <c r="B61" i="13"/>
  <c r="C62" i="11"/>
  <c r="B61" i="4"/>
  <c r="B62" i="11"/>
  <c r="AF551" i="20" l="1"/>
  <c r="AF553" i="20" s="1"/>
  <c r="AK559" i="20" s="1"/>
  <c r="T818" i="20" s="1"/>
  <c r="AF818" i="20" s="1"/>
  <c r="BE81" i="3" s="1"/>
  <c r="AA1056" i="3"/>
  <c r="AA1057" i="3" s="1"/>
  <c r="G1058" i="3" s="1"/>
  <c r="AC456" i="3"/>
  <c r="E107" i="13"/>
  <c r="D62" i="11"/>
  <c r="Y11" i="15" l="1"/>
  <c r="Y23" i="15" s="1"/>
  <c r="Y26" i="15" s="1"/>
  <c r="Y28" i="15" s="1"/>
  <c r="Y64" i="15" s="1"/>
  <c r="Y68" i="15" s="1"/>
  <c r="Y69" i="15" s="1"/>
  <c r="T11" i="15"/>
  <c r="T23" i="15" s="1"/>
  <c r="T26" i="15" l="1"/>
  <c r="T28" i="15" s="1"/>
  <c r="T29" i="15" s="1"/>
  <c r="AD38" i="15"/>
  <c r="AD40" i="15" s="1"/>
  <c r="Y38" i="15"/>
  <c r="Y40" i="15" s="1"/>
  <c r="Y41" i="15" l="1"/>
  <c r="E108" i="4"/>
  <c r="E40" i="7" l="1"/>
  <c r="N10" i="23"/>
  <c r="F108" i="4"/>
  <c r="F30" i="4" s="1"/>
  <c r="F38" i="4" s="1"/>
  <c r="F63" i="4" s="1"/>
  <c r="F97" i="4" s="1"/>
  <c r="F105" i="4" s="1"/>
  <c r="E41" i="7"/>
  <c r="O40" i="7" l="1"/>
  <c r="U40" i="7"/>
  <c r="AG40" i="7"/>
  <c r="K40" i="7"/>
  <c r="AA40" i="7"/>
  <c r="AE40" i="7"/>
  <c r="Y40" i="7"/>
  <c r="W40" i="7"/>
  <c r="AC40" i="7"/>
  <c r="M40" i="7"/>
  <c r="S40" i="7"/>
  <c r="Q40" i="7"/>
  <c r="G40" i="7"/>
  <c r="I40" i="7"/>
  <c r="G41" i="7"/>
  <c r="G43" i="7" s="1"/>
  <c r="S41" i="7"/>
  <c r="AE41" i="7"/>
  <c r="O41" i="7"/>
  <c r="I41" i="7"/>
  <c r="U41" i="7"/>
  <c r="AG41" i="7"/>
  <c r="M41" i="7"/>
  <c r="M43" i="7" s="1"/>
  <c r="AA41" i="7"/>
  <c r="AA43" i="7" s="1"/>
  <c r="Q41" i="7"/>
  <c r="Q43" i="7" s="1"/>
  <c r="K41" i="7"/>
  <c r="W41" i="7"/>
  <c r="W43" i="7" s="1"/>
  <c r="Y41" i="7"/>
  <c r="Y43" i="7" s="1"/>
  <c r="AC41" i="7"/>
  <c r="E43" i="7"/>
  <c r="AC43" i="7" l="1"/>
  <c r="AG43" i="7"/>
  <c r="O43" i="7"/>
  <c r="U43" i="7"/>
  <c r="U49" i="7" s="1"/>
  <c r="AE43" i="7"/>
  <c r="AE45" i="7" s="1"/>
  <c r="K43" i="7"/>
  <c r="K49" i="7" s="1"/>
  <c r="G108" i="4"/>
  <c r="G30" i="4" s="1"/>
  <c r="S43" i="7"/>
  <c r="S49" i="7" s="1"/>
  <c r="I43" i="7"/>
  <c r="I49" i="7" s="1"/>
  <c r="Q49" i="7"/>
  <c r="Q45" i="7"/>
  <c r="O45" i="7"/>
  <c r="O49" i="7"/>
  <c r="E49" i="7"/>
  <c r="E45" i="7"/>
  <c r="AA49" i="7"/>
  <c r="AA45" i="7"/>
  <c r="W49" i="7"/>
  <c r="W45" i="7"/>
  <c r="AC49" i="7"/>
  <c r="AC45" i="7"/>
  <c r="M49" i="7"/>
  <c r="M45" i="7"/>
  <c r="Y49" i="7"/>
  <c r="Y45" i="7"/>
  <c r="AG49" i="7"/>
  <c r="AG45" i="7"/>
  <c r="G45" i="7"/>
  <c r="G49" i="7"/>
  <c r="U45" i="7" l="1"/>
  <c r="K45" i="7"/>
  <c r="AE49" i="7"/>
  <c r="S45" i="7"/>
  <c r="S60" i="7" s="1"/>
  <c r="S63" i="7" s="1"/>
  <c r="S65" i="7" s="1"/>
  <c r="I45" i="7"/>
  <c r="I48" i="7" s="1"/>
  <c r="Y47" i="7"/>
  <c r="Y60" i="7"/>
  <c r="Y48" i="7"/>
  <c r="M47" i="7"/>
  <c r="M60" i="7"/>
  <c r="M48" i="7"/>
  <c r="AE47" i="7"/>
  <c r="AE60" i="7"/>
  <c r="AE48" i="7"/>
  <c r="K47" i="7"/>
  <c r="K60" i="7"/>
  <c r="K48" i="7"/>
  <c r="E75" i="4"/>
  <c r="B75" i="13"/>
  <c r="C76" i="11"/>
  <c r="B76" i="11"/>
  <c r="B78" i="11" s="1"/>
  <c r="B75" i="4"/>
  <c r="C77" i="4"/>
  <c r="AC60" i="7"/>
  <c r="AC47" i="7"/>
  <c r="AC48" i="7"/>
  <c r="U48" i="7"/>
  <c r="U60" i="7"/>
  <c r="U63" i="7" s="1"/>
  <c r="U65" i="7" s="1"/>
  <c r="U47" i="7"/>
  <c r="AA47" i="7"/>
  <c r="AA48" i="7"/>
  <c r="AA60" i="7"/>
  <c r="G47" i="7"/>
  <c r="G48" i="7"/>
  <c r="G60" i="7"/>
  <c r="G63" i="7" s="1"/>
  <c r="G65" i="7" s="1"/>
  <c r="O48" i="7"/>
  <c r="O60" i="7"/>
  <c r="O47" i="7"/>
  <c r="AG48" i="7"/>
  <c r="AG60" i="7"/>
  <c r="AG47" i="7"/>
  <c r="S47" i="7"/>
  <c r="S48" i="7"/>
  <c r="W47" i="7"/>
  <c r="W48" i="7"/>
  <c r="W60" i="7"/>
  <c r="W63" i="7" s="1"/>
  <c r="W65" i="7" s="1"/>
  <c r="E48" i="7"/>
  <c r="E60" i="7"/>
  <c r="E47" i="7"/>
  <c r="Q60" i="7"/>
  <c r="Q47" i="7"/>
  <c r="Q48" i="7"/>
  <c r="G38" i="4"/>
  <c r="G63" i="4" s="1"/>
  <c r="G97" i="4" s="1"/>
  <c r="G105" i="4" s="1"/>
  <c r="E30" i="4"/>
  <c r="I47" i="7" l="1"/>
  <c r="I60" i="7"/>
  <c r="S71" i="7"/>
  <c r="S70" i="7"/>
  <c r="C78" i="11"/>
  <c r="D78" i="11" s="1"/>
  <c r="D76" i="11"/>
  <c r="E38" i="4"/>
  <c r="R30" i="4"/>
  <c r="R38" i="4" s="1"/>
  <c r="E63" i="7"/>
  <c r="E65" i="7" s="1"/>
  <c r="O63" i="7"/>
  <c r="O65" i="7" s="1"/>
  <c r="M63" i="7"/>
  <c r="M65" i="7" s="1"/>
  <c r="E77" i="4"/>
  <c r="R75" i="4"/>
  <c r="R77" i="4" s="1"/>
  <c r="E57" i="4"/>
  <c r="B57" i="4"/>
  <c r="B57" i="13"/>
  <c r="B58" i="11"/>
  <c r="B63" i="11" s="1"/>
  <c r="B64" i="11" s="1"/>
  <c r="B98" i="11" s="1"/>
  <c r="B106" i="11" s="1"/>
  <c r="C58" i="11"/>
  <c r="C62" i="4"/>
  <c r="W70" i="7"/>
  <c r="W71" i="7"/>
  <c r="G70" i="7"/>
  <c r="G71" i="7"/>
  <c r="B77" i="13"/>
  <c r="B77" i="4"/>
  <c r="I63" i="7"/>
  <c r="I65" i="7" s="1"/>
  <c r="U71" i="7"/>
  <c r="U70" i="7"/>
  <c r="K63" i="7"/>
  <c r="K65" i="7" s="1"/>
  <c r="Y63" i="7"/>
  <c r="Y65" i="7" s="1"/>
  <c r="Q63" i="7"/>
  <c r="Q65" i="7" s="1"/>
  <c r="AM566" i="3"/>
  <c r="U74" i="7" l="1"/>
  <c r="U76" i="7" s="1"/>
  <c r="S74" i="7"/>
  <c r="S76" i="7" s="1"/>
  <c r="W74" i="7"/>
  <c r="W76" i="7" s="1"/>
  <c r="Y71" i="7"/>
  <c r="Y70" i="7"/>
  <c r="K71" i="7"/>
  <c r="K70" i="7"/>
  <c r="G74" i="7"/>
  <c r="G76" i="7" s="1"/>
  <c r="M70" i="7"/>
  <c r="M71" i="7"/>
  <c r="B62" i="13"/>
  <c r="B62" i="4"/>
  <c r="B63" i="4" s="1"/>
  <c r="C63" i="4"/>
  <c r="E70" i="7"/>
  <c r="E71" i="7"/>
  <c r="I70" i="7"/>
  <c r="I71" i="7"/>
  <c r="E62" i="4"/>
  <c r="E63" i="4" s="1"/>
  <c r="E97" i="4" s="1"/>
  <c r="R57" i="4"/>
  <c r="R62" i="4" s="1"/>
  <c r="R63" i="4" s="1"/>
  <c r="R97" i="4" s="1"/>
  <c r="O70" i="7"/>
  <c r="O71" i="7"/>
  <c r="E62" i="7"/>
  <c r="E64" i="7" s="1"/>
  <c r="G62" i="7" s="1"/>
  <c r="G64" i="7" s="1"/>
  <c r="I62" i="7" s="1"/>
  <c r="I64" i="7" s="1"/>
  <c r="K62" i="7" s="1"/>
  <c r="K64" i="7" s="1"/>
  <c r="M62" i="7" s="1"/>
  <c r="M64" i="7" s="1"/>
  <c r="O62" i="7" s="1"/>
  <c r="O64" i="7" s="1"/>
  <c r="Q62" i="7" s="1"/>
  <c r="Q64" i="7" s="1"/>
  <c r="S62" i="7" s="1"/>
  <c r="S64" i="7" s="1"/>
  <c r="U62" i="7" s="1"/>
  <c r="U64" i="7" s="1"/>
  <c r="W62" i="7" s="1"/>
  <c r="W64" i="7" s="1"/>
  <c r="Y62" i="7" s="1"/>
  <c r="Y64" i="7" s="1"/>
  <c r="AA62" i="7" s="1"/>
  <c r="AA63" i="7" s="1"/>
  <c r="I108" i="4"/>
  <c r="I99" i="4" s="1"/>
  <c r="AO639" i="3"/>
  <c r="D58" i="11"/>
  <c r="C63" i="11"/>
  <c r="Q70" i="7"/>
  <c r="Q71" i="7"/>
  <c r="O74" i="7" l="1"/>
  <c r="O76" i="7" s="1"/>
  <c r="E74" i="7"/>
  <c r="E76" i="7" s="1"/>
  <c r="Y74" i="7"/>
  <c r="Y76" i="7" s="1"/>
  <c r="I104" i="4"/>
  <c r="I105" i="4" s="1"/>
  <c r="E99" i="4"/>
  <c r="Q74" i="7"/>
  <c r="Q76" i="7" s="1"/>
  <c r="AA64" i="7"/>
  <c r="AC62" i="7" s="1"/>
  <c r="AA65" i="7"/>
  <c r="I74" i="7"/>
  <c r="I76" i="7" s="1"/>
  <c r="D63" i="11"/>
  <c r="C64" i="11"/>
  <c r="K74" i="7"/>
  <c r="K76" i="7" s="1"/>
  <c r="B63" i="13"/>
  <c r="C97" i="4"/>
  <c r="AB48" i="15"/>
  <c r="AO641" i="3"/>
  <c r="M74" i="7"/>
  <c r="M76" i="7" s="1"/>
  <c r="C105" i="4" l="1"/>
  <c r="B97" i="13"/>
  <c r="B97" i="4"/>
  <c r="AA70" i="7"/>
  <c r="AA71" i="7"/>
  <c r="AC63" i="7"/>
  <c r="AC65" i="7" s="1"/>
  <c r="C98" i="11"/>
  <c r="D64" i="11"/>
  <c r="E104" i="4"/>
  <c r="E105" i="4" s="1"/>
  <c r="R99" i="4"/>
  <c r="R104" i="4" s="1"/>
  <c r="R105" i="4" s="1"/>
  <c r="AA74" i="7" l="1"/>
  <c r="AA76" i="7" s="1"/>
  <c r="AC71" i="7"/>
  <c r="AC70" i="7"/>
  <c r="C106" i="11"/>
  <c r="D106" i="11" s="1"/>
  <c r="D98" i="11"/>
  <c r="AC64" i="7"/>
  <c r="AE62" i="7" s="1"/>
  <c r="AC455" i="3"/>
  <c r="B105" i="4"/>
  <c r="B105" i="13"/>
  <c r="BE101" i="3"/>
  <c r="AG269" i="20"/>
  <c r="AC74" i="7" l="1"/>
  <c r="AC76" i="7" s="1"/>
  <c r="AE63" i="7"/>
  <c r="AE65" i="7" s="1"/>
  <c r="BE22" i="3"/>
  <c r="AB266" i="20"/>
  <c r="AG268" i="20" s="1"/>
  <c r="AG270" i="20" s="1"/>
  <c r="AK273" i="20" s="1"/>
  <c r="T812" i="20" s="1"/>
  <c r="AF812" i="20" s="1"/>
  <c r="AC454" i="3"/>
  <c r="N185" i="23"/>
  <c r="AB47" i="15"/>
  <c r="AB49" i="15" s="1"/>
  <c r="AB54" i="15" s="1"/>
  <c r="AB55" i="15" s="1"/>
  <c r="AB56" i="15" s="1"/>
  <c r="AE64" i="7" l="1"/>
  <c r="AG62" i="7" s="1"/>
  <c r="AG63" i="7" s="1"/>
  <c r="AG65" i="7" s="1"/>
  <c r="N186" i="23"/>
  <c r="N196" i="23"/>
  <c r="BE44" i="3"/>
  <c r="F457" i="3"/>
  <c r="BE77" i="3"/>
  <c r="AF821" i="20"/>
  <c r="BE70" i="3" s="1"/>
  <c r="M26" i="3"/>
  <c r="AB57" i="15"/>
  <c r="AB59" i="15" s="1"/>
  <c r="AB77" i="15" s="1"/>
  <c r="AB78" i="15" s="1"/>
  <c r="AE71" i="7"/>
  <c r="AE70" i="7"/>
  <c r="AG64" i="7" l="1"/>
  <c r="AE74" i="7"/>
  <c r="AE76" i="7" s="1"/>
  <c r="I10" i="21"/>
  <c r="I11" i="21" s="1"/>
  <c r="I18" i="21" s="1"/>
  <c r="H4" i="21" s="1"/>
  <c r="H5" i="21" s="1"/>
  <c r="BE83" i="3" s="1"/>
  <c r="AB79" i="15"/>
  <c r="AB81" i="15" s="1"/>
  <c r="J82" i="15" s="1"/>
  <c r="M27" i="3"/>
  <c r="P204" i="3"/>
  <c r="BE19" i="3"/>
  <c r="AG71" i="7"/>
  <c r="AG70" i="7"/>
  <c r="BE20" i="3" l="1"/>
  <c r="P205" i="3"/>
  <c r="AG74" i="7"/>
  <c r="AG7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9"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<sst xmlns="http://schemas.openxmlformats.org/spreadsheetml/2006/main" count="5016" uniqueCount="2756">
  <si>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</si>
  <si>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</si>
  <si>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</si>
  <si>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</si>
  <si>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</si>
  <si>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</si>
  <si>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</si>
  <si>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</si>
  <si>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</si>
  <si>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</si>
  <si>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</si>
  <si>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</si>
  <si>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</si>
  <si>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</si>
  <si>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</si>
  <si>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</si>
  <si>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</si>
  <si>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</si>
  <si>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</si>
  <si>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</si>
  <si>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</si>
  <si>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</si>
  <si>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</si>
  <si>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</si>
  <si>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</si>
  <si>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</si>
  <si>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</si>
  <si>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</si>
  <si>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</si>
  <si>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</si>
  <si>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</si>
  <si>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</si>
  <si>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</si>
  <si>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</si>
  <si>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</si>
  <si>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</si>
  <si>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</si>
  <si>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</si>
  <si>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</si>
  <si>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</si>
  <si>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</si>
  <si>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</si>
  <si>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</si>
  <si>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</si>
  <si>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</si>
  <si>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</si>
  <si>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</si>
  <si>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</si>
  <si>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</si>
  <si>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</si>
  <si>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</si>
  <si>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</si>
  <si>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</si>
  <si>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</si>
  <si>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</si>
  <si>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</si>
  <si>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</si>
  <si>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</si>
  <si>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</si>
  <si>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</si>
  <si>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</si>
  <si>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</si>
  <si>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</si>
  <si>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</si>
  <si>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</si>
  <si>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</si>
  <si>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</si>
  <si>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</si>
  <si>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</si>
  <si>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</si>
  <si>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</si>
  <si>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</si>
  <si>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</si>
  <si>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</si>
  <si>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</si>
  <si>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</si>
  <si>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</si>
  <si>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</si>
  <si>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</si>
  <si>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</si>
  <si>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</si>
  <si>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</si>
  <si>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</si>
  <si>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</si>
  <si>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</si>
  <si>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</si>
  <si>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</si>
  <si>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</si>
  <si>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</si>
  <si>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</si>
  <si>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</si>
  <si>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</si>
  <si>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</si>
  <si>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</si>
  <si>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</si>
  <si>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</si>
  <si>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</si>
  <si>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</si>
  <si>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</si>
  <si>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</si>
  <si>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</si>
  <si>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</si>
  <si>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</si>
  <si>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</si>
  <si>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</si>
  <si>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</si>
  <si>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</si>
  <si>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</si>
  <si>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</si>
  <si>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</si>
  <si>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</si>
  <si>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</si>
  <si>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</si>
  <si>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</si>
  <si>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</si>
  <si>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</si>
  <si>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</si>
  <si>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</si>
  <si>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</si>
  <si>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</si>
  <si>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</si>
  <si>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</si>
  <si>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</si>
  <si>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</si>
  <si>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</si>
  <si>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</si>
  <si>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</si>
  <si>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</si>
  <si>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</si>
  <si>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</si>
  <si>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</si>
  <si>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</si>
  <si>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</si>
  <si>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</si>
  <si>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</si>
  <si>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</si>
  <si>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</si>
  <si>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</si>
  <si>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</si>
  <si>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</si>
  <si>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</si>
  <si>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</si>
  <si>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</si>
  <si>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</si>
  <si>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</si>
  <si>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</si>
  <si>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</si>
  <si>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</si>
  <si>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</si>
  <si>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</si>
  <si>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</si>
  <si>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</si>
  <si>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</si>
  <si>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</si>
  <si>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</si>
  <si>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</si>
  <si>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</si>
  <si>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</si>
  <si>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</si>
  <si>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</si>
  <si>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</si>
  <si>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</si>
  <si>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</si>
  <si>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</si>
  <si>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</si>
  <si>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</si>
  <si>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</si>
  <si>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</si>
  <si>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</si>
  <si>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</si>
  <si>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</si>
  <si>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</si>
  <si>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</si>
  <si>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</si>
  <si>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</si>
  <si>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</si>
  <si>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</si>
  <si>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</si>
  <si>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</si>
  <si>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</si>
  <si>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</si>
  <si>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</si>
  <si>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</si>
  <si>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</si>
  <si>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</si>
  <si>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</si>
  <si>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</si>
  <si>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</si>
  <si>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</si>
  <si>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</si>
  <si>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</si>
  <si>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</si>
  <si>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</si>
  <si>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</si>
  <si>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</si>
  <si>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</si>
  <si>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</si>
  <si>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</si>
  <si>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</si>
  <si>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</si>
  <si>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</si>
  <si>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</si>
  <si>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</si>
  <si>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</si>
  <si>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</si>
  <si>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</si>
  <si>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</si>
  <si>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</si>
  <si>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</si>
  <si>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</si>
  <si>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</si>
  <si>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</si>
  <si>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</si>
  <si>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</si>
  <si>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</si>
  <si>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</si>
  <si>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</si>
  <si>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</si>
  <si>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</si>
  <si>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</si>
  <si>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</si>
  <si>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</si>
  <si>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</si>
  <si>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</si>
  <si>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</si>
  <si>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</si>
  <si>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</si>
  <si>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</si>
  <si>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</si>
  <si>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</si>
  <si>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</si>
  <si>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</si>
  <si>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</si>
  <si>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</si>
  <si>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</si>
  <si>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</si>
  <si>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</si>
  <si>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</si>
  <si>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</si>
  <si>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</si>
  <si>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</si>
  <si>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</si>
  <si>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</si>
  <si>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</si>
  <si>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</si>
  <si>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</si>
  <si>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</si>
  <si>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</si>
  <si>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</si>
  <si>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</si>
  <si>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</si>
  <si>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</si>
  <si>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</si>
  <si>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</si>
  <si>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</si>
  <si>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</si>
  <si>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</si>
  <si>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</si>
  <si>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</si>
  <si>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</si>
  <si>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</si>
  <si>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</si>
  <si>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</si>
  <si>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</si>
  <si>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</si>
  <si>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</si>
  <si>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</si>
  <si>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</si>
  <si>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</si>
  <si>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</si>
  <si>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</si>
  <si>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</si>
  <si>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</si>
  <si>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</si>
  <si>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</si>
  <si>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</si>
  <si>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</si>
  <si>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</si>
  <si>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</si>
  <si>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</si>
  <si>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</si>
  <si>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</si>
  <si>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</si>
  <si>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</si>
  <si>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</si>
  <si>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</si>
  <si>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</si>
  <si>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</si>
  <si>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</si>
  <si>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</si>
  <si>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</si>
  <si>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</si>
  <si>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</si>
  <si>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</si>
  <si>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</si>
  <si>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</si>
  <si>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</si>
  <si>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</si>
  <si>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</si>
  <si>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</si>
  <si>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</si>
  <si>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</si>
  <si>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</si>
  <si>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</si>
  <si>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</si>
  <si>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</si>
  <si>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</si>
  <si>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</si>
  <si>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</si>
  <si>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</si>
  <si>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</si>
  <si>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</si>
  <si>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</si>
  <si>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</si>
  <si>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</si>
  <si>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</si>
  <si>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</si>
  <si>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</si>
  <si>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</si>
  <si>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</si>
  <si>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</si>
  <si>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</si>
  <si>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</si>
  <si>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</si>
  <si>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</si>
  <si>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</si>
  <si>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</si>
  <si>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</si>
  <si>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</si>
  <si>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</si>
  <si>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</si>
  <si>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</si>
  <si>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</si>
  <si>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</si>
  <si>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</si>
  <si>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</si>
  <si>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</si>
  <si>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</si>
  <si>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</si>
  <si>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</si>
  <si>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</si>
  <si>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</si>
  <si>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</si>
  <si>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</si>
  <si>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</si>
  <si>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</si>
  <si>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</si>
  <si>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</si>
  <si>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</si>
  <si>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</si>
  <si>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</si>
  <si>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</si>
  <si>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</si>
  <si>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</si>
  <si>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</si>
  <si>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</si>
  <si>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</si>
  <si>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</si>
  <si>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</si>
  <si>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</si>
  <si>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</si>
  <si>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</si>
  <si>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</si>
  <si>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</si>
  <si>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</si>
  <si>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</si>
  <si>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</si>
  <si>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</si>
  <si>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</si>
  <si>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</si>
  <si>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</si>
  <si>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</si>
  <si>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</si>
  <si>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</si>
  <si>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</si>
  <si>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</si>
  <si>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</si>
  <si>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</si>
  <si>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</si>
  <si>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</si>
  <si>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</si>
  <si>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</si>
  <si>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</si>
  <si>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</si>
  <si>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</si>
  <si>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</si>
  <si>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</si>
  <si>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</si>
  <si>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</si>
  <si>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</si>
  <si>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</si>
  <si>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</si>
  <si>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</si>
  <si>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</si>
  <si>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</si>
  <si>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</si>
  <si>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</si>
  <si>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</si>
  <si>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</si>
  <si>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</si>
  <si>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</si>
  <si>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</si>
  <si>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</si>
  <si>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</si>
  <si>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</si>
  <si>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</si>
  <si>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</si>
  <si>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</si>
  <si>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</si>
  <si>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</si>
  <si>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</si>
  <si>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</si>
  <si>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</si>
  <si>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</si>
  <si>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</si>
  <si>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</si>
  <si>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</si>
  <si>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</si>
  <si>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</si>
  <si>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</si>
  <si>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</si>
  <si>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</si>
  <si>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</si>
  <si>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</si>
  <si>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</si>
  <si>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</si>
  <si>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</si>
  <si>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</si>
  <si>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</si>
  <si>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</si>
  <si>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</si>
  <si>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</si>
  <si>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</si>
  <si>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</si>
  <si>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</si>
  <si>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</si>
  <si>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</si>
  <si>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</si>
  <si>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</si>
  <si>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</si>
  <si>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</si>
  <si>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</si>
  <si>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</si>
  <si>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</si>
  <si>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</si>
  <si>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</si>
  <si>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</si>
  <si>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</si>
  <si>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</si>
  <si>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</si>
  <si>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</si>
  <si>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</si>
  <si>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</si>
  <si>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</si>
  <si>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</si>
  <si>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</si>
  <si>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</si>
  <si>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</si>
  <si>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</si>
  <si>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</si>
  <si>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</si>
  <si>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</si>
  <si>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</si>
  <si>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</si>
  <si>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</si>
  <si>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</si>
  <si>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</si>
  <si>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</si>
  <si>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</si>
  <si>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</si>
  <si>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</si>
  <si>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</si>
  <si>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</si>
  <si>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</si>
  <si>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</si>
  <si>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</si>
  <si>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</si>
  <si>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</si>
  <si>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</si>
  <si>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</si>
  <si>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</si>
  <si>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</si>
  <si>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</si>
  <si>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</si>
  <si>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</si>
  <si>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</si>
  <si>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</si>
  <si>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</si>
  <si>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</si>
  <si>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</si>
  <si>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</si>
  <si>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</si>
  <si>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</si>
  <si>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</si>
  <si>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</si>
  <si>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</si>
  <si>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</si>
  <si>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</si>
  <si>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</si>
  <si>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</si>
  <si>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</si>
  <si>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</si>
  <si>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</si>
  <si>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</si>
  <si>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</si>
  <si>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</si>
  <si>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</si>
  <si>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</si>
  <si>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</si>
  <si>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</si>
  <si>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</si>
  <si>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</si>
  <si>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</si>
  <si>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</si>
  <si>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</si>
  <si>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</si>
  <si>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</si>
  <si>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</si>
  <si>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</si>
  <si>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</si>
  <si>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</si>
  <si>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</si>
  <si>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</si>
  <si>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</si>
  <si>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</si>
  <si>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</si>
  <si>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</si>
  <si>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</si>
  <si>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</si>
  <si>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</si>
  <si>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</si>
  <si>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</si>
  <si>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</si>
  <si>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</si>
  <si>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</si>
  <si>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</si>
  <si>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</si>
  <si>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</si>
  <si>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</si>
  <si>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</si>
  <si>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</si>
  <si>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</si>
  <si>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</si>
  <si>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</si>
  <si>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</si>
  <si>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</si>
  <si>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</si>
  <si>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</si>
  <si>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</si>
  <si>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</si>
  <si>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</si>
  <si>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</si>
  <si>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</si>
  <si>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</si>
  <si>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</si>
  <si>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</si>
  <si>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</si>
  <si>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</si>
  <si>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</si>
  <si>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</si>
  <si>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</si>
  <si>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</si>
  <si>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</si>
  <si>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</si>
  <si>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</si>
  <si>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</si>
  <si>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</si>
  <si>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</si>
  <si>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</si>
  <si>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</si>
  <si>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</si>
  <si>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</si>
  <si>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</si>
  <si>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</si>
  <si>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</si>
  <si>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</si>
  <si>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</si>
  <si>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</si>
  <si>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</si>
  <si>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</si>
  <si>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</si>
  <si>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</si>
  <si>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</si>
  <si>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</si>
  <si>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</si>
  <si>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</si>
  <si>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</si>
  <si>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</si>
  <si>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</si>
  <si>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</si>
  <si>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</si>
  <si>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</si>
  <si>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</si>
  <si>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</si>
  <si>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</si>
  <si>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</si>
  <si>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</si>
  <si>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</si>
  <si>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</si>
  <si>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</si>
  <si>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</si>
  <si>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</si>
  <si>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</si>
  <si>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</si>
  <si>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</si>
  <si>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</si>
  <si>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</si>
  <si>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</si>
  <si>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</si>
  <si>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</si>
  <si>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</si>
  <si>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</si>
  <si>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</si>
  <si>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</si>
  <si>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</si>
  <si>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</si>
  <si>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</si>
  <si>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</si>
  <si>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</si>
  <si>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</si>
  <si>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</si>
  <si>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</si>
  <si>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</si>
  <si>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</si>
  <si>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</si>
  <si>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</si>
  <si>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</si>
  <si>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</si>
  <si>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</si>
  <si>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</si>
  <si>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</si>
  <si>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</si>
  <si>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</si>
  <si>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</si>
  <si>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</si>
  <si>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</si>
  <si>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</si>
  <si>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</si>
  <si>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</si>
  <si>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</si>
  <si>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</si>
  <si>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</si>
  <si>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</si>
  <si>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</si>
  <si>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</si>
  <si>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</si>
  <si>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</si>
  <si>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</si>
  <si>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</si>
  <si>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</si>
  <si>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</si>
  <si>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</si>
  <si>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</si>
  <si>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</si>
  <si>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</si>
  <si>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</si>
  <si>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</si>
  <si>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</si>
  <si>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</si>
  <si>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</si>
  <si>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</si>
  <si>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</si>
  <si>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</si>
  <si>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</si>
  <si>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</si>
  <si>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</si>
  <si>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</si>
  <si>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</si>
  <si>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</si>
  <si>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</si>
  <si>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</si>
  <si>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</si>
  <si>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</si>
  <si>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</si>
  <si>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</si>
  <si>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</si>
  <si>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</si>
  <si>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</si>
  <si>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</si>
  <si>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</si>
  <si>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</si>
  <si>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</si>
  <si>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</si>
  <si>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</si>
  <si>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</si>
  <si>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</si>
  <si>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</si>
  <si>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</si>
  <si>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</si>
  <si>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</si>
  <si>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</si>
  <si>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</si>
  <si>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</si>
  <si>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</si>
  <si>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</si>
  <si>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</si>
  <si>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</si>
  <si>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</si>
  <si>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</si>
  <si>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</si>
  <si>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</si>
  <si>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</si>
  <si>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</si>
  <si>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</si>
  <si>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</si>
  <si>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</si>
  <si>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</si>
  <si>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</si>
  <si>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</si>
  <si>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</si>
  <si>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</si>
  <si>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</si>
  <si>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</si>
  <si>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</si>
  <si>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</si>
  <si>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</si>
  <si>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</si>
  <si>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</si>
  <si>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</si>
  <si>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</si>
  <si>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</si>
  <si>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</si>
  <si>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</si>
  <si>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</si>
  <si>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</si>
  <si>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</si>
  <si>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</si>
  <si>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</si>
  <si>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</si>
  <si>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</si>
  <si>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</si>
  <si>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</si>
  <si>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</si>
  <si>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</si>
  <si>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</si>
  <si>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</si>
  <si>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</si>
  <si>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</si>
  <si>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</si>
  <si>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</si>
  <si>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</si>
  <si>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</si>
  <si>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</si>
  <si>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</si>
  <si>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</si>
  <si>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</si>
  <si>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</si>
  <si>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</si>
  <si>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</si>
  <si>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</si>
  <si>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</si>
  <si>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</si>
  <si>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</si>
  <si>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</si>
  <si>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</si>
  <si>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</si>
  <si>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</si>
  <si>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</si>
  <si>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</si>
  <si>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</si>
  <si>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</si>
  <si>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</si>
  <si>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</si>
  <si>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</si>
  <si>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</si>
  <si>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</si>
  <si>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</si>
  <si>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</si>
  <si>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</si>
  <si>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</si>
  <si>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</si>
  <si>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</si>
  <si>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</si>
  <si>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</si>
  <si>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</si>
  <si>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</si>
  <si>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</si>
  <si>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</si>
  <si>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</si>
  <si>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</si>
  <si>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</si>
  <si>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</si>
  <si>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</si>
  <si>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</si>
  <si>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</si>
  <si>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</si>
  <si>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</si>
  <si>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</si>
  <si>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</si>
  <si>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</si>
  <si>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</si>
  <si>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</si>
  <si>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</si>
  <si>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</si>
  <si>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</si>
  <si>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</si>
  <si>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</si>
  <si>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</si>
  <si>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</si>
  <si>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</si>
  <si>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</si>
  <si>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</si>
  <si>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</si>
  <si>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</si>
  <si>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</si>
  <si>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</si>
  <si>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</si>
  <si>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</si>
  <si>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</si>
  <si>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</si>
  <si>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</si>
  <si>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</si>
  <si>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</si>
  <si>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</si>
  <si>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</si>
  <si>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</si>
  <si>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</si>
  <si>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</si>
  <si>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</si>
  <si>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</si>
  <si>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</si>
  <si>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</si>
  <si>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</si>
  <si>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</si>
  <si>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</si>
  <si>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</si>
  <si>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</si>
  <si>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</si>
  <si>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</si>
  <si>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</si>
  <si>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</si>
  <si>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</si>
  <si>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</si>
  <si>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</si>
  <si>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</si>
  <si>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</si>
  <si>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</si>
  <si>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</si>
  <si>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</si>
  <si>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</si>
  <si>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</si>
  <si>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</si>
  <si>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</si>
  <si>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</si>
  <si>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</si>
  <si>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</si>
  <si>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</si>
  <si>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</si>
  <si>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</si>
  <si>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</si>
  <si>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</si>
  <si>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</si>
  <si>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</si>
  <si>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</si>
  <si>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</si>
  <si>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</si>
  <si>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</si>
  <si>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</si>
  <si>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</si>
  <si>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</si>
  <si>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</si>
  <si>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</si>
  <si>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</si>
  <si>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</si>
  <si>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</si>
  <si>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</si>
  <si>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</si>
  <si>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</si>
  <si>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</si>
  <si>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</si>
  <si>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</si>
  <si>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</si>
  <si>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</si>
  <si>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</si>
  <si>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</si>
  <si>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</si>
  <si>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</si>
  <si>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</si>
  <si>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</si>
  <si>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</si>
  <si>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</si>
  <si>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</si>
  <si>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</si>
  <si>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</si>
  <si>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</si>
  <si>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</si>
  <si>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</si>
  <si>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</si>
  <si>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</si>
  <si>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</si>
  <si>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</si>
  <si>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</si>
  <si>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</si>
  <si>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</si>
  <si>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</si>
  <si>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</si>
  <si>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</si>
  <si>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</si>
  <si>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</si>
  <si>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</si>
  <si>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</si>
  <si>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</si>
  <si>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</si>
  <si>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</si>
  <si>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</si>
  <si>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</si>
  <si>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</si>
  <si>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</si>
  <si>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</si>
  <si>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</si>
  <si>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</si>
  <si>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</si>
  <si>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</si>
  <si>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</si>
  <si>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</si>
  <si>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</si>
  <si>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</si>
  <si>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</si>
  <si>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</si>
  <si>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</si>
  <si>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</si>
  <si>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</si>
  <si>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</si>
  <si>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</si>
  <si>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</si>
  <si>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</si>
  <si>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</si>
  <si>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</si>
  <si>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</si>
  <si>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</si>
  <si>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</si>
  <si>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</si>
  <si>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</si>
  <si>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</si>
  <si>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</si>
  <si>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</si>
  <si>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</si>
  <si>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</si>
  <si>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</si>
  <si>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</si>
  <si>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</si>
  <si>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</si>
  <si>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</si>
  <si>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</si>
  <si>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</si>
  <si>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</si>
  <si>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</si>
  <si>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</si>
  <si>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</si>
  <si>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</si>
  <si>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</si>
  <si>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</si>
  <si>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</si>
  <si>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</si>
  <si>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</si>
  <si>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</si>
  <si>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</si>
  <si>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</si>
  <si>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</si>
  <si>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</si>
  <si>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</si>
  <si>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</si>
  <si>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</si>
  <si>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</si>
  <si>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</si>
  <si>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</si>
  <si>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</si>
  <si>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</si>
  <si>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</si>
  <si>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</si>
  <si>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</si>
  <si>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</si>
  <si>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</si>
  <si>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</si>
  <si>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</si>
  <si>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</si>
  <si>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</si>
  <si>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</si>
  <si>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</si>
  <si>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</si>
  <si>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</si>
  <si>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</si>
  <si>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</si>
  <si>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</si>
  <si>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</si>
  <si>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</si>
  <si>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</si>
  <si>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</si>
  <si>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</si>
  <si>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</si>
  <si>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</si>
  <si>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</si>
  <si>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</si>
  <si>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</si>
  <si>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</si>
  <si>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</si>
  <si>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</si>
  <si>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</si>
  <si>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</si>
  <si>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</si>
  <si>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</si>
  <si>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</si>
  <si>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</si>
  <si>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</si>
  <si>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</si>
  <si>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</si>
  <si>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</si>
  <si>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</si>
  <si>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</si>
  <si>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</si>
  <si>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</si>
  <si>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</si>
  <si>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</si>
  <si>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</si>
  <si>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</si>
  <si>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</si>
  <si>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</si>
  <si>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</si>
  <si>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</si>
  <si>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</si>
  <si>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</si>
  <si>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</si>
  <si>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</si>
  <si>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</si>
  <si>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</si>
  <si>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</si>
  <si>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</si>
  <si>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</si>
  <si>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</si>
  <si>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</si>
  <si>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</si>
  <si>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</si>
  <si>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</si>
  <si>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</si>
  <si>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</si>
  <si>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</si>
  <si>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</si>
  <si>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</si>
  <si>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</si>
  <si>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</si>
  <si>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</si>
  <si>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</si>
  <si>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</si>
  <si>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</si>
  <si>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</si>
  <si>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</si>
  <si>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</si>
  <si>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</si>
  <si>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</si>
  <si>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</si>
  <si>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</si>
  <si>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</si>
  <si>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</si>
  <si>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</si>
  <si>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</si>
  <si>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</si>
  <si>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</si>
  <si>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</si>
  <si>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</si>
  <si>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</si>
  <si>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</si>
  <si>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</si>
  <si>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</si>
  <si>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</si>
  <si>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</si>
  <si>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</si>
  <si>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</si>
  <si>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</si>
  <si>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</si>
  <si>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</si>
  <si>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</si>
  <si>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</si>
  <si>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</si>
  <si>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</si>
  <si>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</si>
  <si>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</si>
  <si>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</si>
  <si>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</si>
  <si>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</si>
  <si>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</si>
  <si>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</si>
  <si>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</si>
  <si>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</si>
  <si>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</si>
  <si>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</si>
  <si>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</si>
  <si>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</si>
  <si>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</si>
  <si>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</si>
  <si>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</si>
  <si>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</si>
  <si>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</si>
  <si>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</si>
  <si>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</si>
  <si>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</si>
  <si>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</si>
  <si>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</si>
  <si>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</si>
  <si>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</si>
  <si>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</si>
  <si>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</si>
  <si>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</si>
  <si>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</si>
  <si>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</si>
  <si>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</si>
  <si>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</si>
  <si>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</si>
  <si>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</si>
  <si>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</si>
  <si>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</si>
  <si>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</si>
  <si>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</si>
  <si>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</si>
  <si>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</si>
  <si>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</si>
  <si>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</si>
  <si>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</si>
  <si>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</si>
  <si>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</si>
  <si>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</si>
  <si>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</si>
  <si>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</si>
  <si>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</si>
  <si>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</si>
  <si>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</si>
  <si>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</si>
  <si>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</si>
  <si>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</si>
  <si>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</si>
  <si>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</si>
  <si>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</si>
  <si>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</si>
  <si>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</si>
  <si>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</si>
  <si>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</si>
  <si>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</si>
  <si>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</si>
  <si>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</si>
  <si>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</si>
  <si>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</si>
  <si>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</si>
  <si>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</si>
  <si>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</si>
  <si>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</si>
  <si>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</si>
  <si>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</si>
  <si>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</si>
  <si>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</si>
  <si>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</si>
  <si>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</si>
  <si>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</si>
  <si>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</si>
  <si>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</si>
  <si>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</si>
  <si>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</si>
  <si>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</si>
  <si>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</si>
  <si>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</si>
  <si>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</si>
  <si>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</si>
  <si>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</si>
  <si>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</si>
  <si>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</si>
  <si>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</si>
  <si>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</si>
  <si>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</si>
  <si>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</si>
  <si>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</si>
  <si>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</si>
  <si>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</si>
  <si>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</si>
  <si>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</si>
  <si>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</si>
  <si>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</si>
  <si>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</si>
  <si>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</si>
  <si>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</si>
  <si>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</si>
  <si>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</si>
  <si>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</si>
  <si>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</si>
  <si>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</si>
  <si>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</si>
  <si>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</si>
  <si>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</si>
  <si>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</si>
  <si>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</si>
  <si>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</si>
  <si>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</si>
  <si>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</si>
  <si>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</si>
  <si>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</si>
  <si>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</si>
  <si>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</si>
  <si>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</si>
  <si>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</si>
  <si>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</si>
  <si>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</si>
  <si>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</si>
  <si>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</si>
  <si>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</si>
  <si>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</si>
  <si>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</si>
  <si>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</si>
  <si>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</si>
  <si>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</si>
  <si>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</si>
  <si>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</si>
  <si>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</si>
  <si>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</si>
  <si>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</si>
  <si>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</si>
  <si>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</si>
  <si>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</si>
  <si>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</si>
  <si>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</si>
  <si>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</si>
  <si>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</si>
  <si>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</si>
  <si>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</si>
  <si>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</si>
  <si>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</si>
  <si>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</si>
  <si>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</si>
  <si>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</si>
  <si>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</si>
  <si>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</si>
  <si>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</si>
  <si>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</si>
  <si>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</si>
  <si>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</si>
  <si>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</si>
  <si>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</si>
  <si>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</si>
  <si>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</si>
  <si>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</si>
  <si>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</si>
  <si>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</si>
  <si>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</si>
  <si>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</si>
  <si>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</si>
  <si>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</si>
  <si>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</si>
  <si>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</si>
  <si>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</si>
  <si>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</si>
  <si>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</si>
  <si>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</si>
  <si>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</si>
  <si>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</si>
  <si>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</si>
  <si>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</si>
  <si>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</si>
  <si>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</si>
  <si>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</si>
  <si>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</si>
  <si>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</si>
  <si>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</si>
  <si>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</si>
  <si>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</si>
  <si>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</si>
  <si>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</si>
  <si>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</si>
  <si>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</si>
  <si>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</si>
  <si>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</si>
  <si>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</si>
  <si>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</si>
  <si>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</si>
  <si>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</si>
  <si>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</si>
  <si>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</si>
  <si>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</si>
  <si>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</si>
  <si>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</si>
  <si>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</si>
  <si>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</si>
  <si>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</si>
  <si>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</si>
  <si>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</si>
  <si>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</si>
  <si>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</si>
  <si>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</si>
  <si>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</si>
  <si>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</si>
  <si>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</si>
  <si>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</si>
  <si>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</si>
  <si>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</si>
  <si>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</si>
  <si>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</si>
  <si>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</si>
  <si>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</si>
  <si>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</si>
  <si>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</si>
  <si>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</si>
  <si>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</si>
  <si>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</si>
  <si>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</si>
  <si>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</si>
  <si>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</si>
  <si>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</si>
  <si>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</si>
  <si>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</si>
  <si>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</si>
  <si>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</si>
  <si>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</si>
  <si>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</si>
  <si>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</si>
  <si>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</si>
  <si>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</si>
  <si>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</si>
  <si>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</si>
  <si>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</si>
  <si>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</si>
  <si>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</si>
  <si>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</si>
  <si>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</si>
  <si>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</si>
  <si>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</si>
  <si>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</si>
  <si>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</si>
  <si>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</si>
  <si>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</si>
  <si>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</si>
  <si>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</si>
  <si>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</si>
  <si>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</si>
  <si>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</si>
  <si>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</si>
  <si>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</si>
  <si>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</si>
  <si>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</si>
  <si>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</si>
  <si>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</si>
  <si>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</si>
  <si>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</si>
  <si>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</si>
  <si>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</si>
  <si>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</si>
  <si>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</si>
  <si>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</si>
  <si>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</si>
  <si>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</si>
  <si>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</si>
  <si>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</si>
  <si>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</si>
  <si>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</si>
  <si>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</si>
  <si>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</si>
  <si>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</si>
  <si>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</si>
  <si>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</si>
  <si>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</si>
  <si>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</si>
  <si>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</si>
  <si>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</si>
  <si>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</si>
  <si>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</si>
  <si>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</si>
  <si>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</si>
  <si>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</si>
  <si>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</si>
  <si>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</si>
  <si>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</si>
  <si>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</si>
  <si>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</si>
  <si>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</si>
  <si>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</si>
  <si>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</si>
  <si>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</si>
  <si>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</si>
  <si>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</si>
  <si>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</si>
  <si>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</si>
  <si>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</si>
  <si>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</si>
  <si>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</si>
  <si>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</si>
  <si>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</si>
  <si>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</si>
  <si>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</si>
  <si>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</si>
  <si>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</si>
  <si>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</si>
  <si>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</si>
  <si>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</si>
  <si>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</si>
  <si>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</si>
  <si>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</si>
  <si>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</si>
  <si>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</si>
  <si>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</si>
  <si>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</si>
  <si>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</si>
  <si>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</si>
  <si>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</si>
  <si>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</si>
  <si>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</si>
  <si>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</si>
  <si>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</si>
  <si>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</si>
  <si>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</si>
  <si>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</si>
  <si>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</si>
  <si>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</si>
  <si>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</si>
  <si>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</si>
  <si>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</si>
  <si>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</si>
  <si>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</si>
  <si>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</si>
  <si>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</si>
  <si>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</si>
  <si>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</si>
  <si>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</si>
  <si>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</si>
  <si>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</si>
  <si>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</si>
  <si>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</si>
  <si>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</si>
  <si>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</si>
  <si>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</si>
  <si>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</si>
  <si>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</si>
  <si>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</si>
  <si>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</si>
  <si>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</si>
  <si>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</si>
  <si>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</si>
  <si>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</si>
  <si>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</si>
  <si>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</si>
  <si>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</si>
  <si>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</si>
  <si>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</si>
  <si>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</si>
  <si>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</si>
  <si>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</si>
  <si>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</si>
  <si>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</si>
  <si>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</si>
  <si>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</si>
  <si>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</si>
  <si>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</si>
  <si>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</si>
  <si>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</si>
  <si>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</si>
  <si>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</si>
  <si>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</si>
  <si>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</si>
  <si>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</si>
  <si>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</si>
  <si>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</si>
  <si>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</si>
  <si>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</si>
  <si>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</si>
  <si>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</si>
  <si>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</si>
  <si>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</si>
  <si>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</si>
  <si>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</si>
  <si>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</si>
  <si>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</si>
  <si>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</si>
  <si>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</si>
  <si>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</si>
  <si>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</si>
  <si>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</si>
  <si>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</si>
  <si>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</si>
  <si>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</si>
  <si>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</si>
  <si>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</si>
  <si>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</si>
  <si>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</si>
  <si>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</si>
  <si>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</si>
  <si>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</si>
  <si>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</si>
  <si>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</si>
  <si>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</si>
  <si>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</si>
  <si>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</si>
  <si>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</si>
  <si>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</si>
  <si>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</si>
  <si>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</si>
  <si>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</si>
  <si>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</si>
  <si>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</si>
  <si>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</si>
  <si>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</si>
  <si>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</si>
  <si>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</si>
  <si>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</si>
  <si>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</si>
  <si>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</si>
  <si>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</si>
  <si>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</si>
  <si>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</si>
  <si>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</si>
  <si>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</si>
  <si>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</si>
  <si>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</si>
  <si>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</si>
  <si>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</si>
  <si>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</si>
  <si>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</si>
  <si>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</si>
  <si>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</si>
  <si>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</si>
  <si>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</si>
  <si>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</si>
  <si>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</si>
  <si>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</si>
  <si>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</si>
  <si>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</si>
  <si>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</si>
  <si>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</si>
  <si>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</si>
  <si>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</si>
  <si>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</si>
  <si>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</si>
  <si>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</si>
  <si>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</si>
  <si>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</si>
  <si>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</si>
  <si>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</si>
  <si>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</si>
  <si>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</si>
  <si>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</si>
  <si>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</si>
  <si>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</si>
  <si>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</si>
  <si>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</si>
  <si>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</si>
  <si>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</si>
  <si>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</si>
  <si>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</si>
  <si>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</si>
  <si>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</si>
  <si>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</si>
  <si>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</si>
  <si>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</si>
  <si>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</si>
  <si>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</si>
  <si>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</si>
  <si>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</si>
  <si>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</si>
  <si>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</si>
  <si>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</si>
  <si>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</si>
  <si>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</si>
  <si>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</si>
  <si>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</si>
  <si>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</si>
  <si>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</si>
  <si>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</si>
  <si>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</si>
  <si>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</si>
  <si>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</si>
  <si>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</si>
  <si>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</si>
  <si>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</si>
  <si>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</si>
  <si>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</si>
  <si>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</si>
  <si>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</si>
  <si>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</si>
  <si>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</si>
  <si>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</si>
  <si>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</si>
  <si>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</si>
  <si>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</si>
  <si>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</si>
  <si>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</si>
  <si>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</si>
  <si>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</si>
  <si>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</si>
  <si>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</si>
  <si>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</si>
  <si>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</si>
  <si>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</si>
  <si>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</si>
  <si>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</si>
  <si>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</si>
  <si>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</si>
  <si>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</si>
  <si>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</si>
  <si>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</si>
  <si>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</si>
  <si>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</si>
  <si>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</si>
  <si>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</si>
  <si>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</si>
  <si>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</si>
  <si>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</si>
  <si>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</si>
  <si>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</si>
  <si>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</si>
  <si>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</si>
  <si>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</si>
  <si>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</si>
  <si>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</si>
  <si>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</si>
  <si>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</si>
  <si>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</si>
  <si>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</si>
  <si>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</si>
  <si>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</si>
  <si>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</si>
  <si>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</si>
  <si>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</si>
  <si>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</si>
  <si>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</si>
  <si>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</si>
  <si>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</si>
  <si>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</si>
  <si>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</si>
  <si>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</si>
  <si>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</si>
  <si>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</si>
  <si>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</si>
  <si>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</si>
  <si>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</si>
  <si>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</si>
  <si>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</si>
  <si>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</si>
  <si>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</si>
  <si>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</si>
  <si>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</si>
  <si>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</si>
  <si>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</si>
  <si>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</si>
  <si>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</si>
  <si>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</si>
  <si>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</si>
  <si>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</si>
  <si>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</si>
  <si>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</si>
  <si>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</si>
  <si>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</si>
  <si>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</si>
  <si>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</si>
  <si>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</si>
  <si>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</si>
  <si>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</si>
  <si>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</si>
  <si>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</si>
  <si>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</si>
  <si>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</si>
  <si>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</si>
  <si>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</si>
  <si>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</si>
  <si>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</si>
  <si>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</si>
  <si>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</si>
  <si>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</si>
  <si>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</si>
  <si>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</si>
  <si>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</si>
  <si>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</si>
  <si>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</si>
  <si>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</si>
  <si>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</si>
  <si>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</si>
  <si>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</si>
  <si>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</si>
  <si>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</si>
  <si>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</si>
  <si>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</si>
  <si>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</si>
  <si>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</si>
  <si>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</si>
  <si>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</si>
  <si>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</si>
  <si>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</si>
  <si>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</si>
  <si>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</si>
  <si>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</si>
  <si>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</si>
  <si>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</si>
  <si>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</si>
  <si>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</si>
  <si>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</si>
  <si>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</si>
  <si>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</si>
  <si>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</si>
  <si>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</si>
  <si>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</si>
  <si>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</si>
  <si>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</si>
  <si>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</si>
  <si>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</si>
  <si>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</si>
  <si>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</si>
  <si>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</si>
  <si>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</si>
  <si>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</si>
  <si>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</si>
  <si>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</si>
  <si>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</si>
  <si>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</si>
  <si>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</si>
  <si>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</si>
  <si>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</si>
  <si>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</si>
  <si>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</si>
  <si>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</si>
  <si>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</si>
  <si>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</si>
  <si>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</si>
  <si>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</si>
  <si>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</si>
  <si>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</si>
  <si>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</si>
  <si>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</si>
  <si>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</si>
  <si>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</si>
  <si>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</si>
  <si>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</si>
  <si>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</si>
  <si>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</si>
  <si>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</si>
  <si>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</si>
  <si>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</si>
  <si>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</si>
  <si>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</si>
  <si>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</si>
  <si>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</si>
  <si>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</si>
  <si>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</si>
  <si>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</si>
  <si>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</si>
  <si>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</si>
  <si>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</si>
  <si>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</si>
  <si>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</si>
  <si>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</si>
  <si>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</si>
  <si>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</si>
  <si>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</si>
  <si>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</si>
  <si>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</si>
  <si>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</si>
  <si>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</si>
  <si>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</si>
  <si>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</si>
  <si>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</si>
  <si>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</si>
  <si>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</si>
  <si>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</si>
  <si>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</si>
  <si>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</si>
  <si>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</si>
  <si>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</si>
  <si>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</si>
  <si>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</si>
  <si>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</si>
  <si>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</si>
  <si>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</si>
  <si>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</si>
  <si>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</si>
  <si>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</si>
  <si>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</si>
  <si>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</si>
  <si>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</si>
  <si>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</si>
  <si>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</si>
  <si>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</si>
  <si>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</si>
  <si>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</si>
  <si>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</si>
  <si>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</si>
  <si>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</si>
  <si>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</si>
  <si>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</si>
  <si>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</si>
  <si>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</si>
  <si>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</si>
  <si>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</si>
  <si>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</si>
  <si>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</si>
  <si>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</si>
  <si>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</si>
  <si>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</si>
  <si>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</si>
  <si>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</si>
  <si>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</si>
  <si>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</si>
  <si>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</si>
  <si>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</si>
  <si>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</si>
  <si>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</si>
  <si>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</si>
  <si>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</si>
  <si>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</si>
  <si>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</si>
  <si>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</si>
  <si>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</si>
  <si>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</si>
  <si>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</si>
  <si>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</si>
  <si>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</si>
  <si>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</si>
  <si>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</si>
  <si>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</si>
  <si>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</si>
  <si>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</si>
  <si>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</si>
  <si>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</si>
  <si>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</si>
  <si>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</si>
  <si>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</si>
  <si>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</si>
  <si>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</si>
  <si>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</si>
  <si>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</si>
  <si>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</si>
  <si>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</si>
  <si>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</si>
  <si>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</si>
  <si>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</si>
  <si>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</si>
  <si>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</si>
  <si>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</si>
  <si>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</si>
  <si>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</si>
  <si>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</si>
  <si>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</si>
  <si>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</si>
  <si>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</si>
  <si>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</si>
  <si>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</si>
  <si>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</si>
  <si>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</si>
  <si>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</si>
  <si>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</si>
  <si>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</si>
  <si>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</si>
  <si>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</si>
  <si>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</si>
  <si>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</si>
  <si>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</si>
  <si>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</si>
  <si>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</si>
  <si>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</si>
  <si>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</si>
  <si>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</si>
  <si>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</si>
  <si>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</si>
  <si>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</si>
  <si>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</si>
  <si>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</si>
  <si>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</si>
  <si>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</si>
  <si>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</si>
  <si>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</si>
  <si>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</si>
  <si>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</si>
  <si>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</si>
  <si>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</si>
  <si>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</si>
  <si>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</si>
  <si>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</si>
  <si>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</si>
  <si>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</si>
  <si>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</si>
  <si>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</si>
  <si>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</si>
  <si>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</si>
  <si>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</si>
  <si>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</si>
  <si>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</si>
  <si>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</si>
  <si>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</si>
  <si>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</si>
  <si>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</si>
  <si>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</si>
  <si>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</si>
  <si>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</si>
  <si>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</si>
  <si>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</si>
  <si>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</si>
  <si>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</si>
  <si>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</si>
  <si>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</si>
  <si>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</si>
  <si>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</si>
  <si>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</si>
  <si>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</si>
  <si>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</si>
  <si>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</si>
  <si>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</si>
  <si>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</si>
  <si>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</si>
  <si>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</si>
  <si>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</si>
  <si>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</si>
  <si>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</si>
  <si>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</si>
  <si>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</si>
  <si>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</si>
  <si>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</si>
  <si>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</si>
  <si>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</si>
  <si>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</si>
  <si>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</si>
  <si>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</si>
  <si>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</si>
  <si>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</si>
  <si>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</si>
  <si>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</si>
  <si>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</si>
  <si>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</si>
  <si>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</si>
  <si>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</si>
  <si>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</si>
  <si>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</si>
  <si>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</si>
  <si>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</si>
  <si>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</si>
  <si>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</si>
  <si>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</si>
  <si>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</si>
  <si>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</si>
  <si>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</si>
  <si>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</si>
  <si>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</si>
  <si>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</si>
  <si>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</si>
  <si>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</si>
  <si>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</si>
  <si>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</si>
  <si>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</si>
  <si>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</si>
  <si>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</si>
  <si>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</si>
  <si>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</si>
  <si>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</si>
  <si>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</si>
  <si>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</si>
  <si>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</si>
  <si>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</si>
  <si>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</si>
  <si>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</si>
  <si>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</si>
  <si>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</si>
  <si>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</si>
  <si>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</si>
  <si>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</si>
  <si>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</si>
  <si>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</si>
  <si>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</si>
  <si>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</si>
  <si>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</si>
  <si>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</si>
  <si>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</si>
  <si>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</si>
  <si>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</si>
  <si>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</si>
  <si>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</si>
  <si>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</si>
  <si>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</si>
  <si>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</si>
  <si>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</si>
  <si>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</si>
  <si>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</si>
  <si>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</si>
  <si>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</si>
  <si>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</si>
  <si>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</si>
  <si>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</si>
  <si>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</si>
  <si>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</si>
  <si>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</si>
  <si>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</si>
  <si>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</si>
  <si>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</si>
  <si>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</si>
  <si>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</si>
  <si>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</si>
  <si>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</si>
  <si>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</si>
  <si>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</si>
  <si>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</si>
  <si>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</si>
  <si>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</si>
  <si>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</si>
  <si>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</si>
  <si>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</si>
  <si>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</si>
  <si>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</si>
  <si>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</si>
  <si>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</si>
  <si>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</si>
  <si>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</si>
  <si>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</si>
  <si>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</si>
  <si>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</si>
  <si>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</si>
  <si>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</si>
  <si>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</si>
  <si>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</si>
  <si>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</si>
  <si>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</si>
  <si>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</si>
  <si>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</si>
  <si>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</si>
  <si>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</si>
  <si>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</si>
  <si>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</si>
  <si>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</si>
  <si>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</si>
  <si>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</si>
  <si>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</si>
  <si>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</si>
  <si>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</si>
  <si>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</si>
  <si>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</si>
  <si>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</si>
  <si>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</si>
  <si>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</si>
  <si>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</si>
  <si>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</si>
  <si>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</si>
  <si>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</si>
  <si>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</si>
  <si>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</si>
  <si>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</si>
  <si>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</si>
  <si>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</si>
  <si>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</si>
  <si>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</si>
  <si>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</si>
  <si>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</si>
  <si>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</si>
  <si>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</si>
  <si>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</si>
  <si>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</si>
  <si>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</si>
  <si>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</si>
  <si>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</si>
  <si>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</si>
  <si>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</si>
  <si>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</si>
  <si>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</si>
  <si>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</si>
  <si>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</si>
  <si>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</si>
  <si>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</si>
  <si>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</si>
  <si>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</si>
  <si>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</si>
  <si>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</si>
  <si>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</si>
  <si>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</si>
  <si>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</si>
  <si>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</si>
  <si>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</si>
  <si>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</si>
  <si>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</si>
  <si>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</si>
  <si>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</si>
  <si>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</si>
  <si>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</si>
  <si>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</si>
  <si>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</si>
  <si>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</si>
  <si>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</si>
  <si>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</si>
  <si>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</si>
  <si>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</si>
  <si>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</si>
  <si>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</si>
  <si>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</si>
  <si>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</si>
  <si>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</si>
  <si>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</si>
  <si>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</si>
  <si>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</si>
  <si>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</si>
  <si>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</si>
  <si>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</si>
  <si>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</si>
  <si>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</si>
  <si>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</si>
  <si>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</si>
  <si>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</si>
  <si>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</si>
  <si>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</si>
  <si>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</si>
  <si>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</si>
  <si>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</si>
  <si>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</si>
  <si>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</si>
  <si>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</si>
  <si>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</si>
  <si>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</si>
  <si>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</si>
  <si>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</si>
  <si>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</si>
  <si>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</si>
  <si>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</si>
  <si>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</si>
  <si>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</si>
  <si>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</si>
  <si>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</si>
  <si>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</si>
  <si>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</si>
  <si>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</si>
  <si>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</si>
  <si>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</si>
  <si>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</si>
  <si>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</si>
  <si>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</si>
  <si>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</si>
  <si>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</si>
  <si>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</si>
  <si>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</si>
  <si>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</si>
  <si>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</si>
  <si>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</si>
  <si>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</si>
  <si>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</si>
  <si>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</si>
  <si>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</si>
  <si>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</si>
  <si>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</si>
  <si>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</si>
  <si>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</si>
  <si>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</si>
  <si>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</si>
  <si>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</si>
  <si>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</si>
  <si>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</si>
  <si>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</si>
  <si>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</si>
  <si>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</si>
  <si>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</si>
  <si>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</si>
  <si>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</si>
  <si>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</si>
  <si>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</si>
  <si>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</si>
  <si>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</si>
  <si>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</si>
  <si>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</si>
  <si>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</si>
  <si>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</si>
  <si>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</si>
  <si>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</si>
  <si>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</si>
  <si>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</si>
  <si>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</si>
  <si>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</si>
  <si>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</si>
  <si>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</si>
  <si>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</si>
  <si>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</si>
  <si>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</si>
  <si>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</si>
  <si>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</si>
  <si>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</si>
  <si>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</si>
  <si>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</si>
  <si>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</si>
  <si>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</si>
  <si>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</si>
  <si>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</si>
  <si>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</si>
  <si>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</si>
  <si>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</si>
  <si>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</si>
  <si>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</si>
  <si>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</si>
  <si>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</si>
  <si>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</si>
  <si>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</si>
  <si>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</si>
  <si>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</si>
  <si>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</si>
  <si>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</si>
  <si>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</si>
  <si>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</si>
  <si>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</si>
  <si>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</si>
  <si>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</si>
  <si>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</si>
  <si>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</si>
  <si>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</si>
  <si>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</si>
  <si>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</si>
  <si>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</si>
  <si>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</si>
  <si>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</si>
  <si>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</si>
  <si>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</si>
  <si>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</si>
  <si>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</si>
  <si>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</si>
  <si>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</si>
  <si>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</si>
  <si>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</si>
  <si>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</si>
  <si>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</si>
  <si>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</si>
  <si>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</si>
  <si>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</si>
  <si>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</si>
  <si>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</si>
  <si>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</si>
  <si>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</si>
  <si>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</si>
  <si>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</si>
  <si>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</si>
  <si>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</si>
  <si>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</si>
  <si>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</si>
  <si>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</si>
  <si>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</si>
  <si>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</si>
  <si>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</si>
  <si>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</si>
  <si>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</si>
  <si>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</si>
  <si>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</si>
  <si>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</si>
  <si>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</si>
  <si>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</si>
  <si>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</si>
  <si>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</si>
  <si>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</si>
  <si>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</si>
  <si>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</si>
  <si>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</si>
  <si>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</si>
  <si>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</si>
  <si>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</si>
  <si>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</si>
  <si>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</si>
  <si>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</si>
  <si>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</si>
  <si>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</si>
  <si>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</si>
  <si>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</si>
  <si>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</si>
  <si>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</si>
  <si>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</si>
  <si>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</si>
  <si>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</si>
  <si>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</si>
  <si>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</si>
  <si>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</si>
  <si>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</si>
  <si>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</si>
  <si>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</si>
  <si>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</si>
  <si>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</si>
  <si>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</si>
  <si>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</si>
  <si>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</si>
  <si>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</si>
  <si>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</si>
  <si>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</si>
  <si>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</si>
  <si>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</si>
  <si>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</si>
  <si>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</si>
  <si>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</si>
  <si>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</si>
  <si>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</si>
  <si>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</si>
  <si>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</si>
  <si>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</si>
  <si>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</si>
  <si>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</si>
  <si>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</si>
  <si>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</si>
  <si>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</si>
  <si>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</si>
  <si>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</si>
  <si>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</si>
  <si>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</si>
  <si>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</si>
  <si>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</si>
  <si>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</si>
  <si>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</si>
  <si>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</si>
  <si>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</si>
  <si>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</si>
  <si>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</si>
  <si>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</si>
  <si>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</si>
  <si>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</si>
  <si>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</si>
  <si>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</si>
  <si>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</si>
  <si>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</si>
  <si>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</si>
  <si>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</si>
  <si>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</si>
  <si>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</si>
  <si>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</si>
  <si>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</si>
  <si>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</si>
  <si>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</si>
  <si>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</si>
  <si>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</si>
  <si>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</si>
  <si>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</si>
  <si>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</si>
  <si>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</si>
  <si>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</si>
  <si>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</si>
  <si>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</si>
  <si>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</si>
  <si>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</si>
  <si>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</si>
  <si>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</si>
  <si>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</si>
  <si>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</si>
  <si>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</si>
  <si>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</si>
  <si>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</si>
  <si>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</si>
  <si>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</si>
  <si>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</si>
  <si>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</si>
  <si>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</si>
  <si>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</si>
  <si>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</si>
  <si>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</si>
  <si>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</si>
  <si>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</si>
  <si>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</si>
  <si>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</si>
  <si>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</si>
  <si>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</si>
  <si>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</si>
  <si>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</si>
  <si>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</si>
  <si>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</si>
  <si>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</si>
  <si>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</si>
  <si>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</si>
  <si>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</si>
  <si>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</si>
  <si>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</si>
  <si>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</si>
  <si>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</si>
  <si>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</si>
  <si>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</si>
  <si>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</si>
  <si>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</si>
  <si>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</si>
  <si>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</si>
  <si>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</si>
  <si>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</si>
  <si>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</si>
  <si>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</si>
  <si>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</si>
  <si>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</si>
  <si>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</si>
  <si>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</si>
  <si>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</si>
  <si>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</si>
  <si>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</si>
  <si>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</si>
  <si>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</si>
  <si>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</si>
  <si>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</si>
  <si>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</si>
  <si>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</si>
  <si>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</si>
  <si>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</si>
  <si>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</si>
  <si>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</si>
  <si>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</si>
  <si>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</si>
  <si>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</si>
  <si>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</si>
  <si>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</si>
  <si>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</si>
  <si>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</si>
  <si>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</si>
  <si>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</si>
  <si>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</si>
  <si>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</si>
  <si>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</si>
  <si>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</si>
  <si>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</si>
  <si>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</si>
  <si>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</si>
  <si>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</si>
  <si>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</si>
  <si>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</si>
  <si>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</si>
  <si>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</si>
  <si>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</si>
  <si>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</si>
  <si>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</si>
  <si>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</si>
  <si>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</si>
  <si>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</si>
  <si>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</si>
  <si>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</si>
  <si>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</si>
  <si>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</si>
  <si>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</si>
  <si>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</si>
  <si>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</si>
  <si>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</si>
  <si>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</si>
  <si>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</si>
  <si>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</si>
  <si>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</si>
  <si>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</si>
  <si>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</si>
  <si>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</si>
  <si>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</si>
  <si>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</si>
  <si>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</si>
  <si>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</si>
  <si>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</si>
  <si>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</si>
  <si>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</si>
  <si>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</si>
  <si>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</si>
  <si>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</si>
  <si>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</si>
  <si>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</si>
  <si>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</si>
  <si>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</si>
  <si>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</si>
  <si>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</si>
  <si>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</si>
  <si>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</si>
  <si>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</si>
  <si>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</si>
  <si>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</si>
  <si>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</si>
  <si>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</si>
  <si>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</si>
  <si>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</si>
  <si>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</si>
  <si>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</si>
  <si>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</si>
  <si>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</si>
  <si>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</si>
  <si>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</si>
  <si>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</si>
  <si>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</si>
  <si>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</si>
  <si>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</si>
  <si>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</si>
  <si>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</si>
  <si>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</si>
  <si>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</si>
  <si>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</si>
  <si>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</si>
  <si>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</si>
  <si>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</si>
  <si>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</si>
  <si>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</si>
  <si>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</si>
  <si>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</si>
  <si>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</si>
  <si>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</si>
  <si>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</si>
  <si>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</si>
  <si>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</si>
  <si>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</si>
  <si>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</si>
  <si>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</si>
  <si>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</si>
  <si>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</si>
  <si>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</si>
  <si>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</si>
  <si>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</si>
  <si>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</si>
  <si>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</si>
  <si>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</si>
  <si>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</si>
  <si>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</si>
  <si>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</si>
  <si>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</si>
  <si>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</si>
  <si>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</si>
  <si>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</si>
  <si>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</si>
  <si>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</si>
  <si>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</si>
  <si>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</si>
  <si>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</si>
  <si>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</si>
  <si>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</si>
  <si>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</si>
  <si>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</si>
  <si>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</si>
  <si>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</si>
  <si>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</si>
  <si>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</si>
  <si>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</si>
  <si>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</si>
  <si>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</si>
  <si>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</si>
  <si>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</si>
  <si>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</si>
  <si>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</si>
  <si>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</si>
  <si>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</si>
  <si>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</si>
  <si>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</si>
  <si>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</si>
  <si>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</si>
  <si>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</si>
  <si>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</si>
  <si>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</si>
  <si>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</si>
  <si>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</si>
  <si>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</si>
  <si>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</si>
  <si>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</si>
  <si>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</si>
  <si>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</si>
  <si>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</si>
  <si>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</si>
  <si>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</si>
  <si>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</si>
  <si>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</si>
  <si>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</si>
  <si>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</si>
  <si>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</si>
  <si>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</si>
  <si>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</si>
  <si>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</si>
  <si>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</si>
  <si>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</si>
  <si>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</si>
  <si>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</si>
  <si>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</si>
  <si>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</si>
  <si>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</si>
  <si>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</si>
  <si>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</si>
  <si>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</si>
  <si>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</si>
  <si>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</si>
  <si>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</si>
  <si>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</si>
  <si>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</si>
  <si>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</si>
  <si>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</si>
  <si>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</si>
  <si>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</si>
  <si>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</si>
  <si>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</si>
  <si>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</si>
  <si>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</si>
  <si>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</si>
  <si>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</si>
  <si>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</si>
  <si>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</si>
  <si>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</si>
  <si>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</si>
  <si>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</si>
  <si>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</si>
  <si>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</si>
  <si>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</si>
  <si>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</si>
  <si>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</si>
  <si>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</si>
  <si>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</si>
  <si>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</si>
  <si>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</si>
  <si>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</si>
  <si>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</si>
  <si>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</si>
  <si>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</si>
  <si>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</si>
  <si>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</si>
  <si>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</si>
  <si>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</si>
  <si>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</si>
  <si>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</si>
  <si>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</si>
  <si>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</si>
  <si>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</si>
  <si>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</si>
  <si>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</si>
  <si>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</si>
  <si>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</si>
  <si>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</si>
  <si>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</si>
  <si>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</si>
  <si>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</si>
  <si>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</si>
  <si>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</si>
  <si>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</si>
  <si>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</si>
  <si>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</si>
  <si>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</si>
  <si>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</si>
  <si>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</si>
  <si>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</si>
  <si>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</si>
  <si>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</si>
  <si>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</si>
  <si>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</si>
  <si>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Otay Affordable II V8, LP</t>
  </si>
  <si>
    <t>Otay Ranch II</t>
  </si>
  <si>
    <t>City of Chula Vista</t>
  </si>
  <si>
    <t>Brian Warwick</t>
  </si>
  <si>
    <t>276 Fourth Avenue Bldg A</t>
  </si>
  <si>
    <t>Chula Vista</t>
  </si>
  <si>
    <t>619-409-5982</t>
  </si>
  <si>
    <t>bwarwich@chulavistaca.gov</t>
  </si>
  <si>
    <t xml:space="preserve">NW corner of State Route 125 and Rock Mountain Road, east adjacent to Olympian High School </t>
  </si>
  <si>
    <t>Portion of 644-070-21</t>
  </si>
  <si>
    <t>40%/60% Average Income</t>
  </si>
  <si>
    <t>CA</t>
  </si>
  <si>
    <t>Loren Messeri</t>
  </si>
  <si>
    <t>310-575-3543</t>
  </si>
  <si>
    <t>lmesseri@metahousing.com</t>
  </si>
  <si>
    <t>Otay Affordable II V8, LLC</t>
  </si>
  <si>
    <t>Administrative GP</t>
  </si>
  <si>
    <t>11150 W Olympic Blvd, Suite 620</t>
  </si>
  <si>
    <t>Meta Development, LLC</t>
  </si>
  <si>
    <t>FFAH V Otay Ranch II, LLC</t>
  </si>
  <si>
    <t>Managing GP</t>
  </si>
  <si>
    <t>18575 Jamboree Road, Suite 120</t>
  </si>
  <si>
    <t>Irvine</t>
  </si>
  <si>
    <t>Tarun Chandran</t>
  </si>
  <si>
    <t>312-219-8360</t>
  </si>
  <si>
    <t>tarun@ffah.org</t>
  </si>
  <si>
    <t>Foundation for Affordable Housing</t>
  </si>
  <si>
    <t>Chris Maffris</t>
  </si>
  <si>
    <t>cmaffris@metahousing.com</t>
  </si>
  <si>
    <t>Developer</t>
  </si>
  <si>
    <t>11150 W Olympic Blvd Ste 620</t>
  </si>
  <si>
    <t>Los Angeles, CA, 90064</t>
  </si>
  <si>
    <t xml:space="preserve">Architect Orange </t>
  </si>
  <si>
    <t>144 N Orange Street</t>
  </si>
  <si>
    <t>Orange, CA, 92866</t>
  </si>
  <si>
    <t>Ioanna Magiati</t>
  </si>
  <si>
    <t>714-639-9860</t>
  </si>
  <si>
    <t>ionnam@aoarchitects.com</t>
  </si>
  <si>
    <t>Bocarsly Emden Cowan Esmail &amp; Arndt LLP</t>
  </si>
  <si>
    <t>633 W 5th St Ste 7000</t>
  </si>
  <si>
    <t>Los Angeles, CA 90071</t>
  </si>
  <si>
    <t>Juan Bustamante</t>
  </si>
  <si>
    <t>213-239-8082</t>
  </si>
  <si>
    <t>jbustamante@bocarsly.com</t>
  </si>
  <si>
    <t>TBD</t>
  </si>
  <si>
    <t>Novogradac &amp; Company, LLP</t>
  </si>
  <si>
    <t>211 E Ocean Blvd 6th Floor</t>
  </si>
  <si>
    <t>Long Beach, CA 90802</t>
  </si>
  <si>
    <t xml:space="preserve">Bill Letsinger										</t>
  </si>
  <si>
    <t>562-256-2340</t>
  </si>
  <si>
    <t>Bill.Letsinger@novoco.com</t>
  </si>
  <si>
    <t>Boston Financial Investment Management</t>
  </si>
  <si>
    <t>8335 Sunset Blvd., Ste 203</t>
  </si>
  <si>
    <t>West Hollywood, CA 90069</t>
  </si>
  <si>
    <t>Roy Faerber</t>
  </si>
  <si>
    <t>310-860-4550</t>
  </si>
  <si>
    <t>Roy.Faerber@bfim.com</t>
  </si>
  <si>
    <t>Sara Nachbar</t>
  </si>
  <si>
    <t>913-312-4616</t>
  </si>
  <si>
    <t>sara.nachbar@novoco.com</t>
  </si>
  <si>
    <t>Colliers International</t>
  </si>
  <si>
    <t>4350 La Jolla Village Drive Ste 200</t>
  </si>
  <si>
    <t>San Diego, CA, 92122</t>
  </si>
  <si>
    <t>Sonny Harris</t>
  </si>
  <si>
    <t>sonny.harris@colliers.com</t>
  </si>
  <si>
    <t>858-860-3848</t>
  </si>
  <si>
    <t>California Municipal Finance Authority</t>
  </si>
  <si>
    <t>2111 Palomar Airport Rd Ste 320</t>
  </si>
  <si>
    <t>Carlsbad, CA, 92011</t>
  </si>
  <si>
    <t>Anthony Stubbs</t>
  </si>
  <si>
    <t>760-930-1333</t>
  </si>
  <si>
    <t>astubbs@cmfa-ca.com</t>
  </si>
  <si>
    <t>Solari Enterprises, Inc.</t>
  </si>
  <si>
    <t>1507 W Yale Avenue</t>
  </si>
  <si>
    <t>Orange CA 92867</t>
  </si>
  <si>
    <t>Gianna Richards</t>
  </si>
  <si>
    <t>gianna@solari-ent.com</t>
  </si>
  <si>
    <t>714-282-2520</t>
  </si>
  <si>
    <t>HOMEFED VILLAGE 8E, LLC</t>
  </si>
  <si>
    <t>Erin Ruhe</t>
  </si>
  <si>
    <t>Chief Operating Officer</t>
  </si>
  <si>
    <t>Chris Foulger</t>
  </si>
  <si>
    <t>President</t>
  </si>
  <si>
    <t>1903 Wright Place, Suite 220</t>
  </si>
  <si>
    <t>760-918-8200</t>
  </si>
  <si>
    <t>Secured by Fee Interest</t>
  </si>
  <si>
    <t>Residential Multi-Family Two</t>
  </si>
  <si>
    <t>VC-1, 45 DU/acre</t>
  </si>
  <si>
    <t>60' or 5-story max</t>
  </si>
  <si>
    <t>1.5 spaces per 1-bedroom unit, 2 spaces per 2 bedroom unit, 2.25 spaces per 3 bedroom unit</t>
  </si>
  <si>
    <t>300 S Grand Ave. Suite 3110</t>
  </si>
  <si>
    <t>Hao Li</t>
  </si>
  <si>
    <t>213-239-1914</t>
  </si>
  <si>
    <t>Construction Loan - Tax Exempt</t>
  </si>
  <si>
    <t>Construction Loan - Taxable</t>
  </si>
  <si>
    <t>Daily SOFR</t>
  </si>
  <si>
    <t>Construction Loan - Tax Exempt Recycled Bonds</t>
  </si>
  <si>
    <t>Carlsbad</t>
  </si>
  <si>
    <t>Steve Levenson</t>
  </si>
  <si>
    <t>Site Work Loan</t>
  </si>
  <si>
    <t>225 Franklin Street, 28th Floor</t>
  </si>
  <si>
    <t>Boston</t>
  </si>
  <si>
    <t>Tax Credit Equity</t>
  </si>
  <si>
    <t>George Russo</t>
  </si>
  <si>
    <t>Deferred Operating Reserve</t>
  </si>
  <si>
    <t>Deferred Fee and Costs</t>
  </si>
  <si>
    <t>300 S. Grand Ave., Suite 3110</t>
  </si>
  <si>
    <t>Permanent Loan - Tax Exempt</t>
  </si>
  <si>
    <t>Other : Payment + Performance Bonds</t>
  </si>
  <si>
    <t>Other: Post CofO Construction Lender Interest</t>
  </si>
  <si>
    <t>Other: Partnership Legal</t>
  </si>
  <si>
    <t>Other: City Fees</t>
  </si>
  <si>
    <t>Other: Utility Connections/Deposits</t>
  </si>
  <si>
    <t>Other (Specify below)</t>
  </si>
  <si>
    <t>Multifamily Apartments</t>
  </si>
  <si>
    <t>Citibank Tax Exempt Loan</t>
  </si>
  <si>
    <t>Citibank Taxable Loan</t>
  </si>
  <si>
    <t>Citibank Recycled Tax Exempt Loan</t>
  </si>
  <si>
    <t>HomeFed - Site Work Loan</t>
  </si>
  <si>
    <t>Tax Credit Equity - Federal</t>
  </si>
  <si>
    <t>Deferred Fee + Costs During Construction</t>
  </si>
  <si>
    <t>Variable</t>
  </si>
  <si>
    <t>Citibank Tax Exempt Permanent Loan</t>
  </si>
  <si>
    <t>Citibank Taxable Permanent Loan</t>
  </si>
  <si>
    <t>HomeFed Site Work Loan</t>
  </si>
  <si>
    <t>Permanent Loan - Taxable</t>
  </si>
  <si>
    <t>Air Conditioning</t>
  </si>
  <si>
    <t>Housing Authority of the County of San Diego (HACSD) (3/1/2025)</t>
  </si>
  <si>
    <t>Employee Burden/Worker's Comp/Taxes</t>
  </si>
  <si>
    <t>Fire Sprinkler/Alarm Service</t>
  </si>
  <si>
    <t>CMFA Issuer Fee</t>
  </si>
  <si>
    <t>WiFi (Internet)</t>
  </si>
  <si>
    <t>Administrative Costs</t>
  </si>
  <si>
    <t>Business Tax License</t>
  </si>
  <si>
    <t>Otay Affordable II V8, LLC (Meta Development, LLC)</t>
  </si>
  <si>
    <t>CMFA Recycled Tax Exempt Bonds</t>
  </si>
  <si>
    <t>Above residual receipts line for cash flow</t>
  </si>
  <si>
    <t>Balance Deferred Developer Fee</t>
  </si>
  <si>
    <t>Remaining Balance Deferred Dev Fee</t>
  </si>
  <si>
    <t>Cash Flow After Deferred Fee Payment</t>
  </si>
  <si>
    <t>HomeFed Village 8E, LLC</t>
  </si>
  <si>
    <t>Sponsor</t>
  </si>
  <si>
    <t>Other: Organizational Costs</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</si>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</sst>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88900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2602</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2601</v>
      </c>
      <c r="E18" s="441"/>
      <c r="G18" s="441"/>
      <c r="H18" s="441"/>
      <c r="I18" s="441"/>
      <c r="J18" s="1264" t="s">
        <v>2600</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2035</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2036</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2516</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2140</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2043</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2044</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1163</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2038</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2039</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1171</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1174</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1014</v>
      </c>
      <c r="G117" s="4"/>
    </row>
    <row r="118" spans="2:10">
      <c r="F118" s="99" t="s">
        <v>1186</v>
      </c>
      <c r="G118" s="99"/>
    </row>
    <row r="119" spans="2:10">
      <c r="G119" s="99"/>
    </row>
    <row r="120" spans="2:10">
      <c r="E120" s="4" t="s">
        <v>764</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1212</v>
      </c>
      <c r="F136" s="4"/>
    </row>
    <row r="137" spans="4:37">
      <c r="F137" s="4"/>
    </row>
    <row r="138" spans="4:37">
      <c r="D138" s="2" t="s">
        <v>303</v>
      </c>
      <c r="E138" s="2" t="s">
        <v>2040</v>
      </c>
      <c r="F138" s="2"/>
      <c r="G138" s="2"/>
      <c r="H138" s="2"/>
    </row>
    <row r="139" spans="4:37">
      <c r="E139" t="s">
        <v>112</v>
      </c>
      <c r="F139" t="s">
        <v>52</v>
      </c>
    </row>
    <row r="140" spans="4:37">
      <c r="E140" t="s">
        <v>113</v>
      </c>
      <c r="F140" t="s">
        <v>467</v>
      </c>
    </row>
    <row r="141" spans="4:37"/>
    <row r="142" spans="4:37">
      <c r="D142" s="2" t="s">
        <v>429</v>
      </c>
      <c r="E142" s="2" t="s">
        <v>2041</v>
      </c>
    </row>
    <row r="143" spans="4:37">
      <c r="E143" s="204" t="s">
        <v>2042</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1147</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710</v>
      </c>
      <c r="F184" s="4"/>
      <c r="I184" s="4"/>
    </row>
    <row r="185" spans="2:19">
      <c r="B185" s="4"/>
      <c r="C185" s="4"/>
      <c r="E185" s="4" t="s">
        <v>1005</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1015</v>
      </c>
      <c r="G191" s="4"/>
      <c r="H191" s="4"/>
      <c r="I191" s="4"/>
    </row>
    <row r="192" spans="2:19">
      <c r="B192" s="4"/>
      <c r="C192" s="2"/>
      <c r="F192" s="4" t="s">
        <v>654</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1225</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1257</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1258</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0" workbookViewId="0">
      <selection activeCell="I111" sqref="I11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5" t="s">
        <v>1584</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1988</v>
      </c>
      <c r="G3" s="1102"/>
      <c r="H3" s="1104">
        <f>E18</f>
        <v>59252360</v>
      </c>
      <c r="I3" s="1105"/>
    </row>
    <row r="4" spans="1:13" s="1051" customFormat="1" ht="20.100000000000001" customHeight="1">
      <c r="B4" s="1094"/>
      <c r="D4" s="1108"/>
      <c r="F4" s="1092" t="s">
        <v>1990</v>
      </c>
      <c r="G4" s="1091" t="s">
        <v>1989</v>
      </c>
      <c r="H4" s="1093">
        <f>I18</f>
        <v>31194493.464052286</v>
      </c>
      <c r="I4" s="1095"/>
      <c r="K4" s="1055"/>
    </row>
    <row r="5" spans="1:13" s="1051" customFormat="1" ht="20.100000000000001" customHeight="1" thickBot="1">
      <c r="B5" s="1096"/>
      <c r="C5" s="1097"/>
      <c r="D5" s="1109"/>
      <c r="E5" s="1098"/>
      <c r="F5" s="1109" t="s">
        <v>1940</v>
      </c>
      <c r="G5" s="1110"/>
      <c r="H5" s="1106">
        <f>IFERROR(H3/H4,0)</f>
        <v>1.8994493392970417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1938</v>
      </c>
      <c r="C8" s="2659"/>
      <c r="D8" s="2659"/>
      <c r="E8" s="2660"/>
      <c r="G8" s="2661" t="s">
        <v>1939</v>
      </c>
      <c r="H8" s="2662"/>
      <c r="I8" s="2663"/>
      <c r="K8" s="1057"/>
    </row>
    <row r="9" spans="1:13" ht="15" customHeight="1">
      <c r="A9" s="1046"/>
      <c r="B9" s="2656" t="s">
        <v>1972</v>
      </c>
      <c r="C9" s="2656"/>
      <c r="D9" s="2656"/>
      <c r="E9" s="1059">
        <f>G33</f>
        <v>16050000</v>
      </c>
      <c r="G9" s="2664" t="s">
        <v>1970</v>
      </c>
      <c r="H9" s="2664"/>
      <c r="I9" s="1060">
        <f>SUMIF(Application!M554:M565,"Loan, Tax-Exempt",Application!AM554:AM565)</f>
        <v>31220000</v>
      </c>
      <c r="K9" s="1061"/>
      <c r="M9" s="1062"/>
    </row>
    <row r="10" spans="1:13" ht="15" customHeight="1" thickBot="1">
      <c r="A10" s="1046"/>
      <c r="B10" s="2656" t="s">
        <v>1973</v>
      </c>
      <c r="C10" s="2656"/>
      <c r="D10" s="2656"/>
      <c r="E10" s="1060">
        <f>G47</f>
        <v>33534360.000000004</v>
      </c>
      <c r="G10" s="2668" t="s">
        <v>1941</v>
      </c>
      <c r="H10" s="2668"/>
      <c r="I10" s="1140">
        <f>'Basis &amp; Credits'!AB78</f>
        <v>0</v>
      </c>
      <c r="M10" s="1062"/>
    </row>
    <row r="11" spans="1:13" ht="15" customHeight="1">
      <c r="A11" s="1046"/>
      <c r="B11" s="2672" t="s">
        <v>2261</v>
      </c>
      <c r="C11" s="2673"/>
      <c r="D11" s="2674"/>
      <c r="E11" s="1060">
        <f>SUM(E12,E13)</f>
        <v>680000</v>
      </c>
      <c r="G11" s="2671" t="s">
        <v>1981</v>
      </c>
      <c r="H11" s="2671"/>
      <c r="I11" s="1139">
        <f>I9+I10</f>
        <v>31220000</v>
      </c>
      <c r="M11" s="1062"/>
    </row>
    <row r="12" spans="1:13" ht="15" customHeight="1">
      <c r="A12" s="1063"/>
      <c r="B12" s="2657" t="s">
        <v>2263</v>
      </c>
      <c r="C12" s="2657"/>
      <c r="D12" s="2657"/>
      <c r="E12" s="1165">
        <f>G56</f>
        <v>0</v>
      </c>
      <c r="M12" s="1062"/>
    </row>
    <row r="13" spans="1:13" ht="15" customHeight="1">
      <c r="A13" s="1049"/>
      <c r="B13" s="2657" t="s">
        <v>2264</v>
      </c>
      <c r="C13" s="2657"/>
      <c r="D13" s="2657"/>
      <c r="E13" s="1165">
        <f>G65</f>
        <v>680000</v>
      </c>
      <c r="G13" s="2661" t="s">
        <v>2004</v>
      </c>
      <c r="H13" s="2662"/>
      <c r="I13" s="2663"/>
      <c r="M13" s="1062"/>
    </row>
    <row r="14" spans="1:13" ht="15" customHeight="1">
      <c r="A14" s="1049"/>
      <c r="B14" s="2672" t="s">
        <v>2262</v>
      </c>
      <c r="C14" s="2673"/>
      <c r="D14" s="2674"/>
      <c r="E14" s="1167">
        <f>MAX(E15,E16)+E17</f>
        <v>8988000</v>
      </c>
      <c r="G14" s="2664" t="s">
        <v>139</v>
      </c>
      <c r="H14" s="2664"/>
      <c r="I14" s="1064">
        <f>15%*(AND(G120="Yes",G122&lt;&gt;""))</f>
        <v>0</v>
      </c>
      <c r="M14" s="1062"/>
    </row>
    <row r="15" spans="1:13" ht="15" customHeight="1">
      <c r="A15" s="1049"/>
      <c r="B15" s="2675" t="s">
        <v>2268</v>
      </c>
      <c r="C15" s="2676"/>
      <c r="D15" s="2677"/>
      <c r="E15" s="1165">
        <f>G80</f>
        <v>3210000</v>
      </c>
      <c r="G15" s="1137" t="s">
        <v>1982</v>
      </c>
      <c r="H15" s="1137"/>
      <c r="I15" s="1064">
        <f>IF(Application!AJ1032&gt;0,10%,IF(Application!AJ1036&gt;0,5%,0))</f>
        <v>0</v>
      </c>
      <c r="M15" s="1062"/>
    </row>
    <row r="16" spans="1:13" ht="15" customHeight="1">
      <c r="A16" s="1049"/>
      <c r="B16" s="2675" t="s">
        <v>2267</v>
      </c>
      <c r="C16" s="2676"/>
      <c r="D16" s="2677"/>
      <c r="E16" s="1165">
        <f>G90</f>
        <v>6420000</v>
      </c>
      <c r="G16" s="2664" t="s">
        <v>1983</v>
      </c>
      <c r="H16" s="2664"/>
      <c r="I16" s="1064">
        <f>G132</f>
        <v>8.1699346405228761E-4</v>
      </c>
    </row>
    <row r="17" spans="1:21" ht="15" customHeight="1" thickBot="1">
      <c r="A17" s="1049"/>
      <c r="B17" s="2675" t="s">
        <v>2266</v>
      </c>
      <c r="C17" s="2676"/>
      <c r="D17" s="2677"/>
      <c r="E17" s="1165">
        <f>G115</f>
        <v>2568000</v>
      </c>
      <c r="G17" s="2664" t="s">
        <v>2276</v>
      </c>
      <c r="H17" s="2664"/>
      <c r="I17" s="1064">
        <f>IF(AND(G139="Yes",OR(G136,G137)),IF(G143&gt;15%,15%,G143),0)</f>
        <v>0</v>
      </c>
    </row>
    <row r="18" spans="1:21" ht="15" customHeight="1">
      <c r="A18" s="1046"/>
      <c r="B18" s="2667" t="s">
        <v>1937</v>
      </c>
      <c r="C18" s="2667"/>
      <c r="D18" s="2667"/>
      <c r="E18" s="1111">
        <f>SUM(E9:E11,E14)</f>
        <v>59252360</v>
      </c>
      <c r="G18" s="1138" t="s">
        <v>1971</v>
      </c>
      <c r="H18" s="1138"/>
      <c r="I18" s="1112">
        <f>I11-((I11*I14)+(I11*I15)+(I11*I16)+(I11*I17))</f>
        <v>31194493.464052286</v>
      </c>
      <c r="M18" s="1065">
        <f>SUM(Cdlac[Quantity])</f>
        <v>267</v>
      </c>
      <c r="O18" s="1084" t="s">
        <v>583</v>
      </c>
      <c r="P18" s="1044">
        <f>MATCH(Application!T189,Application!CB160:CB217,0)</f>
        <v>37</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27</v>
      </c>
      <c r="N20" s="1071">
        <f>Application!AC718</f>
        <v>0.3</v>
      </c>
      <c r="O20" s="1071">
        <f>IF(Cdlac[[#This Row],[Quantity]]&gt;0,IF(Cdlac[[#This Row],[Federal]],30%,IF(AND(OR(NOT($G$38),$G$38=""),$G$43),40%,Cdlac[[#This Row],[iAMI]])),"")</f>
        <v>0.3</v>
      </c>
      <c r="P20" s="1065" cm="1">
        <f t="array" ref="P20">IF(Cdlac[[#This Row],[Quantity]]&gt;0,INDEX(TcacRents,$P$18,Cdlac[[#This Row],[Bedrooms]]+1)*Cdlac[[#This Row],[AMI]],"")</f>
        <v>930</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1398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12</v>
      </c>
      <c r="N21" s="1071">
        <f>Application!AC719</f>
        <v>0.5</v>
      </c>
      <c r="O21" s="1071">
        <f>IF(Cdlac[[#This Row],[Quantity]]&gt;0,IF(Cdlac[[#This Row],[Federal]],30%,IF(AND(OR(NOT($G$38),$G$38=""),$G$43),40%,Cdlac[[#This Row],[iAMI]])),"")</f>
        <v>0.5</v>
      </c>
      <c r="P21" s="1065" cm="1">
        <f t="array" ref="P21">IF(Cdlac[[#This Row],[Quantity]]&gt;0,INDEX(TcacRents,$P$18,Cdlac[[#This Row],[Bedrooms]]+1)*Cdlac[[#This Row],[AMI]],"")</f>
        <v>1550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778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5" t="s">
        <v>1985</v>
      </c>
      <c r="D22" s="2665" t="s">
        <v>1986</v>
      </c>
      <c r="E22" s="2665" t="s">
        <v>1987</v>
      </c>
      <c r="F22" s="2665" t="s">
        <v>2607</v>
      </c>
      <c r="G22" s="2665" t="s">
        <v>1984</v>
      </c>
      <c r="H22" s="1070"/>
      <c r="I22" s="1069"/>
      <c r="L22" s="1044">
        <f>IFERROR(MIN(4,MATCH(Application!B720,UnitSizes,0)-1),"")</f>
        <v>1</v>
      </c>
      <c r="M22" s="1065">
        <f>Application!G720</f>
        <v>81</v>
      </c>
      <c r="N22" s="1071">
        <f>Application!AC720</f>
        <v>0.6</v>
      </c>
      <c r="O22" s="1071">
        <f>IF(Cdlac[[#This Row],[Quantity]]&gt;0,IF(Cdlac[[#This Row],[Federal]],30%,IF(AND(OR(NOT($G$38),$G$38=""),$G$43),40%,Cdlac[[#This Row],[iAMI]])),"")</f>
        <v>0.6</v>
      </c>
      <c r="P22" s="1065" cm="1">
        <f t="array" ref="P22">IF(Cdlac[[#This Row],[Quantity]]&gt;0,INDEX(TcacRents,$P$18,Cdlac[[#This Row],[Bedrooms]]+1)*Cdlac[[#This Row],[AMI]],"")</f>
        <v>1860</v>
      </c>
      <c r="Q22" s="1164"/>
      <c r="R22" s="1065" cm="1">
        <f t="array" ref="R22">IF(Cdlac[[#This Row],[Quantity]]&gt;0,INDEX(HudFmrs,$P$18,Cdlac[[#This Row],[Bedrooms]]+1),"")</f>
        <v>2328</v>
      </c>
      <c r="S22" s="1065">
        <f>IF(Cdlac[[#This Row],[Quantity]]&gt;0,MAX(0,Cdlac[[#This Row],[Fair Market Rent]]-IF(AND($G$37,$G$38,$G$38&lt;&gt;"",NOT(Cdlac[[#This Row],[Federal]]),Cdlac[[#This Row],[Preservation Rent]]&lt;&gt;""),Cdlac[[#This Row],[Preservation Rent]],Cdlac[[#This Row],[Restricted Rent]])),"")</f>
        <v>468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f>IFERROR(MIN(4,MATCH(Application!B721,UnitSizes,0)-1),"")</f>
        <v>2</v>
      </c>
      <c r="M23" s="1065">
        <f>Application!G721</f>
        <v>8</v>
      </c>
      <c r="N23" s="1071">
        <f>Application!AC721</f>
        <v>0.5</v>
      </c>
      <c r="O23" s="1071">
        <f>IF(Cdlac[[#This Row],[Quantity]]&gt;0,IF(Cdlac[[#This Row],[Federal]],30%,IF(AND(OR(NOT($G$38),$G$38=""),$G$43),40%,Cdlac[[#This Row],[iAMI]])),"")</f>
        <v>0.5</v>
      </c>
      <c r="P23" s="1065" cm="1">
        <f t="array" ref="P23">IF(Cdlac[[#This Row],[Quantity]]&gt;0,INDEX(TcacRents,$P$18,Cdlac[[#This Row],[Bedrooms]]+1)*Cdlac[[#This Row],[AMI]],"")</f>
        <v>1861</v>
      </c>
      <c r="Q23" s="1164"/>
      <c r="R23" s="1065" cm="1">
        <f t="array" ref="R23">IF(Cdlac[[#This Row],[Quantity]]&gt;0,INDEX(HudFmrs,$P$18,Cdlac[[#This Row],[Bedrooms]]+1),"")</f>
        <v>2881</v>
      </c>
      <c r="S23" s="1065">
        <f>IF(Cdlac[[#This Row],[Quantity]]&gt;0,MAX(0,Cdlac[[#This Row],[Fair Market Rent]]-IF(AND($G$37,$G$38,$G$38&lt;&gt;"",NOT(Cdlac[[#This Row],[Federal]]),Cdlac[[#This Row],[Preservation Rent]]&lt;&gt;""),Cdlac[[#This Row],[Preservation Rent]],Cdlac[[#This Row],[Restricted Rent]])),"")</f>
        <v>1020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10</v>
      </c>
      <c r="N24" s="1071">
        <f>Application!AC722</f>
        <v>0.6</v>
      </c>
      <c r="O24" s="1071">
        <f>IF(Cdlac[[#This Row],[Quantity]]&gt;0,IF(Cdlac[[#This Row],[Federal]],30%,IF(AND(OR(NOT($G$38),$G$38=""),$G$43),40%,Cdlac[[#This Row],[iAMI]])),"")</f>
        <v>0.6</v>
      </c>
      <c r="P24" s="1065" cm="1">
        <f t="array" ref="P24">IF(Cdlac[[#This Row],[Quantity]]&gt;0,INDEX(TcacRents,$P$18,Cdlac[[#This Row],[Bedrooms]]+1)*Cdlac[[#This Row],[AMI]],"")</f>
        <v>2233.1999999999998</v>
      </c>
      <c r="Q24" s="1164"/>
      <c r="R24" s="1065" cm="1">
        <f t="array" ref="R24">IF(Cdlac[[#This Row],[Quantity]]&gt;0,INDEX(HudFmrs,$P$18,Cdlac[[#This Row],[Bedrooms]]+1),"")</f>
        <v>2881</v>
      </c>
      <c r="S24" s="1065">
        <f>IF(Cdlac[[#This Row],[Quantity]]&gt;0,MAX(0,Cdlac[[#This Row],[Fair Market Rent]]-IF(AND($G$37,$G$38,$G$38&lt;&gt;"",NOT(Cdlac[[#This Row],[Federal]]),Cdlac[[#This Row],[Preservation Rent]]&lt;&gt;""),Cdlac[[#This Row],[Preservation Rent]],Cdlac[[#This Row],[Restricted Rent]])),"")</f>
        <v>647.80000000000018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120</v>
      </c>
      <c r="F25" s="1072">
        <f>E25</f>
        <v>120</v>
      </c>
      <c r="G25" s="1072">
        <f>D25*F25</f>
        <v>120</v>
      </c>
      <c r="L25" s="1044">
        <f>IFERROR(MIN(4,MATCH(Application!B723,UnitSizes,0)-1),"")</f>
        <v>2</v>
      </c>
      <c r="M25" s="1065">
        <f>Application!G723</f>
        <v>60</v>
      </c>
      <c r="N25" s="1071">
        <f>Application!AC723</f>
        <v>0.7</v>
      </c>
      <c r="O25" s="1071">
        <f>IF(Cdlac[[#This Row],[Quantity]]&gt;0,IF(Cdlac[[#This Row],[Federal]],30%,IF(AND(OR(NOT($G$38),$G$38=""),$G$43),40%,Cdlac[[#This Row],[iAMI]])),"")</f>
        <v>0.7</v>
      </c>
      <c r="P25" s="1065" cm="1">
        <f t="array" ref="P25">IF(Cdlac[[#This Row],[Quantity]]&gt;0,INDEX(TcacRents,$P$18,Cdlac[[#This Row],[Bedrooms]]+1)*Cdlac[[#This Row],[AMI]],"")</f>
        <v>2605.3999999999996</v>
      </c>
      <c r="Q25" s="1164"/>
      <c r="R25" s="1065" cm="1">
        <f t="array" ref="R25">IF(Cdlac[[#This Row],[Quantity]]&gt;0,INDEX(HudFmrs,$P$18,Cdlac[[#This Row],[Bedrooms]]+1),"")</f>
        <v>2881</v>
      </c>
      <c r="S25" s="1065">
        <f>IF(Cdlac[[#This Row],[Quantity]]&gt;0,MAX(0,Cdlac[[#This Row],[Fair Market Rent]]-IF(AND($G$37,$G$38,$G$38&lt;&gt;"",NOT(Cdlac[[#This Row],[Federal]]),Cdlac[[#This Row],[Preservation Rent]]&lt;&gt;""),Cdlac[[#This Row],[Preservation Rent]],Cdlac[[#This Row],[Restricted Rent]])),"")</f>
        <v>275.60000000000036</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78</v>
      </c>
      <c r="F26" s="1075">
        <f>SUM(E26:E28)-SUM(F27:F28)</f>
        <v>78</v>
      </c>
      <c r="G26" s="1072">
        <f>D26*F26</f>
        <v>97.5</v>
      </c>
      <c r="H26" s="1074"/>
      <c r="I26" s="1074"/>
      <c r="L26" s="1044">
        <f>IFERROR(MIN(4,MATCH(Application!B724,UnitSizes,0)-1),"")</f>
        <v>3</v>
      </c>
      <c r="M26" s="1065">
        <f>Application!G724</f>
        <v>7</v>
      </c>
      <c r="N26" s="1071">
        <f>Application!AC724</f>
        <v>0.3</v>
      </c>
      <c r="O26" s="1071">
        <f>IF(Cdlac[[#This Row],[Quantity]]&gt;0,IF(Cdlac[[#This Row],[Federal]],30%,IF(AND(OR(NOT($G$38),$G$38=""),$G$43),40%,Cdlac[[#This Row],[iAMI]])),"")</f>
        <v>0.3</v>
      </c>
      <c r="P26" s="1065" cm="1">
        <f t="array" ref="P26">IF(Cdlac[[#This Row],[Quantity]]&gt;0,INDEX(TcacRents,$P$18,Cdlac[[#This Row],[Bedrooms]]+1)*Cdlac[[#This Row],[AMI]],"")</f>
        <v>1290</v>
      </c>
      <c r="Q26" s="1164"/>
      <c r="R26" s="1065" cm="1">
        <f t="array" ref="R26">IF(Cdlac[[#This Row],[Quantity]]&gt;0,INDEX(HudFmrs,$P$18,Cdlac[[#This Row],[Bedrooms]]+1),"")</f>
        <v>3852</v>
      </c>
      <c r="S26" s="1065">
        <f>IF(Cdlac[[#This Row],[Quantity]]&gt;0,MAX(0,Cdlac[[#This Row],[Fair Market Rent]]-IF(AND($G$37,$G$38,$G$38&lt;&gt;"",NOT(Cdlac[[#This Row],[Federal]]),Cdlac[[#This Row],[Preservation Rent]]&lt;&gt;""),Cdlac[[#This Row],[Preservation Rent]],Cdlac[[#This Row],[Restricted Rent]])),"")</f>
        <v>2562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69</v>
      </c>
      <c r="F27" s="1075">
        <f>MIN(E27,ROUNDDOWN(E29*30%,0))</f>
        <v>69</v>
      </c>
      <c r="G27" s="1072">
        <f>D27*F27</f>
        <v>103.5</v>
      </c>
      <c r="H27" s="1074"/>
      <c r="I27" s="1074"/>
      <c r="L27" s="1044">
        <f>IFERROR(MIN(4,MATCH(Application!B725,UnitSizes,0)-1),"")</f>
        <v>3</v>
      </c>
      <c r="M27" s="1065">
        <f>Application!G725</f>
        <v>62</v>
      </c>
      <c r="N27" s="1071">
        <f>Application!AC725</f>
        <v>0.7</v>
      </c>
      <c r="O27" s="1071">
        <f>IF(Cdlac[[#This Row],[Quantity]]&gt;0,IF(Cdlac[[#This Row],[Federal]],30%,IF(AND(OR(NOT($G$38),$G$38=""),$G$43),40%,Cdlac[[#This Row],[iAMI]])),"")</f>
        <v>0.7</v>
      </c>
      <c r="P27" s="1065" cm="1">
        <f t="array" ref="P27">IF(Cdlac[[#This Row],[Quantity]]&gt;0,INDEX(TcacRents,$P$18,Cdlac[[#This Row],[Bedrooms]]+1)*Cdlac[[#This Row],[AMI]],"")</f>
        <v>3010</v>
      </c>
      <c r="Q27" s="1164"/>
      <c r="R27" s="1065" cm="1">
        <f t="array" ref="R27">IF(Cdlac[[#This Row],[Quantity]]&gt;0,INDEX(HudFmrs,$P$18,Cdlac[[#This Row],[Bedrooms]]+1),"")</f>
        <v>3852</v>
      </c>
      <c r="S27" s="1065">
        <f>IF(Cdlac[[#This Row],[Quantity]]&gt;0,MAX(0,Cdlac[[#This Row],[Fair Market Rent]]-IF(AND($G$37,$G$38,$G$38&lt;&gt;"",NOT(Cdlac[[#This Row],[Federal]]),Cdlac[[#This Row],[Preservation Rent]]&lt;&gt;""),Cdlac[[#This Row],[Preservation Rent]],Cdlac[[#This Row],[Restricted Rent]])),"")</f>
        <v>842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9" t="s">
        <v>1585</v>
      </c>
      <c r="D29" s="2680"/>
      <c r="E29" s="1089">
        <f>SUM(E24:E28)</f>
        <v>267</v>
      </c>
      <c r="F29" s="1089">
        <f>SUM(F24:F28)</f>
        <v>267</v>
      </c>
      <c r="G29" s="1090">
        <f>SUMPRODUCT(D24:D28,F24:F28)</f>
        <v>321</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321</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16050000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186302.00000000003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33534360.000000004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133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34</v>
      </c>
    </row>
    <row r="61" spans="2:21" ht="15" customHeight="1">
      <c r="E61" s="1117" t="s">
        <v>1993</v>
      </c>
      <c r="G61" s="1079">
        <f>ROUNDDOWN(E29*50%,0)</f>
        <v>133</v>
      </c>
    </row>
    <row r="62" spans="2:21" ht="15" customHeight="1">
      <c r="E62" s="1117"/>
      <c r="G62" s="1079"/>
    </row>
    <row r="63" spans="2:21" ht="15" customHeight="1">
      <c r="E63" s="1117" t="s">
        <v>1953</v>
      </c>
      <c r="G63" s="1114">
        <f>MIN(G60:G61)</f>
        <v>34</v>
      </c>
    </row>
    <row r="64" spans="2:21" ht="15" customHeight="1">
      <c r="E64" s="1117" t="s">
        <v>1943</v>
      </c>
      <c r="F64" s="1113" t="s">
        <v>1991</v>
      </c>
      <c r="G64" s="1124">
        <v>20000</v>
      </c>
    </row>
    <row r="65" spans="2:14" ht="15" customHeight="1">
      <c r="E65" s="1118" t="s">
        <v>1975</v>
      </c>
      <c r="F65" s="1046"/>
      <c r="G65" s="1123">
        <f>G63*G64</f>
        <v>680000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546</v>
      </c>
    </row>
    <row r="70" spans="2:14" ht="15" customHeight="1">
      <c r="C70" s="1077" t="s">
        <v>1980</v>
      </c>
      <c r="G70" s="1081" t="str">
        <f>IF(Application!D211="Large Family","Yes","No")</f>
        <v>Yes</v>
      </c>
    </row>
    <row r="71" spans="2:14" ht="15" customHeight="1" thickBot="1">
      <c r="C71" s="1077" t="s">
        <v>1966</v>
      </c>
      <c r="G71" s="1043" t="s">
        <v>670</v>
      </c>
    </row>
    <row r="72" spans="2:14" ht="15" customHeight="1">
      <c r="C72" s="1077" t="s">
        <v>1967</v>
      </c>
      <c r="G72" s="1044" t="str">
        <f>Application!T193</f>
        <v>Moderate Resource</v>
      </c>
      <c r="L72" s="2652" t="s">
        <v>1968</v>
      </c>
      <c r="M72" s="2653"/>
      <c r="N72" s="1131">
        <v>30000</v>
      </c>
    </row>
    <row r="73" spans="2:14" ht="15" customHeight="1">
      <c r="C73" s="2654" t="s">
        <v>2260</v>
      </c>
      <c r="D73" s="2654"/>
      <c r="E73" s="2654"/>
      <c r="F73" s="2654"/>
      <c r="G73" s="1043" t="s">
        <v>670</v>
      </c>
      <c r="L73" s="2669" t="s">
        <v>1936</v>
      </c>
      <c r="M73" s="2670"/>
      <c r="N73" s="1132">
        <v>20000</v>
      </c>
    </row>
    <row r="74" spans="2:14" ht="15" customHeight="1" thickBot="1">
      <c r="C74" s="2654"/>
      <c r="D74" s="2654"/>
      <c r="E74" s="2654"/>
      <c r="F74" s="2654"/>
      <c r="L74" s="2644" t="s">
        <v>1969</v>
      </c>
      <c r="M74" s="2645"/>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10000</v>
      </c>
    </row>
    <row r="79" spans="2:14" ht="15" customHeight="1">
      <c r="E79" s="1084" t="str">
        <f>E96</f>
        <v>Bedroom-Adjusted Low-Income Units</v>
      </c>
      <c r="F79" s="1113" t="s">
        <v>1991</v>
      </c>
      <c r="G79" s="1114">
        <f>G29</f>
        <v>321</v>
      </c>
    </row>
    <row r="80" spans="2:14" ht="15" customHeight="1">
      <c r="D80" s="1046"/>
      <c r="E80" s="1118" t="s">
        <v>2265</v>
      </c>
      <c r="F80" s="1046"/>
      <c r="G80" s="1123">
        <f>G79*G78*G76</f>
        <v>3210000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546</v>
      </c>
    </row>
    <row r="85" spans="2:9" ht="15" customHeight="1">
      <c r="F85" s="1116"/>
    </row>
    <row r="86" spans="2:9" ht="15" customHeight="1">
      <c r="E86" s="1084" t="s">
        <v>1998</v>
      </c>
      <c r="G86" s="1079" t="b">
        <f>G84="Yes"</f>
        <v>1</v>
      </c>
    </row>
    <row r="87" spans="2:9" ht="15" customHeight="1"/>
    <row r="88" spans="2:9" ht="15" customHeight="1">
      <c r="E88" s="1084" t="str">
        <f>E96</f>
        <v>Bedroom-Adjusted Low-Income Units</v>
      </c>
      <c r="G88" s="1114">
        <f>G29</f>
        <v>321</v>
      </c>
    </row>
    <row r="89" spans="2:9" ht="15" customHeight="1">
      <c r="E89" s="1084" t="s">
        <v>1943</v>
      </c>
      <c r="F89" s="1113" t="s">
        <v>1991</v>
      </c>
      <c r="G89" s="1050">
        <v>20000</v>
      </c>
    </row>
    <row r="90" spans="2:9" ht="15" customHeight="1">
      <c r="E90" s="1118" t="s">
        <v>2269</v>
      </c>
      <c r="F90" s="1046"/>
      <c r="G90" s="1123">
        <f>G86*G89*G88</f>
        <v>6420000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0</v>
      </c>
    </row>
    <row r="95" spans="2:9" ht="15" customHeight="1">
      <c r="E95" s="1084" t="s">
        <v>1943</v>
      </c>
      <c r="F95" s="1113" t="s">
        <v>1991</v>
      </c>
      <c r="G95" s="1076">
        <v>4000</v>
      </c>
    </row>
    <row r="96" spans="2:9" ht="15" customHeight="1" thickBot="1">
      <c r="E96" s="1084" t="s">
        <v>1995</v>
      </c>
      <c r="F96" s="1113" t="s">
        <v>1991</v>
      </c>
      <c r="G96" s="1126">
        <f>G29</f>
        <v>321</v>
      </c>
    </row>
    <row r="97" spans="2:14" ht="15" customHeight="1">
      <c r="E97" s="1118" t="s">
        <v>1960</v>
      </c>
      <c r="F97" s="1046"/>
      <c r="G97" s="1123">
        <f>G94*G95*G96</f>
        <v>0</v>
      </c>
      <c r="L97" s="1127" t="str">
        <f>'Points System'!H638</f>
        <v>(i)</v>
      </c>
      <c r="M97" s="2650" t="s">
        <v>1404</v>
      </c>
      <c r="N97" s="2651"/>
    </row>
    <row r="98" spans="2:14" ht="15" customHeight="1">
      <c r="C98" s="1077"/>
      <c r="G98" s="1114"/>
      <c r="L98" s="1128" t="str">
        <f>'Points System'!H650</f>
        <v>(ii)</v>
      </c>
      <c r="M98" s="2646" t="s">
        <v>1955</v>
      </c>
      <c r="N98" s="2647"/>
    </row>
    <row r="99" spans="2:14" ht="15" customHeight="1">
      <c r="E99" s="1084" t="s">
        <v>1996</v>
      </c>
      <c r="G99" s="1126">
        <f>COUNTIFS(L97:L104,"(i)")</f>
        <v>2</v>
      </c>
      <c r="L99" s="1128" t="str">
        <f>'Points System'!H685</f>
        <v>(ii)</v>
      </c>
      <c r="M99" s="2646" t="s">
        <v>1956</v>
      </c>
      <c r="N99" s="2647"/>
    </row>
    <row r="100" spans="2:14" ht="15" customHeight="1">
      <c r="E100" s="1084" t="s">
        <v>1943</v>
      </c>
      <c r="F100" s="1113" t="s">
        <v>1991</v>
      </c>
      <c r="G100" s="1124">
        <v>4000</v>
      </c>
      <c r="L100" s="1128" t="str">
        <f>IF(OR('Points System'!H709="(ii)",'Points System'!H709="(i)"),"(i)","N/A")</f>
        <v>(i)</v>
      </c>
      <c r="M100" s="2646" t="s">
        <v>1957</v>
      </c>
      <c r="N100" s="2647"/>
    </row>
    <row r="101" spans="2:14" ht="15" customHeight="1">
      <c r="E101" s="1118" t="s">
        <v>1961</v>
      </c>
      <c r="F101" s="1046"/>
      <c r="G101" s="1123">
        <f>G96*G99*G100</f>
        <v>2568000</v>
      </c>
      <c r="L101" s="1129" t="str">
        <f>'Points System'!H723</f>
        <v>N/A</v>
      </c>
      <c r="M101" s="2646" t="s">
        <v>1430</v>
      </c>
      <c r="N101" s="2647"/>
    </row>
    <row r="102" spans="2:14" ht="15" customHeight="1">
      <c r="L102" s="1128" t="str">
        <f>'Points System'!H735</f>
        <v>N/A</v>
      </c>
      <c r="M102" s="2646" t="s">
        <v>1958</v>
      </c>
      <c r="N102" s="2647"/>
    </row>
    <row r="103" spans="2:14" ht="15" customHeight="1">
      <c r="C103" s="1080" t="s">
        <v>1963</v>
      </c>
      <c r="L103" s="1128" t="str">
        <f>'Points System'!H751</f>
        <v>N/A</v>
      </c>
      <c r="M103" s="2646" t="s">
        <v>1959</v>
      </c>
      <c r="N103" s="2647"/>
    </row>
    <row r="104" spans="2:14" ht="15" customHeight="1" thickBot="1">
      <c r="C104" s="1077" t="s">
        <v>1964</v>
      </c>
      <c r="G104" s="1043"/>
      <c r="L104" s="1130" t="str">
        <f>'Points System'!H763</f>
        <v>(ii)</v>
      </c>
      <c r="M104" s="2648" t="s">
        <v>1433</v>
      </c>
      <c r="N104" s="2649"/>
    </row>
    <row r="105" spans="2:14" ht="15" customHeight="1">
      <c r="C105" s="1077" t="s">
        <v>1965</v>
      </c>
      <c r="G105" s="1043"/>
    </row>
    <row r="106" spans="2:14" ht="15" customHeight="1">
      <c r="C106" s="1077" t="s">
        <v>2138</v>
      </c>
      <c r="G106" s="1043"/>
    </row>
    <row r="107" spans="2:14" ht="15" customHeight="1">
      <c r="C107" s="1077" t="s">
        <v>2139</v>
      </c>
      <c r="G107" s="1043"/>
    </row>
    <row r="108" spans="2:14" ht="15" customHeight="1"/>
    <row r="109" spans="2:14" ht="15" customHeight="1">
      <c r="B109" s="1078"/>
      <c r="C109" s="1077"/>
      <c r="E109" s="1084" t="s">
        <v>1998</v>
      </c>
      <c r="G109" s="1079" t="b">
        <f>COUNTIFS(G104:G107,"Yes")&gt;=1</f>
        <v>0</v>
      </c>
    </row>
    <row r="110" spans="2:14" ht="15" customHeight="1">
      <c r="E110" s="1077"/>
    </row>
    <row r="111" spans="2:14" ht="15" customHeight="1">
      <c r="E111" s="1084" t="s">
        <v>1995</v>
      </c>
      <c r="F111" s="1113" t="s">
        <v>1991</v>
      </c>
      <c r="G111" s="1114">
        <f>G29</f>
        <v>321</v>
      </c>
    </row>
    <row r="112" spans="2:14" ht="15" customHeight="1">
      <c r="E112" s="1084" t="s">
        <v>1943</v>
      </c>
      <c r="F112" s="1113" t="s">
        <v>1991</v>
      </c>
      <c r="G112" s="1124">
        <v>25000</v>
      </c>
    </row>
    <row r="113" spans="2:9" ht="15" customHeight="1">
      <c r="E113" s="1118" t="s">
        <v>1962</v>
      </c>
      <c r="F113" s="1046"/>
      <c r="G113" s="1123">
        <f>G109*G112*G96</f>
        <v>0</v>
      </c>
    </row>
    <row r="114" spans="2:9" ht="15" customHeight="1">
      <c r="C114" s="1077"/>
      <c r="E114" s="1077"/>
    </row>
    <row r="115" spans="2:9" ht="15" customHeight="1">
      <c r="E115" s="1118" t="s">
        <v>2270</v>
      </c>
      <c r="G115" s="1123">
        <f>G113+G101+G97</f>
        <v>2568000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2225</v>
      </c>
      <c r="D119" s="2681"/>
      <c r="E119" s="2681"/>
      <c r="F119" s="2681"/>
    </row>
    <row r="120" spans="2:9" ht="15" customHeight="1">
      <c r="C120" s="2681"/>
      <c r="D120" s="2681"/>
      <c r="E120" s="2681"/>
      <c r="F120" s="2681"/>
      <c r="G120" s="1043"/>
    </row>
    <row r="121" spans="2:9" ht="15" customHeight="1"/>
    <row r="122" spans="2:9" ht="15" customHeight="1">
      <c r="C122" s="1044" t="s">
        <v>2227</v>
      </c>
      <c r="G122" s="2683"/>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2000</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1999</v>
      </c>
      <c r="G131" s="1078">
        <f>MEDIAN((Application!CU160:CU217))</f>
        <v>489600</v>
      </c>
    </row>
    <row r="132" spans="2:9" ht="15">
      <c r="D132" s="1046"/>
      <c r="E132" s="1118" t="s">
        <v>2001</v>
      </c>
      <c r="F132" s="1134"/>
      <c r="G132" s="1135">
        <f>((G130-G131)/G131)*0.25</f>
        <v>8.1699346405228761E-4</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78" t="s">
        <v>2273</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4683000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N18" sqref="N18"/>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911</v>
      </c>
      <c r="B3" s="426" t="s">
        <v>2252</v>
      </c>
      <c r="C3" s="426" t="s">
        <v>2253</v>
      </c>
      <c r="D3" s="1146" t="s">
        <v>2254</v>
      </c>
      <c r="E3" s="204"/>
      <c r="F3" s="1146" t="s">
        <v>912</v>
      </c>
      <c r="G3" s="426" t="s">
        <v>913</v>
      </c>
      <c r="H3" s="427"/>
      <c r="I3" s="426" t="s">
        <v>914</v>
      </c>
      <c r="J3" s="426" t="s">
        <v>915</v>
      </c>
      <c r="K3" s="204"/>
      <c r="L3" s="305"/>
    </row>
    <row r="4" spans="1:12">
      <c r="A4" s="428" t="str">
        <f>Application!B718</f>
        <v>1 Bedroom</v>
      </c>
      <c r="B4" s="1082">
        <f>Application!G718</f>
        <v>27</v>
      </c>
      <c r="C4" s="1162"/>
      <c r="D4" s="428">
        <f>Application!O718</f>
        <v>837</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12</v>
      </c>
      <c r="C5" s="1162"/>
      <c r="D5" s="428">
        <f>Application!O719</f>
        <v>1457</v>
      </c>
      <c r="E5" s="429"/>
      <c r="F5" s="1083"/>
      <c r="G5" s="428">
        <f t="shared" ref="G5:G38" si="2">F5*B5</f>
        <v>0</v>
      </c>
      <c r="H5" s="429"/>
      <c r="I5" s="428" t="str">
        <f t="shared" si="0"/>
        <v/>
      </c>
      <c r="J5" s="428" t="str">
        <f t="shared" si="1"/>
        <v/>
      </c>
      <c r="K5" s="204"/>
      <c r="L5" s="305"/>
    </row>
    <row r="6" spans="1:12">
      <c r="A6" s="428" t="str">
        <f>Application!B720</f>
        <v>1 Bedroom</v>
      </c>
      <c r="B6" s="1082">
        <f>Application!G720</f>
        <v>81</v>
      </c>
      <c r="C6" s="1162"/>
      <c r="D6" s="428">
        <f>Application!O720</f>
        <v>1767</v>
      </c>
      <c r="E6" s="429"/>
      <c r="F6" s="1083"/>
      <c r="G6" s="428">
        <f t="shared" si="2"/>
        <v>0</v>
      </c>
      <c r="H6" s="429"/>
      <c r="I6" s="428" t="str">
        <f t="shared" si="0"/>
        <v/>
      </c>
      <c r="J6" s="428" t="str">
        <f t="shared" si="1"/>
        <v/>
      </c>
      <c r="K6" s="204"/>
      <c r="L6" s="305"/>
    </row>
    <row r="7" spans="1:12">
      <c r="A7" s="428" t="str">
        <f>Application!B721</f>
        <v>2 Bedrooms</v>
      </c>
      <c r="B7" s="1082">
        <f>Application!G721</f>
        <v>8</v>
      </c>
      <c r="C7" s="1162"/>
      <c r="D7" s="428">
        <f>Application!O721</f>
        <v>1728</v>
      </c>
      <c r="E7" s="429"/>
      <c r="F7" s="1083"/>
      <c r="G7" s="428">
        <f t="shared" si="2"/>
        <v>0</v>
      </c>
      <c r="H7" s="429"/>
      <c r="I7" s="428" t="str">
        <f t="shared" si="0"/>
        <v/>
      </c>
      <c r="J7" s="428" t="str">
        <f t="shared" si="1"/>
        <v/>
      </c>
      <c r="K7" s="204"/>
      <c r="L7" s="305"/>
    </row>
    <row r="8" spans="1:12">
      <c r="A8" s="428" t="str">
        <f>Application!B722</f>
        <v>2 Bedrooms</v>
      </c>
      <c r="B8" s="1082">
        <f>Application!G722</f>
        <v>10</v>
      </c>
      <c r="C8" s="1162"/>
      <c r="D8" s="428">
        <f>Application!O722</f>
        <v>2100.1999999999998</v>
      </c>
      <c r="E8" s="429"/>
      <c r="F8" s="1083"/>
      <c r="G8" s="428">
        <f t="shared" si="2"/>
        <v>0</v>
      </c>
      <c r="H8" s="429"/>
      <c r="I8" s="428" t="str">
        <f t="shared" si="0"/>
        <v/>
      </c>
      <c r="J8" s="428" t="str">
        <f t="shared" si="1"/>
        <v/>
      </c>
      <c r="K8" s="204"/>
      <c r="L8" s="305"/>
    </row>
    <row r="9" spans="1:12">
      <c r="A9" s="428" t="str">
        <f>Application!B723</f>
        <v>2 Bedrooms</v>
      </c>
      <c r="B9" s="1082">
        <f>Application!G723</f>
        <v>60</v>
      </c>
      <c r="C9" s="1162"/>
      <c r="D9" s="428">
        <f>Application!O723</f>
        <v>2472.3999999999996</v>
      </c>
      <c r="E9" s="429"/>
      <c r="F9" s="1083"/>
      <c r="G9" s="428">
        <f t="shared" si="2"/>
        <v>0</v>
      </c>
      <c r="H9" s="429"/>
      <c r="I9" s="428" t="str">
        <f t="shared" si="0"/>
        <v/>
      </c>
      <c r="J9" s="428" t="str">
        <f t="shared" si="1"/>
        <v/>
      </c>
      <c r="K9" s="204"/>
      <c r="L9" s="305"/>
    </row>
    <row r="10" spans="1:12">
      <c r="A10" s="428" t="str">
        <f>Application!B724</f>
        <v>3 Bedrooms</v>
      </c>
      <c r="B10" s="1082">
        <f>Application!G724</f>
        <v>7</v>
      </c>
      <c r="C10" s="1162"/>
      <c r="D10" s="428">
        <f>Application!O724</f>
        <v>1116</v>
      </c>
      <c r="E10" s="429"/>
      <c r="F10" s="1083"/>
      <c r="G10" s="428">
        <f t="shared" si="2"/>
        <v>0</v>
      </c>
      <c r="H10" s="429"/>
      <c r="I10" s="428" t="str">
        <f t="shared" si="0"/>
        <v/>
      </c>
      <c r="J10" s="428" t="str">
        <f t="shared" si="1"/>
        <v/>
      </c>
      <c r="K10" s="204"/>
      <c r="L10" s="305"/>
    </row>
    <row r="11" spans="1:12">
      <c r="A11" s="428" t="str">
        <f>Application!B725</f>
        <v>3 Bedrooms</v>
      </c>
      <c r="B11" s="1082">
        <f>Application!G725</f>
        <v>62</v>
      </c>
      <c r="C11" s="1162"/>
      <c r="D11" s="428">
        <f>Application!O725</f>
        <v>2836</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550024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2255</v>
      </c>
    </row>
    <row r="43" spans="1:12">
      <c r="A43" s="2686" t="s">
        <v>2494</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2256</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1"/>
  <sheetViews>
    <sheetView workbookViewId="0">
      <selection activeCell="E8" sqref="E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2092</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6600288</v>
      </c>
      <c r="G4" s="219">
        <f>E4*$C$4</f>
        <v>6765295.1999999993</v>
      </c>
      <c r="I4" s="219">
        <f>G4*$C$4</f>
        <v>6934427.5799999982</v>
      </c>
      <c r="K4" s="219">
        <f>I4*$C$4</f>
        <v>7107788.2694999976</v>
      </c>
      <c r="M4" s="219">
        <f>K4*$C$4</f>
        <v>7285482.9762374973</v>
      </c>
      <c r="O4" s="219">
        <f>M4*$C$4</f>
        <v>7467620.0506434338</v>
      </c>
      <c r="Q4" s="219">
        <f>O4*$C$4</f>
        <v>7654310.5519095194</v>
      </c>
      <c r="S4" s="219">
        <f>Q4*$C$4</f>
        <v>7845668.315707257</v>
      </c>
      <c r="U4" s="219">
        <f>S4*$C$4</f>
        <v>8041810.0235999376</v>
      </c>
      <c r="W4" s="219">
        <f>U4*$C$4</f>
        <v>8242855.2741899351</v>
      </c>
      <c r="Y4" s="219">
        <f>W4*$C$4</f>
        <v>8448926.6560446825</v>
      </c>
      <c r="AA4" s="219">
        <f>Y4*$C$4</f>
        <v>8660149.8224457987</v>
      </c>
      <c r="AC4" s="219">
        <f>AA4*$C$4</f>
        <v>8876653.568006942</v>
      </c>
      <c r="AE4" s="219">
        <f>AC4*$C$4</f>
        <v>9098569.9072071146</v>
      </c>
      <c r="AG4" s="219">
        <f>AE4*$C$4</f>
        <v>9326034.1548872925</v>
      </c>
    </row>
    <row r="5" spans="1:34" s="210" customFormat="1" ht="14.25">
      <c r="B5" s="210" t="s">
        <v>839</v>
      </c>
      <c r="C5" s="238">
        <f>IF(Application!$D$211="Special Needs",(((0.1*Application!$T$212)+(0.05*(1-Application!$T$212)))),0.05)</f>
        <v>0.05</v>
      </c>
      <c r="E5" s="221">
        <f>-E4*$C$5</f>
        <v>-330014.40000000002</v>
      </c>
      <c r="F5" s="221"/>
      <c r="G5" s="221">
        <f>-G4*$C$5</f>
        <v>-338264.76</v>
      </c>
      <c r="H5" s="221"/>
      <c r="I5" s="221">
        <f>-I4*$C$5</f>
        <v>-346721.37899999996</v>
      </c>
      <c r="J5" s="221"/>
      <c r="K5" s="221">
        <f>-K4*$C$5</f>
        <v>-355389.41347499989</v>
      </c>
      <c r="L5" s="221"/>
      <c r="M5" s="221">
        <f>-M4*$C$5</f>
        <v>-364274.14881187491</v>
      </c>
      <c r="N5" s="221"/>
      <c r="O5" s="221">
        <f>-O4*$C$5</f>
        <v>-373381.00253217173</v>
      </c>
      <c r="P5" s="221"/>
      <c r="Q5" s="221">
        <f>-Q4*$C$5</f>
        <v>-382715.52759547601</v>
      </c>
      <c r="R5" s="221"/>
      <c r="S5" s="221">
        <f>-S4*$C$5</f>
        <v>-392283.41578536289</v>
      </c>
      <c r="T5" s="221"/>
      <c r="U5" s="221">
        <f>-U4*$C$5</f>
        <v>-402090.50117999688</v>
      </c>
      <c r="V5" s="221"/>
      <c r="W5" s="221">
        <f>-W4*$C$5</f>
        <v>-412142.76370949676</v>
      </c>
      <c r="X5" s="221"/>
      <c r="Y5" s="221">
        <f>-Y4*$C$5</f>
        <v>-422446.33280223416</v>
      </c>
      <c r="Z5" s="221"/>
      <c r="AA5" s="221">
        <f>-AA4*$C$5</f>
        <v>-433007.49112228997</v>
      </c>
      <c r="AB5" s="221"/>
      <c r="AC5" s="221">
        <f>-AC4*$C$5</f>
        <v>-443832.67840034713</v>
      </c>
      <c r="AD5" s="221"/>
      <c r="AE5" s="221">
        <f>-AE4*$C$5</f>
        <v>-454928.49536035577</v>
      </c>
      <c r="AF5" s="221"/>
      <c r="AG5" s="221">
        <f>-AG4*$C$5</f>
        <v>-466301.70774436463</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176220</v>
      </c>
      <c r="F8" s="222"/>
      <c r="G8" s="222">
        <f>E8*$C$8</f>
        <v>180625.49999999997</v>
      </c>
      <c r="H8" s="222"/>
      <c r="I8" s="222">
        <f>G8*$C$8</f>
        <v>185141.13749999995</v>
      </c>
      <c r="J8" s="222"/>
      <c r="K8" s="222">
        <f>I8*$C$8</f>
        <v>189769.66593749993</v>
      </c>
      <c r="L8" s="222"/>
      <c r="M8" s="222">
        <f>K8*$C$8</f>
        <v>194513.90758593741</v>
      </c>
      <c r="N8" s="222"/>
      <c r="O8" s="222">
        <f>M8*$C$8</f>
        <v>199376.75527558583</v>
      </c>
      <c r="P8" s="222"/>
      <c r="Q8" s="222">
        <f>O8*$C$8</f>
        <v>204361.17415747547</v>
      </c>
      <c r="R8" s="222"/>
      <c r="S8" s="222">
        <f>Q8*$C$8</f>
        <v>209470.20351141234</v>
      </c>
      <c r="T8" s="222"/>
      <c r="U8" s="222">
        <f>S8*$C$8</f>
        <v>214706.95859919762</v>
      </c>
      <c r="V8" s="222"/>
      <c r="W8" s="222">
        <f>U8*$C$8</f>
        <v>220074.63256417753</v>
      </c>
      <c r="X8" s="222"/>
      <c r="Y8" s="222">
        <f>W8*$C$8</f>
        <v>225576.49837828195</v>
      </c>
      <c r="Z8" s="222"/>
      <c r="AA8" s="222">
        <f>Y8*$C$8</f>
        <v>231215.91083773898</v>
      </c>
      <c r="AB8" s="222"/>
      <c r="AC8" s="222">
        <f>AA8*$C$8</f>
        <v>236996.30860868242</v>
      </c>
      <c r="AD8" s="222"/>
      <c r="AE8" s="222">
        <f>AC8*$C$8</f>
        <v>242921.21632389945</v>
      </c>
      <c r="AF8" s="222"/>
      <c r="AG8" s="222">
        <f>AE8*$C$8</f>
        <v>248994.24673199691</v>
      </c>
    </row>
    <row r="9" spans="1:34" s="210" customFormat="1" ht="14.25">
      <c r="B9" s="210" t="s">
        <v>839</v>
      </c>
      <c r="C9" s="238">
        <f>IF(Application!$D$211="Special Needs",(((0.1*Application!$T$212)+(0.05*(1-Application!$T$212)))),0.05)</f>
        <v>0.05</v>
      </c>
      <c r="E9" s="221">
        <f>-E8*$C$9</f>
        <v>-8811</v>
      </c>
      <c r="F9" s="221"/>
      <c r="G9" s="221">
        <f>-G8*$C$9</f>
        <v>-9031.2749999999996</v>
      </c>
      <c r="H9" s="221"/>
      <c r="I9" s="221">
        <f>-I8*$C$9</f>
        <v>-9257.0568749999984</v>
      </c>
      <c r="J9" s="221"/>
      <c r="K9" s="221">
        <f>-K8*$C$9</f>
        <v>-9488.4832968749961</v>
      </c>
      <c r="L9" s="221"/>
      <c r="M9" s="221">
        <f>-M8*$C$9</f>
        <v>-9725.6953792968707</v>
      </c>
      <c r="N9" s="221"/>
      <c r="O9" s="221">
        <f>-O8*$C$9</f>
        <v>-9968.8377637792928</v>
      </c>
      <c r="P9" s="221"/>
      <c r="Q9" s="221">
        <f>-Q8*$C$9</f>
        <v>-10218.058707873774</v>
      </c>
      <c r="R9" s="221"/>
      <c r="S9" s="221">
        <f>-S8*$C$9</f>
        <v>-10473.510175570618</v>
      </c>
      <c r="T9" s="221"/>
      <c r="U9" s="221">
        <f>-U8*$C$9</f>
        <v>-10735.347929959882</v>
      </c>
      <c r="V9" s="221"/>
      <c r="W9" s="221">
        <f>-W8*$C$9</f>
        <v>-11003.731628208878</v>
      </c>
      <c r="X9" s="221"/>
      <c r="Y9" s="221">
        <f>-Y8*$C$9</f>
        <v>-11278.824918914099</v>
      </c>
      <c r="Z9" s="221"/>
      <c r="AA9" s="221">
        <f>-AA8*$C$9</f>
        <v>-11560.79554188695</v>
      </c>
      <c r="AB9" s="221"/>
      <c r="AC9" s="221">
        <f>-AC8*$C$9</f>
        <v>-11849.815430434122</v>
      </c>
      <c r="AD9" s="221"/>
      <c r="AE9" s="221">
        <f>-AE8*$C$9</f>
        <v>-12146.060816194973</v>
      </c>
      <c r="AF9" s="221"/>
      <c r="AG9" s="221">
        <f>-AG8*$C$9</f>
        <v>-12449.712336599847</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6437682.5999999996</v>
      </c>
      <c r="G11" s="223">
        <f>SUM(G4:G10)</f>
        <v>6598624.6649999991</v>
      </c>
      <c r="I11" s="223">
        <f>SUM(I4:I10)</f>
        <v>6763590.2816249989</v>
      </c>
      <c r="K11" s="223">
        <f>SUM(K4:K10)</f>
        <v>6932680.0386656225</v>
      </c>
      <c r="M11" s="223">
        <f>SUM(M4:M10)</f>
        <v>7105997.0396322627</v>
      </c>
      <c r="O11" s="223">
        <f>SUM(O4:O10)</f>
        <v>7283646.9656230686</v>
      </c>
      <c r="Q11" s="223">
        <f>SUM(Q4:Q10)</f>
        <v>7465738.1397636449</v>
      </c>
      <c r="S11" s="223">
        <f>SUM(S4:S10)</f>
        <v>7652381.5932577355</v>
      </c>
      <c r="U11" s="223">
        <f>SUM(U4:U10)</f>
        <v>7843691.1330891782</v>
      </c>
      <c r="W11" s="223">
        <f>SUM(W4:W10)</f>
        <v>8039783.4114164077</v>
      </c>
      <c r="Y11" s="223">
        <f>SUM(Y4:Y10)</f>
        <v>8240777.996701817</v>
      </c>
      <c r="AA11" s="223">
        <f>SUM(AA4:AA10)</f>
        <v>8446797.4466193616</v>
      </c>
      <c r="AC11" s="223">
        <f>SUM(AC4:AC10)</f>
        <v>8657967.3827848434</v>
      </c>
      <c r="AE11" s="223">
        <f>SUM(AE4:AE10)</f>
        <v>8874416.567354463</v>
      </c>
      <c r="AG11" s="223">
        <f>SUM(AG4:AG10)</f>
        <v>9096276.9815383255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90500</v>
      </c>
      <c r="G15" s="219">
        <f>E15*$C$14</f>
        <v>93667.5</v>
      </c>
      <c r="I15" s="219">
        <f>G15*$C$14</f>
        <v>96945.862499999988</v>
      </c>
      <c r="K15" s="219">
        <f>I15*$C$14</f>
        <v>100338.96768749999</v>
      </c>
      <c r="M15" s="219">
        <f>K15*$C$14</f>
        <v>103850.83155656248</v>
      </c>
      <c r="O15" s="219">
        <f>M15*$C$14</f>
        <v>107485.61066104216</v>
      </c>
      <c r="Q15" s="219">
        <f>O15*$C$14</f>
        <v>111247.60703417863</v>
      </c>
      <c r="S15" s="219">
        <f>Q15*$C$14</f>
        <v>115141.27328037487</v>
      </c>
      <c r="U15" s="219">
        <f>S15*$C$14</f>
        <v>119171.21784518797</v>
      </c>
      <c r="W15" s="219">
        <f>U15*$C$14</f>
        <v>123342.21046976955</v>
      </c>
      <c r="Y15" s="219">
        <f>W15*$C$14</f>
        <v>127659.18783621147</v>
      </c>
      <c r="AA15" s="219">
        <f>Y15*$C$14</f>
        <v>132127.25941047884</v>
      </c>
      <c r="AC15" s="219">
        <f>AA15*$C$14</f>
        <v>136751.7134898456</v>
      </c>
      <c r="AE15" s="219">
        <f>AC15*$C$14</f>
        <v>141538.02346199017</v>
      </c>
      <c r="AG15" s="219">
        <f>AE15*$C$14</f>
        <v>146491.85428315983</v>
      </c>
    </row>
    <row r="16" spans="1:34" s="210" customFormat="1" ht="14.25">
      <c r="A16" s="210" t="s">
        <v>344</v>
      </c>
      <c r="C16" s="233"/>
      <c r="E16" s="222">
        <f>Application!W849</f>
        <v>225318.891</v>
      </c>
      <c r="F16" s="222"/>
      <c r="G16" s="222">
        <f t="shared" ref="G16:AG21" si="0">E16*$C$14</f>
        <v>233205.05218499998</v>
      </c>
      <c r="H16" s="222"/>
      <c r="I16" s="222">
        <f t="shared" si="0"/>
        <v>241367.22901147496</v>
      </c>
      <c r="J16" s="222"/>
      <c r="K16" s="222">
        <f t="shared" si="0"/>
        <v>249815.08202687657</v>
      </c>
      <c r="L16" s="222"/>
      <c r="M16" s="222">
        <f t="shared" si="0"/>
        <v>258558.60989781722</v>
      </c>
      <c r="N16" s="222"/>
      <c r="O16" s="222">
        <f t="shared" si="0"/>
        <v>267608.16124424082</v>
      </c>
      <c r="P16" s="222"/>
      <c r="Q16" s="222">
        <f t="shared" si="0"/>
        <v>276974.44688778924</v>
      </c>
      <c r="R16" s="222"/>
      <c r="S16" s="222">
        <f t="shared" si="0"/>
        <v>286668.55252886185</v>
      </c>
      <c r="T16" s="222"/>
      <c r="U16" s="222">
        <f t="shared" si="0"/>
        <v>296701.95186737197</v>
      </c>
      <c r="V16" s="222"/>
      <c r="W16" s="222">
        <f t="shared" si="0"/>
        <v>307086.52018272999</v>
      </c>
      <c r="X16" s="222"/>
      <c r="Y16" s="222">
        <f t="shared" si="0"/>
        <v>317834.5483891255</v>
      </c>
      <c r="Z16" s="222"/>
      <c r="AA16" s="222">
        <f t="shared" si="0"/>
        <v>328958.75758274487</v>
      </c>
      <c r="AB16" s="222"/>
      <c r="AC16" s="222">
        <f t="shared" si="0"/>
        <v>340472.31409814092</v>
      </c>
      <c r="AD16" s="222"/>
      <c r="AE16" s="222">
        <f t="shared" si="0"/>
        <v>352388.84509157581</v>
      </c>
      <c r="AF16" s="222"/>
      <c r="AG16" s="222">
        <f t="shared" si="0"/>
        <v>364722.45466978091</v>
      </c>
    </row>
    <row r="17" spans="1:33" s="210" customFormat="1" ht="14.25">
      <c r="A17" s="210" t="s">
        <v>562</v>
      </c>
      <c r="C17" s="233"/>
      <c r="E17" s="222">
        <f>Application!W855</f>
        <v>410033.38862559246</v>
      </c>
      <c r="F17" s="222"/>
      <c r="G17" s="222">
        <f t="shared" si="0"/>
        <v>424384.55722748814</v>
      </c>
      <c r="H17" s="222"/>
      <c r="I17" s="222">
        <f t="shared" si="0"/>
        <v>439238.01673045021</v>
      </c>
      <c r="J17" s="222"/>
      <c r="K17" s="222">
        <f t="shared" si="0"/>
        <v>454611.34731601592</v>
      </c>
      <c r="L17" s="222"/>
      <c r="M17" s="222">
        <f t="shared" si="0"/>
        <v>470522.74447207642</v>
      </c>
      <c r="N17" s="222"/>
      <c r="O17" s="222">
        <f t="shared" si="0"/>
        <v>486991.04052859906</v>
      </c>
      <c r="P17" s="222"/>
      <c r="Q17" s="222">
        <f t="shared" si="0"/>
        <v>504035.72694709996</v>
      </c>
      <c r="R17" s="222"/>
      <c r="S17" s="222">
        <f t="shared" si="0"/>
        <v>521676.97739024844</v>
      </c>
      <c r="T17" s="222"/>
      <c r="U17" s="222">
        <f t="shared" si="0"/>
        <v>539935.67159890709</v>
      </c>
      <c r="V17" s="222"/>
      <c r="W17" s="222">
        <f t="shared" si="0"/>
        <v>558833.42010486883</v>
      </c>
      <c r="X17" s="222"/>
      <c r="Y17" s="222">
        <f t="shared" si="0"/>
        <v>578392.58980853914</v>
      </c>
      <c r="Z17" s="222"/>
      <c r="AA17" s="222">
        <f t="shared" si="0"/>
        <v>598636.33045183797</v>
      </c>
      <c r="AB17" s="222"/>
      <c r="AC17" s="222">
        <f t="shared" si="0"/>
        <v>619588.60201765224</v>
      </c>
      <c r="AD17" s="222"/>
      <c r="AE17" s="222">
        <f t="shared" si="0"/>
        <v>641274.20308827003</v>
      </c>
      <c r="AF17" s="222"/>
      <c r="AG17" s="222">
        <f t="shared" si="0"/>
        <v>663718.8001963594</v>
      </c>
    </row>
    <row r="18" spans="1:33" s="210" customFormat="1" ht="14.25">
      <c r="A18" s="210" t="s">
        <v>843</v>
      </c>
      <c r="C18" s="233"/>
      <c r="E18" s="222">
        <f>Application!W862</f>
        <v>360400</v>
      </c>
      <c r="F18" s="222"/>
      <c r="G18" s="222">
        <f t="shared" si="0"/>
        <v>373014</v>
      </c>
      <c r="H18" s="222"/>
      <c r="I18" s="222">
        <f t="shared" si="0"/>
        <v>386069.49</v>
      </c>
      <c r="J18" s="222"/>
      <c r="K18" s="222">
        <f t="shared" si="0"/>
        <v>399581.92214999994</v>
      </c>
      <c r="L18" s="222"/>
      <c r="M18" s="222">
        <f t="shared" si="0"/>
        <v>413567.28942524991</v>
      </c>
      <c r="N18" s="222"/>
      <c r="O18" s="222">
        <f t="shared" si="0"/>
        <v>428042.14455513365</v>
      </c>
      <c r="P18" s="222"/>
      <c r="Q18" s="222">
        <f t="shared" si="0"/>
        <v>443023.6196145633</v>
      </c>
      <c r="R18" s="222"/>
      <c r="S18" s="222">
        <f t="shared" si="0"/>
        <v>458529.44630107295</v>
      </c>
      <c r="T18" s="222"/>
      <c r="U18" s="222">
        <f t="shared" si="0"/>
        <v>474577.97692161048</v>
      </c>
      <c r="V18" s="222"/>
      <c r="W18" s="222">
        <f t="shared" si="0"/>
        <v>491188.20611386682</v>
      </c>
      <c r="X18" s="222"/>
      <c r="Y18" s="222">
        <f t="shared" si="0"/>
        <v>508379.79332785209</v>
      </c>
      <c r="Z18" s="222"/>
      <c r="AA18" s="222">
        <f t="shared" si="0"/>
        <v>526173.08609432692</v>
      </c>
      <c r="AB18" s="222"/>
      <c r="AC18" s="222">
        <f t="shared" si="0"/>
        <v>544589.14410762826</v>
      </c>
      <c r="AD18" s="222"/>
      <c r="AE18" s="222">
        <f t="shared" si="0"/>
        <v>563649.76415139518</v>
      </c>
      <c r="AF18" s="222"/>
      <c r="AG18" s="222">
        <f t="shared" si="0"/>
        <v>583377.50589669391</v>
      </c>
    </row>
    <row r="19" spans="1:33" s="210" customFormat="1" ht="14.25">
      <c r="A19" s="210" t="s">
        <v>155</v>
      </c>
      <c r="C19" s="233"/>
      <c r="E19" s="222">
        <f>Application!W863</f>
        <v>297000</v>
      </c>
      <c r="F19" s="222"/>
      <c r="G19" s="222">
        <f t="shared" si="0"/>
        <v>307395</v>
      </c>
      <c r="H19" s="222"/>
      <c r="I19" s="222">
        <f t="shared" si="0"/>
        <v>318153.82499999995</v>
      </c>
      <c r="J19" s="222"/>
      <c r="K19" s="222">
        <f t="shared" si="0"/>
        <v>329289.20887499995</v>
      </c>
      <c r="L19" s="222"/>
      <c r="M19" s="222">
        <f t="shared" si="0"/>
        <v>340814.33118562493</v>
      </c>
      <c r="N19" s="222"/>
      <c r="O19" s="222">
        <f t="shared" si="0"/>
        <v>352742.8327771218</v>
      </c>
      <c r="P19" s="222"/>
      <c r="Q19" s="222">
        <f t="shared" si="0"/>
        <v>365088.83192432101</v>
      </c>
      <c r="R19" s="222"/>
      <c r="S19" s="222">
        <f t="shared" si="0"/>
        <v>377866.94104167219</v>
      </c>
      <c r="T19" s="222"/>
      <c r="U19" s="222">
        <f t="shared" si="0"/>
        <v>391092.28397813067</v>
      </c>
      <c r="V19" s="222"/>
      <c r="W19" s="222">
        <f t="shared" si="0"/>
        <v>404780.51391736523</v>
      </c>
      <c r="X19" s="222"/>
      <c r="Y19" s="222">
        <f t="shared" si="0"/>
        <v>418947.83190447296</v>
      </c>
      <c r="Z19" s="222"/>
      <c r="AA19" s="222">
        <f t="shared" si="0"/>
        <v>433611.00602112949</v>
      </c>
      <c r="AB19" s="222"/>
      <c r="AC19" s="222">
        <f t="shared" si="0"/>
        <v>448787.391231869</v>
      </c>
      <c r="AD19" s="222"/>
      <c r="AE19" s="222">
        <f t="shared" si="0"/>
        <v>464494.94992498436</v>
      </c>
      <c r="AF19" s="222"/>
      <c r="AG19" s="222">
        <f t="shared" si="0"/>
        <v>480752.27317235881</v>
      </c>
    </row>
    <row r="20" spans="1:33" s="210" customFormat="1" ht="14.25">
      <c r="A20" s="210" t="s">
        <v>390</v>
      </c>
      <c r="C20" s="233"/>
      <c r="E20" s="222">
        <f>Application!W872</f>
        <v>325670</v>
      </c>
      <c r="F20" s="222"/>
      <c r="G20" s="222">
        <f t="shared" si="0"/>
        <v>337068.44999999995</v>
      </c>
      <c r="H20" s="222"/>
      <c r="I20" s="222">
        <f t="shared" si="0"/>
        <v>348865.84574999992</v>
      </c>
      <c r="J20" s="222"/>
      <c r="K20" s="222">
        <f t="shared" si="0"/>
        <v>361076.1503512499</v>
      </c>
      <c r="L20" s="222"/>
      <c r="M20" s="222">
        <f t="shared" si="0"/>
        <v>373713.81561354361</v>
      </c>
      <c r="N20" s="222"/>
      <c r="O20" s="222">
        <f t="shared" si="0"/>
        <v>386793.79916001763</v>
      </c>
      <c r="P20" s="222"/>
      <c r="Q20" s="222">
        <f t="shared" si="0"/>
        <v>400331.58213061822</v>
      </c>
      <c r="R20" s="222"/>
      <c r="S20" s="222">
        <f t="shared" si="0"/>
        <v>414343.18750518985</v>
      </c>
      <c r="T20" s="222"/>
      <c r="U20" s="222">
        <f t="shared" si="0"/>
        <v>428845.19906787149</v>
      </c>
      <c r="V20" s="222"/>
      <c r="W20" s="222">
        <f t="shared" si="0"/>
        <v>443854.78103524697</v>
      </c>
      <c r="X20" s="222"/>
      <c r="Y20" s="222">
        <f t="shared" si="0"/>
        <v>459389.69837148057</v>
      </c>
      <c r="Z20" s="222"/>
      <c r="AA20" s="222">
        <f t="shared" si="0"/>
        <v>475468.33781448234</v>
      </c>
      <c r="AB20" s="222"/>
      <c r="AC20" s="222">
        <f t="shared" si="0"/>
        <v>492109.72963798919</v>
      </c>
      <c r="AD20" s="222"/>
      <c r="AE20" s="222">
        <f t="shared" si="0"/>
        <v>509333.57017531875</v>
      </c>
      <c r="AF20" s="222"/>
      <c r="AG20" s="222">
        <f t="shared" si="0"/>
        <v>527160.2451314549</v>
      </c>
    </row>
    <row r="21" spans="1:33" s="210" customFormat="1" ht="14.25">
      <c r="A21" s="226" t="s">
        <v>2744</v>
      </c>
      <c r="B21" s="226"/>
      <c r="C21" s="233"/>
      <c r="E21" s="232">
        <f>Application!W879</f>
        <v>1900</v>
      </c>
      <c r="F21" s="222"/>
      <c r="G21" s="232">
        <f t="shared" si="0"/>
        <v>1966.4999999999998</v>
      </c>
      <c r="H21" s="222"/>
      <c r="I21" s="232">
        <f t="shared" si="0"/>
        <v>2035.3274999999996</v>
      </c>
      <c r="J21" s="222"/>
      <c r="K21" s="232">
        <f t="shared" si="0"/>
        <v>2106.5639624999994</v>
      </c>
      <c r="L21" s="222"/>
      <c r="M21" s="232">
        <f t="shared" si="0"/>
        <v>2180.2937011874992</v>
      </c>
      <c r="N21" s="222"/>
      <c r="O21" s="232">
        <f t="shared" si="0"/>
        <v>2256.6039807290617</v>
      </c>
      <c r="P21" s="222"/>
      <c r="Q21" s="232">
        <f t="shared" si="0"/>
        <v>2335.5851200545785</v>
      </c>
      <c r="R21" s="222"/>
      <c r="S21" s="232">
        <f t="shared" si="0"/>
        <v>2417.3305992564888</v>
      </c>
      <c r="T21" s="222"/>
      <c r="U21" s="232">
        <f t="shared" si="0"/>
        <v>2501.9371702304657</v>
      </c>
      <c r="V21" s="222"/>
      <c r="W21" s="232">
        <f t="shared" si="0"/>
        <v>2589.5049711885317</v>
      </c>
      <c r="X21" s="222"/>
      <c r="Y21" s="232">
        <f t="shared" si="0"/>
        <v>2680.1376451801302</v>
      </c>
      <c r="Z21" s="222"/>
      <c r="AA21" s="232">
        <f t="shared" si="0"/>
        <v>2773.9424627614344</v>
      </c>
      <c r="AB21" s="222"/>
      <c r="AC21" s="232">
        <f t="shared" si="0"/>
        <v>2871.0304489580844</v>
      </c>
      <c r="AD21" s="222"/>
      <c r="AE21" s="232">
        <f t="shared" si="0"/>
        <v>2971.5165146716172</v>
      </c>
      <c r="AF21" s="222"/>
      <c r="AG21" s="232">
        <f t="shared" si="0"/>
        <v>3075.5195926851234</v>
      </c>
    </row>
    <row r="22" spans="1:33" s="223" customFormat="1" ht="15">
      <c r="A22" s="223" t="s">
        <v>844</v>
      </c>
      <c r="C22" s="233"/>
      <c r="E22" s="223">
        <f>SUM(E15:E21)</f>
        <v>1710822.2796255925</v>
      </c>
      <c r="G22" s="223">
        <f>SUM(G15:G21)</f>
        <v>1770701.059412488</v>
      </c>
      <c r="I22" s="223">
        <f>SUM(I15:I21)</f>
        <v>1832675.596491925</v>
      </c>
      <c r="K22" s="223">
        <f>SUM(K15:K21)</f>
        <v>1896819.2423691424</v>
      </c>
      <c r="M22" s="223">
        <f>SUM(M15:M21)</f>
        <v>1963207.9158520622</v>
      </c>
      <c r="O22" s="223">
        <f>SUM(O15:O21)</f>
        <v>2031920.1929068842</v>
      </c>
      <c r="Q22" s="223">
        <f>SUM(Q15:Q21)</f>
        <v>2103037.399658625</v>
      </c>
      <c r="S22" s="223">
        <f>SUM(S15:S21)</f>
        <v>2176643.7086466765</v>
      </c>
      <c r="U22" s="223">
        <f>SUM(U15:U21)</f>
        <v>2252826.23844931</v>
      </c>
      <c r="W22" s="223">
        <f>SUM(W15:W21)</f>
        <v>2331675.1567950356</v>
      </c>
      <c r="Y22" s="223">
        <f>SUM(Y15:Y21)</f>
        <v>2413283.7872828622</v>
      </c>
      <c r="AA22" s="223">
        <f>SUM(AA15:AA21)</f>
        <v>2497748.7198377619</v>
      </c>
      <c r="AC22" s="223">
        <f>SUM(AC15:AC21)</f>
        <v>2585169.9250320834</v>
      </c>
      <c r="AE22" s="223">
        <f>SUM(AE15:AE21)</f>
        <v>2675650.8724082061</v>
      </c>
      <c r="AG22" s="223">
        <f>SUM(AG15:AG21)</f>
        <v>2769298.6529424931</v>
      </c>
    </row>
    <row r="23" spans="1:33" s="210" customFormat="1" ht="15">
      <c r="C23" s="233"/>
      <c r="E23" s="222"/>
      <c r="F23" s="222"/>
      <c r="G23" s="222"/>
      <c r="H23" s="222"/>
      <c r="I23" s="222"/>
      <c r="J23" s="222"/>
      <c r="K23" s="223">
        <f>SUM(K16:K22)</f>
        <v>3693299.517050785</v>
      </c>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17847</v>
      </c>
      <c r="F27" s="222"/>
      <c r="G27" s="222">
        <f>E27*$C$27</f>
        <v>18471.644999999997</v>
      </c>
      <c r="H27" s="222"/>
      <c r="I27" s="222">
        <f>G27*$C$27</f>
        <v>19118.152574999996</v>
      </c>
      <c r="J27" s="222"/>
      <c r="K27" s="222">
        <f>I27*$C$27</f>
        <v>19787.287915124994</v>
      </c>
      <c r="L27" s="222"/>
      <c r="M27" s="222">
        <f>K27*$C$27</f>
        <v>20479.842992154368</v>
      </c>
      <c r="N27" s="222"/>
      <c r="O27" s="222">
        <f>M27*$C$27</f>
        <v>21196.637496879768</v>
      </c>
      <c r="P27" s="222"/>
      <c r="Q27" s="222">
        <f>O27*$C$27</f>
        <v>21938.519809270558</v>
      </c>
      <c r="R27" s="222"/>
      <c r="S27" s="222">
        <f>Q27*$C$27</f>
        <v>22706.368002595027</v>
      </c>
      <c r="T27" s="222"/>
      <c r="U27" s="222">
        <f>S27*$C$27</f>
        <v>23501.09088268585</v>
      </c>
      <c r="V27" s="222"/>
      <c r="W27" s="222">
        <f>U27*$C$27</f>
        <v>24323.629063579854</v>
      </c>
      <c r="X27" s="222"/>
      <c r="Y27" s="222">
        <f>W27*$C$27</f>
        <v>25174.956080805146</v>
      </c>
      <c r="Z27" s="222"/>
      <c r="AA27" s="222">
        <f>Y27*$C$27</f>
        <v>26056.079543633325</v>
      </c>
      <c r="AB27" s="222"/>
      <c r="AC27" s="222">
        <f>AA27*$C$27</f>
        <v>26968.042327660489</v>
      </c>
      <c r="AD27" s="222"/>
      <c r="AE27" s="222">
        <f>AC27*$C$27</f>
        <v>27911.923809128602</v>
      </c>
      <c r="AF27" s="222"/>
      <c r="AG27" s="222">
        <f>AE27*$C$27</f>
        <v>28888.841142448102</v>
      </c>
    </row>
    <row r="28" spans="1:33" s="210" customFormat="1" ht="14.25">
      <c r="A28" s="210" t="s">
        <v>847</v>
      </c>
      <c r="C28" s="237"/>
      <c r="E28" s="222">
        <f>Application!AC889</f>
        <v>67500</v>
      </c>
      <c r="F28" s="222"/>
      <c r="G28" s="222">
        <f>$E$28</f>
        <v>67500</v>
      </c>
      <c r="H28" s="222"/>
      <c r="I28" s="222">
        <f>$E$28</f>
        <v>67500</v>
      </c>
      <c r="J28" s="222"/>
      <c r="K28" s="222">
        <f>$E$28</f>
        <v>67500</v>
      </c>
      <c r="L28" s="222"/>
      <c r="M28" s="222">
        <f>$E$28</f>
        <v>67500</v>
      </c>
      <c r="N28" s="222"/>
      <c r="O28" s="222">
        <f>$E$28</f>
        <v>67500</v>
      </c>
      <c r="P28" s="222"/>
      <c r="Q28" s="222">
        <f>$E$28</f>
        <v>67500</v>
      </c>
      <c r="R28" s="222"/>
      <c r="S28" s="222">
        <f>$E$28</f>
        <v>67500</v>
      </c>
      <c r="T28" s="222"/>
      <c r="U28" s="222">
        <f>$E$28</f>
        <v>67500</v>
      </c>
      <c r="V28" s="222"/>
      <c r="W28" s="222">
        <f>$E$28</f>
        <v>67500</v>
      </c>
      <c r="X28" s="222"/>
      <c r="Y28" s="222">
        <f>$E$28</f>
        <v>67500</v>
      </c>
      <c r="Z28" s="222"/>
      <c r="AA28" s="222">
        <f>$E$28</f>
        <v>67500</v>
      </c>
      <c r="AB28" s="222"/>
      <c r="AC28" s="222">
        <f>$E$28</f>
        <v>67500</v>
      </c>
      <c r="AD28" s="222"/>
      <c r="AE28" s="222">
        <f>$E$28</f>
        <v>67500</v>
      </c>
      <c r="AF28" s="222"/>
      <c r="AG28" s="222">
        <f>$E$28</f>
        <v>67500</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25000</v>
      </c>
      <c r="F30" s="222"/>
      <c r="G30" s="222">
        <f>E30*$C$30</f>
        <v>25500</v>
      </c>
      <c r="H30" s="222"/>
      <c r="I30" s="222">
        <f>G30*$C$30</f>
        <v>26010</v>
      </c>
      <c r="J30" s="222"/>
      <c r="K30" s="222">
        <f>I30*$C$30</f>
        <v>26530.2</v>
      </c>
      <c r="L30" s="222"/>
      <c r="M30" s="222">
        <f>K30*$C$30</f>
        <v>27060.804</v>
      </c>
      <c r="N30" s="222"/>
      <c r="O30" s="222">
        <f>M30*$C$30</f>
        <v>27602.020080000002</v>
      </c>
      <c r="P30" s="222"/>
      <c r="Q30" s="222">
        <f>O30*$C$30</f>
        <v>28154.060481600001</v>
      </c>
      <c r="R30" s="222"/>
      <c r="S30" s="222">
        <f>Q30*$C$30</f>
        <v>28717.141691232002</v>
      </c>
      <c r="T30" s="222"/>
      <c r="U30" s="222">
        <f>S30*$C$30</f>
        <v>29291.484525056643</v>
      </c>
      <c r="V30" s="222"/>
      <c r="W30" s="222">
        <f>U30*$C$30</f>
        <v>29877.314215557777</v>
      </c>
      <c r="X30" s="222"/>
      <c r="Y30" s="222">
        <f>W30*$C$30</f>
        <v>30474.860499868933</v>
      </c>
      <c r="Z30" s="222"/>
      <c r="AA30" s="222">
        <f>Y30*$C$30</f>
        <v>31084.357709866312</v>
      </c>
      <c r="AB30" s="222"/>
      <c r="AC30" s="222">
        <f>AA30*$C$30</f>
        <v>31706.044864063639</v>
      </c>
      <c r="AD30" s="222"/>
      <c r="AE30" s="222">
        <f>AC30*$C$30</f>
        <v>32340.165761344913</v>
      </c>
      <c r="AF30" s="222"/>
      <c r="AG30" s="222">
        <f>AE30*$C$30</f>
        <v>32986.969076571811</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CMFA Issuer Fee</v>
      </c>
      <c r="C32" s="316">
        <v>1.0349999999999999</v>
      </c>
      <c r="E32" s="222">
        <f>Application!AC894</f>
        <v>30000</v>
      </c>
      <c r="F32" s="222"/>
      <c r="G32" s="222">
        <f>E32*$C$32</f>
        <v>31049.999999999996</v>
      </c>
      <c r="H32" s="222"/>
      <c r="I32" s="222">
        <f>G32*$C$32</f>
        <v>32136.749999999993</v>
      </c>
      <c r="J32" s="222"/>
      <c r="K32" s="222">
        <f>I32*$C$32</f>
        <v>33261.53624999999</v>
      </c>
      <c r="L32" s="222"/>
      <c r="M32" s="222">
        <f>K32*$C$32</f>
        <v>34425.690018749985</v>
      </c>
      <c r="N32" s="222"/>
      <c r="O32" s="222">
        <f>M32*$C$32</f>
        <v>35630.58916940623</v>
      </c>
      <c r="P32" s="222"/>
      <c r="Q32" s="222">
        <f>O32*$C$32</f>
        <v>36877.659790335449</v>
      </c>
      <c r="R32" s="222"/>
      <c r="S32" s="222">
        <f>Q32*$C$32</f>
        <v>38168.377882997185</v>
      </c>
      <c r="T32" s="222"/>
      <c r="U32" s="222">
        <f>S32*$C$32</f>
        <v>39504.271108902081</v>
      </c>
      <c r="V32" s="222"/>
      <c r="W32" s="222">
        <f>U32*$C$32</f>
        <v>40886.920597713652</v>
      </c>
      <c r="X32" s="222"/>
      <c r="Y32" s="222">
        <f>W32*$C$32</f>
        <v>42317.962818633627</v>
      </c>
      <c r="Z32" s="222"/>
      <c r="AA32" s="222">
        <f>Y32*$C$32</f>
        <v>43799.0915172858</v>
      </c>
      <c r="AB32" s="222"/>
      <c r="AC32" s="222">
        <f>AA32*$C$32</f>
        <v>45332.059720390796</v>
      </c>
      <c r="AD32" s="222"/>
      <c r="AE32" s="222">
        <f>AC32*$C$32</f>
        <v>46918.681810604474</v>
      </c>
      <c r="AF32" s="222"/>
      <c r="AG32" s="222">
        <f>AE32*$C$32</f>
        <v>48560.835673975627</v>
      </c>
    </row>
    <row r="33" spans="1:33" s="210" customFormat="1" ht="14.25">
      <c r="A33" s="210" t="str">
        <f>Application!C895</f>
        <v>WiFi (Internet)</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1851169.2796255925</v>
      </c>
      <c r="G35" s="223">
        <f>SUM(G22:G33)</f>
        <v>1913222.704412488</v>
      </c>
      <c r="I35" s="223">
        <f>SUM(I22:I33)</f>
        <v>1977440.4990669249</v>
      </c>
      <c r="K35" s="223">
        <f>SUM(K22:K33)</f>
        <v>5737197.783585052</v>
      </c>
      <c r="M35" s="223">
        <f>SUM(M22:M33)</f>
        <v>2112674.2528629666</v>
      </c>
      <c r="O35" s="223">
        <f>SUM(O22:O33)</f>
        <v>2183849.4396531703</v>
      </c>
      <c r="Q35" s="223">
        <f>SUM(Q22:Q33)</f>
        <v>2257507.639739831</v>
      </c>
      <c r="S35" s="223">
        <f>SUM(S22:S33)</f>
        <v>2333735.5962235006</v>
      </c>
      <c r="U35" s="223">
        <f>SUM(U22:U33)</f>
        <v>2412623.0849659545</v>
      </c>
      <c r="W35" s="223">
        <f>SUM(W22:W33)</f>
        <v>2494263.0206718864</v>
      </c>
      <c r="Y35" s="223">
        <f>SUM(Y22:Y33)</f>
        <v>2578751.5666821701</v>
      </c>
      <c r="AA35" s="223">
        <f>SUM(AA22:AA33)</f>
        <v>2666188.2486085477</v>
      </c>
      <c r="AC35" s="223">
        <f>SUM(AC22:AC33)</f>
        <v>2756676.0719441986</v>
      </c>
      <c r="AE35" s="223">
        <f>SUM(AE22:AE33)</f>
        <v>2850321.6437892844</v>
      </c>
      <c r="AG35" s="223">
        <f>SUM(AG22:AG33)</f>
        <v>2947235.298835489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4586513.3203744069</v>
      </c>
      <c r="G37" s="223">
        <f>G11-G35</f>
        <v>4685401.9605875108</v>
      </c>
      <c r="I37" s="223">
        <f>I11-I35</f>
        <v>4786149.7825580742</v>
      </c>
      <c r="K37" s="223">
        <f>K11-K35</f>
        <v>1195482.2550805705</v>
      </c>
      <c r="M37" s="223">
        <f>M11-M35</f>
        <v>4993322.786769296</v>
      </c>
      <c r="O37" s="223">
        <f>O11-O35</f>
        <v>5099797.5259698983</v>
      </c>
      <c r="Q37" s="223">
        <f>Q11-Q35</f>
        <v>5208230.5000238139</v>
      </c>
      <c r="S37" s="223">
        <f>S11-S35</f>
        <v>5318645.9970342349</v>
      </c>
      <c r="U37" s="223">
        <f>U11-U35</f>
        <v>5431068.0481232237</v>
      </c>
      <c r="W37" s="223">
        <f>W11-W35</f>
        <v>5545520.3907445213</v>
      </c>
      <c r="Y37" s="223">
        <f>Y11-Y35</f>
        <v>5662026.4300196469</v>
      </c>
      <c r="AA37" s="223">
        <f>AA11-AA35</f>
        <v>5780609.1980108134</v>
      </c>
      <c r="AC37" s="223">
        <f>AC11-AC35</f>
        <v>5901291.3108406449</v>
      </c>
      <c r="AE37" s="223">
        <f>AE11-AE35</f>
        <v>6024094.9235651791</v>
      </c>
      <c r="AG37" s="223">
        <f>AG11-AG35</f>
        <v>6149041.6827028366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Tax Exempt Permanent Loan</v>
      </c>
      <c r="B40" s="226"/>
      <c r="C40" s="220"/>
      <c r="E40" s="222">
        <f>Application!AF627</f>
        <v>2766144.056772803</v>
      </c>
      <c r="F40" s="222"/>
      <c r="G40" s="222">
        <f>$E$40</f>
        <v>2766144.056772803</v>
      </c>
      <c r="H40" s="222"/>
      <c r="I40" s="222">
        <f>$E$40</f>
        <v>2766144.056772803</v>
      </c>
      <c r="J40" s="222"/>
      <c r="K40" s="222">
        <f>$E$40</f>
        <v>2766144.056772803</v>
      </c>
      <c r="L40" s="222"/>
      <c r="M40" s="222">
        <f>$E$40</f>
        <v>2766144.056772803</v>
      </c>
      <c r="N40" s="222"/>
      <c r="O40" s="222">
        <f>$E$40</f>
        <v>2766144.056772803</v>
      </c>
      <c r="P40" s="222"/>
      <c r="Q40" s="222">
        <f>$E$40</f>
        <v>2766144.056772803</v>
      </c>
      <c r="R40" s="222"/>
      <c r="S40" s="222">
        <f>$E$40</f>
        <v>2766144.056772803</v>
      </c>
      <c r="T40" s="222"/>
      <c r="U40" s="222">
        <f>$E$40</f>
        <v>2766144.056772803</v>
      </c>
      <c r="V40" s="222"/>
      <c r="W40" s="222">
        <f>$E$40</f>
        <v>2766144.056772803</v>
      </c>
      <c r="X40" s="222"/>
      <c r="Y40" s="222">
        <f>$E$40</f>
        <v>2766144.056772803</v>
      </c>
      <c r="Z40" s="222"/>
      <c r="AA40" s="222">
        <f>$E$40</f>
        <v>2766144.056772803</v>
      </c>
      <c r="AB40" s="222"/>
      <c r="AC40" s="222">
        <f>$E$40</f>
        <v>2766144.056772803</v>
      </c>
      <c r="AD40" s="222"/>
      <c r="AE40" s="222">
        <f>$E$40</f>
        <v>2766144.056772803</v>
      </c>
      <c r="AF40" s="222"/>
      <c r="AG40" s="222">
        <f>$E$40</f>
        <v>2766144.056772803</v>
      </c>
    </row>
    <row r="41" spans="1:33" s="210" customFormat="1" ht="14.25">
      <c r="A41" s="225" t="str">
        <f>Application!C628</f>
        <v>Citibank Taxable Permanent Loan</v>
      </c>
      <c r="B41" s="226"/>
      <c r="C41" s="220"/>
      <c r="E41" s="222">
        <f>Application!AF628</f>
        <v>1222128.3957266817</v>
      </c>
      <c r="F41" s="222"/>
      <c r="G41" s="222">
        <f>$E$41</f>
        <v>1222128.3957266817</v>
      </c>
      <c r="H41" s="222"/>
      <c r="I41" s="222">
        <f>$E$41</f>
        <v>1222128.3957266817</v>
      </c>
      <c r="J41" s="222"/>
      <c r="K41" s="222">
        <f>$E$41</f>
        <v>1222128.3957266817</v>
      </c>
      <c r="L41" s="222"/>
      <c r="M41" s="222">
        <f>$E$41</f>
        <v>1222128.3957266817</v>
      </c>
      <c r="N41" s="222"/>
      <c r="O41" s="222">
        <f>$E$41</f>
        <v>1222128.3957266817</v>
      </c>
      <c r="P41" s="222"/>
      <c r="Q41" s="222">
        <f>$E$41</f>
        <v>1222128.3957266817</v>
      </c>
      <c r="R41" s="222"/>
      <c r="S41" s="222">
        <f>$E$41</f>
        <v>1222128.3957266817</v>
      </c>
      <c r="T41" s="222"/>
      <c r="U41" s="222">
        <f>$E$41</f>
        <v>1222128.3957266817</v>
      </c>
      <c r="V41" s="222"/>
      <c r="W41" s="222">
        <f>$E$41</f>
        <v>1222128.3957266817</v>
      </c>
      <c r="X41" s="222"/>
      <c r="Y41" s="222">
        <f>$E$41</f>
        <v>1222128.3957266817</v>
      </c>
      <c r="Z41" s="222"/>
      <c r="AA41" s="222">
        <f>$E$41</f>
        <v>1222128.3957266817</v>
      </c>
      <c r="AB41" s="222"/>
      <c r="AC41" s="222">
        <f>$E$41</f>
        <v>1222128.3957266817</v>
      </c>
      <c r="AD41" s="222"/>
      <c r="AE41" s="222">
        <f>$E$41</f>
        <v>1222128.3957266817</v>
      </c>
      <c r="AF41" s="222"/>
      <c r="AG41" s="222">
        <f>$E$41</f>
        <v>1222128.3957266817</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3988272.4524994846</v>
      </c>
      <c r="G43" s="223">
        <f>SUM(G40:G42)</f>
        <v>3988272.4524994846</v>
      </c>
      <c r="I43" s="223">
        <f>SUM(I40:I42)</f>
        <v>3988272.4524994846</v>
      </c>
      <c r="K43" s="223">
        <f>SUM(K40:K42)</f>
        <v>3988272.4524994846</v>
      </c>
      <c r="M43" s="223">
        <f>SUM(M40:M42)</f>
        <v>3988272.4524994846</v>
      </c>
      <c r="O43" s="223">
        <f>SUM(O40:O42)</f>
        <v>3988272.4524994846</v>
      </c>
      <c r="Q43" s="223">
        <f>SUM(Q40:Q42)</f>
        <v>3988272.4524994846</v>
      </c>
      <c r="S43" s="223">
        <f>SUM(S40:S42)</f>
        <v>3988272.4524994846</v>
      </c>
      <c r="U43" s="223">
        <f>SUM(U40:U42)</f>
        <v>3988272.4524994846</v>
      </c>
      <c r="W43" s="223">
        <f>SUM(W40:W42)</f>
        <v>3988272.4524994846</v>
      </c>
      <c r="Y43" s="223">
        <f>SUM(Y40:Y42)</f>
        <v>3988272.4524994846</v>
      </c>
      <c r="AA43" s="223">
        <f>SUM(AA40:AA42)</f>
        <v>3988272.4524994846</v>
      </c>
      <c r="AC43" s="223">
        <f>SUM(AC40:AC42)</f>
        <v>3988272.4524994846</v>
      </c>
      <c r="AE43" s="223">
        <f>SUM(AE40:AE42)</f>
        <v>3988272.4524994846</v>
      </c>
      <c r="AG43" s="223">
        <f>SUM(AG40:AG42)</f>
        <v>3988272.4524994846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598240.86787492223</v>
      </c>
      <c r="G45" s="223">
        <f>G37-G43</f>
        <v>697129.5080880262</v>
      </c>
      <c r="I45" s="223">
        <f>I37-I43</f>
        <v>797877.33005858958</v>
      </c>
      <c r="K45" s="223">
        <f>K37-K43</f>
        <v>-2792790.1974189142</v>
      </c>
      <c r="M45" s="223">
        <f>M37-M43</f>
        <v>1005050.3342698114</v>
      </c>
      <c r="O45" s="223">
        <f>O37-O43</f>
        <v>1111525.0734704137</v>
      </c>
      <c r="Q45" s="223">
        <f>Q37-Q43</f>
        <v>1219958.0475243293</v>
      </c>
      <c r="S45" s="223">
        <f>S37-S43</f>
        <v>1330373.5445347503</v>
      </c>
      <c r="U45" s="223">
        <f>U37-U43</f>
        <v>1442795.5956237391</v>
      </c>
      <c r="W45" s="223">
        <f>W37-W43</f>
        <v>1557247.9382450366</v>
      </c>
      <c r="Y45" s="223">
        <f>Y37-Y43</f>
        <v>1673753.9775201622</v>
      </c>
      <c r="AA45" s="223">
        <f>AA37-AA43</f>
        <v>1792336.7455113288</v>
      </c>
      <c r="AC45" s="223">
        <f>AC37-AC43</f>
        <v>1913018.8583411602</v>
      </c>
      <c r="AE45" s="223">
        <f>AE37-AE43</f>
        <v>2035822.4710656945</v>
      </c>
      <c r="AG45" s="223">
        <f>AG37-AG43</f>
        <v>2160769.2302033519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8.8281585128346662E-2</v>
      </c>
      <c r="G47" s="227">
        <f>G45/(G4+G6+G8)</f>
        <v>0.10036531342605542</v>
      </c>
      <c r="I47" s="227">
        <f>I45/(I4+I6+I8)</f>
        <v>0.11206821111191695</v>
      </c>
      <c r="K47" s="227">
        <f>K45/(K4+K6+K8)</f>
        <v>-0.38270202472212134</v>
      </c>
      <c r="M47" s="227">
        <f>M45/(M4+M6+M8)</f>
        <v>0.13436507392715319</v>
      </c>
      <c r="O47" s="227">
        <f>O45/(O4+O6+O8)</f>
        <v>0.14497528844831423</v>
      </c>
      <c r="Q47" s="227">
        <f>Q45/(Q4+Q6+Q8)</f>
        <v>0.15523718130097769</v>
      </c>
      <c r="S47" s="227">
        <f>S45/(S4+S6+S8)</f>
        <v>0.16515836957497704</v>
      </c>
      <c r="U47" s="227">
        <f>U45/(U4+U6+U8)</f>
        <v>0.17474627603072504</v>
      </c>
      <c r="W47" s="227">
        <f>W45/(W4+W6+W8)</f>
        <v>0.1840081337554533</v>
      </c>
      <c r="Y47" s="227">
        <f>Y45/(Y4+Y6+Y8)</f>
        <v>0.19295099070506957</v>
      </c>
      <c r="AA47" s="227">
        <f>AA45/(AA4+AA6+AA8)</f>
        <v>0.20158171413441875</v>
      </c>
      <c r="AC47" s="227">
        <f>AC45/(AC4+AC6+AC8)</f>
        <v>0.20990699491865539</v>
      </c>
      <c r="AE47" s="227">
        <f>AE45/(AE4+AE6+AE8)</f>
        <v>0.21793335176838116</v>
      </c>
      <c r="AG47" s="227">
        <f>AG45/(AG4+AG6+AG8)</f>
        <v>0.22566713534112667</v>
      </c>
    </row>
    <row r="48" spans="1:33" s="227" customFormat="1" ht="14.25">
      <c r="A48" s="227" t="s">
        <v>853</v>
      </c>
      <c r="C48" s="220"/>
      <c r="E48" s="227">
        <f>E45/E43</f>
        <v>0.14999999999999988</v>
      </c>
      <c r="G48" s="227">
        <f>G45/G43</f>
        <v>0.17479485576546536</v>
      </c>
      <c r="I48" s="227">
        <f>I45/I43</f>
        <v>0.20005587370505568</v>
      </c>
      <c r="K48" s="227">
        <f>K45/K43</f>
        <v>-0.70025060491257274</v>
      </c>
      <c r="M48" s="227">
        <f>M45/M43</f>
        <v>0.25200142323274272</v>
      </c>
      <c r="O48" s="227">
        <f>O45/O43</f>
        <v>0.2786983804914861</v>
      </c>
      <c r="Q48" s="227">
        <f>Q45/Q43</f>
        <v>0.30588633601492571</v>
      </c>
      <c r="S48" s="227">
        <f>S45/S43</f>
        <v>0.33357137968370082</v>
      </c>
      <c r="U48" s="227">
        <f>U45/U43</f>
        <v>0.36175953694425433</v>
      </c>
      <c r="W48" s="227">
        <f>W45/W43</f>
        <v>0.39045675961006526</v>
      </c>
      <c r="Y48" s="227">
        <f>Y45/Y43</f>
        <v>0.41966891616725088</v>
      </c>
      <c r="AA48" s="227">
        <f>AA45/AA43</f>
        <v>0.44940178156285587</v>
      </c>
      <c r="AC48" s="227">
        <f>AC45/AC43</f>
        <v>0.4796610264532592</v>
      </c>
      <c r="AE48" s="227">
        <f>AE45/AE43</f>
        <v>0.51045220588925089</v>
      </c>
      <c r="AG48" s="227">
        <f>AG45/AG43</f>
        <v>0.54178074741337678</v>
      </c>
    </row>
    <row r="49" spans="1:34" s="228" customFormat="1" ht="14.25">
      <c r="A49" s="228" t="s">
        <v>851</v>
      </c>
      <c r="C49" s="229"/>
      <c r="E49" s="228">
        <f>E37/E43</f>
        <v>1.1499999999999999</v>
      </c>
      <c r="G49" s="228">
        <f>G37/G43</f>
        <v>1.1747948557654653</v>
      </c>
      <c r="I49" s="228">
        <f>I37/I43</f>
        <v>1.2000558737050557</v>
      </c>
      <c r="K49" s="228">
        <f>K37/K43</f>
        <v>0.29974939508742726</v>
      </c>
      <c r="M49" s="228">
        <f>M37/M43</f>
        <v>1.2520014232327428</v>
      </c>
      <c r="O49" s="228">
        <f>O37/O43</f>
        <v>1.278698380491486</v>
      </c>
      <c r="Q49" s="228">
        <f>Q37/Q43</f>
        <v>1.3058863360149258</v>
      </c>
      <c r="S49" s="228">
        <f>S37/S43</f>
        <v>1.3335713796837008</v>
      </c>
      <c r="U49" s="228">
        <f>U37/U43</f>
        <v>1.3617595369442543</v>
      </c>
      <c r="W49" s="228">
        <f>W37/W43</f>
        <v>1.3904567596100652</v>
      </c>
      <c r="Y49" s="228">
        <f>Y37/Y43</f>
        <v>1.4196689161672509</v>
      </c>
      <c r="AA49" s="228">
        <f>AA37/AA43</f>
        <v>1.4494017815628559</v>
      </c>
      <c r="AC49" s="228">
        <f>AC37/AC43</f>
        <v>1.4796610264532593</v>
      </c>
      <c r="AE49" s="228">
        <f>AE37/AE43</f>
        <v>1.5104522058892509</v>
      </c>
      <c r="AG49" s="228">
        <f>AG37/AG43</f>
        <v>1.5417807474133767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2747</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32000</v>
      </c>
      <c r="G53" s="960">
        <f>E53*$C$53</f>
        <v>32960</v>
      </c>
      <c r="I53" s="960">
        <f>G53*$C$53</f>
        <v>33948.800000000003</v>
      </c>
      <c r="K53" s="960">
        <f>I53*$C$53</f>
        <v>34967.264000000003</v>
      </c>
      <c r="M53" s="960">
        <f>K53*$C$53</f>
        <v>36016.281920000001</v>
      </c>
      <c r="O53" s="960">
        <f>M53*$C$53</f>
        <v>37096.770377600005</v>
      </c>
      <c r="Q53" s="960">
        <f>O53*$C$53</f>
        <v>38209.673488928005</v>
      </c>
      <c r="S53" s="960">
        <f>Q53*$C$53</f>
        <v>39355.963693595848</v>
      </c>
      <c r="U53" s="960">
        <f>S53*$C$53</f>
        <v>40536.642604403722</v>
      </c>
      <c r="W53" s="960">
        <f>U53*$C$53</f>
        <v>41752.741882535833</v>
      </c>
      <c r="Y53" s="960">
        <f>W53*$C$53</f>
        <v>43005.324139011907</v>
      </c>
      <c r="AA53" s="960">
        <f>Y53*$C$53</f>
        <v>44295.483863182264</v>
      </c>
      <c r="AC53" s="960">
        <f>AA53*$C$53</f>
        <v>45624.348379077732</v>
      </c>
      <c r="AE53" s="960">
        <f>AC53*$C$53</f>
        <v>46993.078830450067</v>
      </c>
      <c r="AG53" s="960">
        <f>AE53*$C$53</f>
        <v>48402.871195363572</v>
      </c>
    </row>
    <row r="54" spans="1:34" s="3" customFormat="1">
      <c r="A54" s="3" t="s">
        <v>856</v>
      </c>
      <c r="C54" s="958"/>
      <c r="E54" s="965">
        <v>10000</v>
      </c>
      <c r="F54" s="960"/>
      <c r="G54" s="960">
        <f t="shared" ref="G54:AG57" si="1">E54*$C$53</f>
        <v>10300</v>
      </c>
      <c r="H54" s="960"/>
      <c r="I54" s="960">
        <f t="shared" si="1"/>
        <v>10609</v>
      </c>
      <c r="J54" s="960"/>
      <c r="K54" s="960">
        <f t="shared" si="1"/>
        <v>10927.27</v>
      </c>
      <c r="L54" s="960"/>
      <c r="M54" s="960">
        <f t="shared" si="1"/>
        <v>11255.088100000001</v>
      </c>
      <c r="N54" s="960"/>
      <c r="O54" s="960">
        <f t="shared" si="1"/>
        <v>11592.740743</v>
      </c>
      <c r="P54" s="960"/>
      <c r="Q54" s="960">
        <f t="shared" si="1"/>
        <v>11940.52296529</v>
      </c>
      <c r="R54" s="960"/>
      <c r="S54" s="960">
        <f t="shared" si="1"/>
        <v>12298.7386542487</v>
      </c>
      <c r="T54" s="960"/>
      <c r="U54" s="960">
        <f t="shared" si="1"/>
        <v>12667.700813876161</v>
      </c>
      <c r="V54" s="960"/>
      <c r="W54" s="960">
        <f t="shared" si="1"/>
        <v>13047.731838292446</v>
      </c>
      <c r="X54" s="960"/>
      <c r="Y54" s="960">
        <f t="shared" si="1"/>
        <v>13439.163793441219</v>
      </c>
      <c r="Z54" s="960"/>
      <c r="AA54" s="960">
        <f t="shared" si="1"/>
        <v>13842.338707244457</v>
      </c>
      <c r="AB54" s="960"/>
      <c r="AC54" s="960">
        <f t="shared" si="1"/>
        <v>14257.60886846179</v>
      </c>
      <c r="AD54" s="960"/>
      <c r="AE54" s="960">
        <f t="shared" si="1"/>
        <v>14685.337134515645</v>
      </c>
      <c r="AF54" s="960"/>
      <c r="AG54" s="960">
        <f t="shared" si="1"/>
        <v>15125.897248551115</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42000</v>
      </c>
      <c r="F58" s="960"/>
      <c r="G58" s="960">
        <f>SUM(G53:G57)</f>
        <v>43260</v>
      </c>
      <c r="H58" s="960"/>
      <c r="I58" s="960">
        <f>SUM(I53:I57)</f>
        <v>44557.8</v>
      </c>
      <c r="J58" s="960"/>
      <c r="K58" s="960">
        <f>SUM(K53:K57)</f>
        <v>45894.534</v>
      </c>
      <c r="L58" s="960"/>
      <c r="M58" s="960">
        <f>SUM(M53:M57)</f>
        <v>47271.370020000002</v>
      </c>
      <c r="N58" s="960"/>
      <c r="O58" s="960">
        <f>SUM(O53:O57)</f>
        <v>48689.511120600007</v>
      </c>
      <c r="P58" s="960"/>
      <c r="Q58" s="960">
        <f>SUM(Q53:Q57)</f>
        <v>50150.196454218007</v>
      </c>
      <c r="R58" s="960"/>
      <c r="S58" s="960">
        <f>SUM(S53:S57)</f>
        <v>51654.702347844548</v>
      </c>
      <c r="T58" s="960"/>
      <c r="U58" s="960">
        <f>SUM(U53:U57)</f>
        <v>53204.343418279881</v>
      </c>
      <c r="V58" s="960"/>
      <c r="W58" s="960">
        <f>SUM(W53:W57)</f>
        <v>54800.473720828275</v>
      </c>
      <c r="X58" s="960"/>
      <c r="Y58" s="960">
        <f>SUM(Y53:Y57)</f>
        <v>56444.487932453128</v>
      </c>
      <c r="Z58" s="960"/>
      <c r="AA58" s="960">
        <f>SUM(AA53:AA57)</f>
        <v>58137.822570426724</v>
      </c>
      <c r="AB58" s="960"/>
      <c r="AC58" s="960">
        <f>SUM(AC53:AC57)</f>
        <v>59881.957247539525</v>
      </c>
      <c r="AD58" s="960"/>
      <c r="AE58" s="960">
        <f>SUM(AE53:AE57)</f>
        <v>61678.415964965709</v>
      </c>
      <c r="AF58" s="960"/>
      <c r="AG58" s="960">
        <f>SUM(AG53:AG57)</f>
        <v>63528.768443914683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556240.86787492223</v>
      </c>
      <c r="G60" s="962">
        <f>G45-G58</f>
        <v>653869.5080880262</v>
      </c>
      <c r="I60" s="962">
        <f>I45-I58</f>
        <v>753319.53005858953</v>
      </c>
      <c r="K60" s="962">
        <f>K45-K58</f>
        <v>-2838684.7314189142</v>
      </c>
      <c r="M60" s="962">
        <f>M45-M58</f>
        <v>957778.96424981137</v>
      </c>
      <c r="O60" s="962">
        <f>O45-O58</f>
        <v>1062835.5623498138</v>
      </c>
      <c r="Q60" s="962">
        <f>Q45-Q58</f>
        <v>1169807.8510701112</v>
      </c>
      <c r="S60" s="962">
        <f>S45-S58</f>
        <v>1278718.8421869057</v>
      </c>
      <c r="U60" s="962">
        <f>U45-U58</f>
        <v>1389591.2522054592</v>
      </c>
      <c r="W60" s="962">
        <f>W45-W58</f>
        <v>1502447.4645242083</v>
      </c>
      <c r="Y60" s="962">
        <f>Y45-Y58</f>
        <v>1617309.4895877091</v>
      </c>
      <c r="AA60" s="962">
        <f>AA45-AA58</f>
        <v>1734198.9229409022</v>
      </c>
      <c r="AC60" s="962">
        <f>AC45-AC58</f>
        <v>1853136.9010936208</v>
      </c>
      <c r="AE60" s="962">
        <f>AE45-AE58</f>
        <v>1974144.0551007288</v>
      </c>
      <c r="AG60" s="962">
        <f>AG45-AG58</f>
        <v>2097240.4617594373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3" customFormat="1" ht="22.5" customHeight="1">
      <c r="A62" s="3" t="s">
        <v>2748</v>
      </c>
      <c r="C62" s="961"/>
      <c r="E62" s="960">
        <f>Application!AO630</f>
        <v>12104088</v>
      </c>
      <c r="F62" s="960"/>
      <c r="G62" s="960">
        <f>E64</f>
        <v>11547847.132125078</v>
      </c>
      <c r="H62" s="960"/>
      <c r="I62" s="960">
        <f>G64</f>
        <v>10893977.624037052</v>
      </c>
      <c r="J62" s="960"/>
      <c r="K62" s="960">
        <f>I64</f>
        <v>10140658.093978463</v>
      </c>
      <c r="L62" s="960"/>
      <c r="M62" s="960">
        <f>K64</f>
        <v>12979342.825397376</v>
      </c>
      <c r="N62" s="960"/>
      <c r="O62" s="960">
        <f>M64</f>
        <v>12021563.861147564</v>
      </c>
      <c r="P62" s="960"/>
      <c r="Q62" s="960">
        <f>O64</f>
        <v>10958728.298797751</v>
      </c>
      <c r="R62" s="960"/>
      <c r="S62" s="960">
        <f>Q64</f>
        <v>9788920.4477276392</v>
      </c>
      <c r="T62" s="960"/>
      <c r="U62" s="960">
        <f>S64</f>
        <v>8510201.6055407338</v>
      </c>
      <c r="V62" s="960"/>
      <c r="W62" s="960">
        <f>U64</f>
        <v>7120610.3533352744</v>
      </c>
      <c r="X62" s="960"/>
      <c r="Y62" s="960">
        <f>W64</f>
        <v>5618162.8888110658</v>
      </c>
      <c r="Z62" s="960"/>
      <c r="AA62" s="960">
        <f>Y64</f>
        <v>4000853.3992233565</v>
      </c>
      <c r="AB62" s="960"/>
      <c r="AC62" s="960">
        <f>AA64</f>
        <v>0</v>
      </c>
      <c r="AD62" s="960"/>
      <c r="AE62" s="960">
        <f>AC64</f>
        <v>0</v>
      </c>
      <c r="AF62" s="960"/>
      <c r="AG62" s="960">
        <f>AE64</f>
        <v>0</v>
      </c>
      <c r="AH62" s="960"/>
    </row>
    <row r="63" spans="1:34" s="962" customFormat="1">
      <c r="A63" s="962" t="s">
        <v>858</v>
      </c>
      <c r="C63" s="959">
        <v>1</v>
      </c>
      <c r="E63" s="964">
        <f>E60*$C$63</f>
        <v>556240.86787492223</v>
      </c>
      <c r="G63" s="962">
        <f>G60*$C$63</f>
        <v>653869.5080880262</v>
      </c>
      <c r="I63" s="962">
        <f>I60*$C$63</f>
        <v>753319.53005858953</v>
      </c>
      <c r="K63" s="962">
        <f>K60*$C$63</f>
        <v>-2838684.7314189142</v>
      </c>
      <c r="M63" s="962">
        <f>M60*$C$63</f>
        <v>957778.96424981137</v>
      </c>
      <c r="O63" s="962">
        <f>O60*$C$63</f>
        <v>1062835.5623498138</v>
      </c>
      <c r="Q63" s="962">
        <f>Q60*$C$63</f>
        <v>1169807.8510701112</v>
      </c>
      <c r="S63" s="962">
        <f>S60*$C$63</f>
        <v>1278718.8421869057</v>
      </c>
      <c r="U63" s="962">
        <f>U60*$C$63</f>
        <v>1389591.2522054592</v>
      </c>
      <c r="W63" s="962">
        <f>W60*$C$63</f>
        <v>1502447.4645242083</v>
      </c>
      <c r="Y63" s="962">
        <f>Y60*$C$63</f>
        <v>1617309.4895877091</v>
      </c>
      <c r="AA63" s="962">
        <f>AA62</f>
        <v>4000853.3992233565</v>
      </c>
      <c r="AC63" s="962">
        <f>AC62</f>
        <v>0</v>
      </c>
      <c r="AE63" s="962">
        <f>AE62</f>
        <v>0</v>
      </c>
      <c r="AG63" s="962">
        <f>AG62</f>
        <v>0</v>
      </c>
    </row>
    <row r="64" spans="1:34" s="962" customFormat="1">
      <c r="A64" s="962" t="s">
        <v>2749</v>
      </c>
      <c r="C64" s="959"/>
      <c r="E64" s="964">
        <f>E62-E63</f>
        <v>11547847.132125078</v>
      </c>
      <c r="G64" s="964">
        <f>G62-G63</f>
        <v>10893977.624037052</v>
      </c>
      <c r="I64" s="964">
        <f>I62-I63</f>
        <v>10140658.093978463</v>
      </c>
      <c r="K64" s="964">
        <f>K62-K63</f>
        <v>12979342.825397376</v>
      </c>
      <c r="M64" s="964">
        <f>M62-M63</f>
        <v>12021563.861147564</v>
      </c>
      <c r="O64" s="964">
        <f>O62-O63</f>
        <v>10958728.298797751</v>
      </c>
      <c r="Q64" s="964">
        <f>Q62-Q63</f>
        <v>9788920.4477276392</v>
      </c>
      <c r="S64" s="964">
        <f>S62-S63</f>
        <v>8510201.6055407338</v>
      </c>
      <c r="U64" s="964">
        <f>U62-U63</f>
        <v>7120610.3533352744</v>
      </c>
      <c r="W64" s="964">
        <f>W62-W63</f>
        <v>5618162.8888110658</v>
      </c>
      <c r="Y64" s="964">
        <f>Y62-Y63</f>
        <v>4000853.3992233565</v>
      </c>
      <c r="AA64" s="964">
        <f>AA62-AA63</f>
        <v>0</v>
      </c>
      <c r="AC64" s="964">
        <f>AC62-AC63</f>
        <v>0</v>
      </c>
      <c r="AE64" s="964">
        <f>AE62-AE63</f>
        <v>0</v>
      </c>
      <c r="AG64" s="964">
        <f>AG62-AG63</f>
        <v>0</v>
      </c>
    </row>
    <row r="65" spans="1:34" s="962" customFormat="1">
      <c r="A65" s="962" t="s">
        <v>2750</v>
      </c>
      <c r="C65" s="959"/>
      <c r="E65" s="964">
        <f>E60-E63</f>
        <v>0</v>
      </c>
      <c r="G65" s="964">
        <f>G60-G63</f>
        <v>0</v>
      </c>
      <c r="I65" s="964">
        <f>I60-I63</f>
        <v>0</v>
      </c>
      <c r="K65" s="964">
        <f>K60-K63</f>
        <v>0</v>
      </c>
      <c r="M65" s="964">
        <f>M60-M63</f>
        <v>0</v>
      </c>
      <c r="O65" s="964">
        <f>O60-O63</f>
        <v>0</v>
      </c>
      <c r="Q65" s="964">
        <f>Q60-Q63</f>
        <v>0</v>
      </c>
      <c r="S65" s="964">
        <f>S60-S63</f>
        <v>0</v>
      </c>
      <c r="U65" s="964">
        <f>U60-U63</f>
        <v>0</v>
      </c>
      <c r="W65" s="964">
        <f>W60-W63</f>
        <v>0</v>
      </c>
      <c r="Y65" s="964">
        <f>Y60-Y63</f>
        <v>0</v>
      </c>
      <c r="AA65" s="964">
        <f>AA60-AA63</f>
        <v>-2266654.4762824541</v>
      </c>
      <c r="AC65" s="964">
        <f>AC60-AC63</f>
        <v>1853136.9010936208</v>
      </c>
      <c r="AE65" s="964">
        <f>AE60-AE63</f>
        <v>1974144.0551007288</v>
      </c>
      <c r="AG65" s="964">
        <f>AG60-AG63</f>
        <v>2097240.4617594373</v>
      </c>
    </row>
    <row r="66" spans="1:34" s="962" customFormat="1">
      <c r="C66" s="959"/>
      <c r="E66" s="964"/>
    </row>
    <row r="67" spans="1:34" s="962" customFormat="1">
      <c r="A67" s="2689" t="s">
        <v>2747</v>
      </c>
      <c r="B67" s="2689"/>
      <c r="C67" s="2689"/>
    </row>
    <row r="68" spans="1:34" s="3" customFormat="1" ht="8.25" customHeight="1">
      <c r="C68" s="961"/>
      <c r="E68" s="960"/>
      <c r="F68" s="960"/>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row>
    <row r="69" spans="1:34" s="3" customFormat="1">
      <c r="A69" s="3" t="s">
        <v>862</v>
      </c>
      <c r="C69" s="959">
        <v>0.5</v>
      </c>
      <c r="E69" s="960"/>
      <c r="F69" s="960"/>
      <c r="G69" s="960"/>
      <c r="H69" s="960"/>
      <c r="I69" s="960"/>
      <c r="J69" s="960"/>
      <c r="K69" s="960"/>
      <c r="L69" s="960"/>
      <c r="M69" s="960"/>
      <c r="N69" s="960"/>
      <c r="O69" s="960"/>
      <c r="P69" s="960"/>
      <c r="Q69" s="960"/>
      <c r="R69" s="960"/>
      <c r="S69" s="960"/>
      <c r="T69" s="960"/>
      <c r="U69" s="960"/>
      <c r="V69" s="960"/>
      <c r="W69" s="960"/>
      <c r="X69" s="960"/>
      <c r="Y69" s="960"/>
      <c r="Z69" s="960"/>
      <c r="AA69" s="960"/>
      <c r="AB69" s="960"/>
      <c r="AC69" s="960"/>
      <c r="AD69" s="960"/>
      <c r="AE69" s="960"/>
      <c r="AF69" s="960"/>
      <c r="AG69" s="960"/>
      <c r="AH69" s="960"/>
    </row>
    <row r="70" spans="1:34" s="962" customFormat="1">
      <c r="A70" s="964" t="s">
        <v>2751</v>
      </c>
      <c r="B70" s="964"/>
      <c r="C70" s="963"/>
      <c r="E70" s="964">
        <f>E$65*$C$69</f>
        <v>0</v>
      </c>
      <c r="G70" s="964">
        <f>G$65*$C$69</f>
        <v>0</v>
      </c>
      <c r="I70" s="964">
        <f>I$65*$C$69</f>
        <v>0</v>
      </c>
      <c r="K70" s="964">
        <f>K$65*$C$69</f>
        <v>0</v>
      </c>
      <c r="M70" s="964">
        <f>M$65*$C$69</f>
        <v>0</v>
      </c>
      <c r="O70" s="964">
        <f>O$65*$C$69</f>
        <v>0</v>
      </c>
      <c r="Q70" s="964">
        <f>Q$65*$C$69</f>
        <v>0</v>
      </c>
      <c r="S70" s="964">
        <f>S$65*$C$69</f>
        <v>0</v>
      </c>
      <c r="U70" s="964">
        <f>U$65*$C$69</f>
        <v>0</v>
      </c>
      <c r="W70" s="964">
        <f>W$65*$C$69</f>
        <v>0</v>
      </c>
      <c r="Y70" s="964">
        <f>Y$65*$C$69</f>
        <v>0</v>
      </c>
      <c r="AA70" s="964">
        <f>AA$65*$C$69</f>
        <v>-1133327.238141227</v>
      </c>
      <c r="AC70" s="964">
        <f>AC$65*$C$69</f>
        <v>926568.4505468104</v>
      </c>
      <c r="AE70" s="964">
        <f>AE$65*$C$69</f>
        <v>987072.02755036438</v>
      </c>
      <c r="AG70" s="964">
        <f>AG$65*$C$69</f>
        <v>1048620.2308797187</v>
      </c>
    </row>
    <row r="71" spans="1:34" s="960" customFormat="1">
      <c r="A71" s="965" t="s">
        <v>2752</v>
      </c>
      <c r="B71" s="965"/>
      <c r="C71" s="970"/>
      <c r="E71" s="964">
        <f>E$65*$C$69</f>
        <v>0</v>
      </c>
      <c r="G71" s="964">
        <f>G$65*$C$69</f>
        <v>0</v>
      </c>
      <c r="I71" s="964">
        <f>I$65*$C$69</f>
        <v>0</v>
      </c>
      <c r="K71" s="964">
        <f>K$65*$C$69</f>
        <v>0</v>
      </c>
      <c r="M71" s="964">
        <f>M$65*$C$69</f>
        <v>0</v>
      </c>
      <c r="O71" s="964">
        <f>O$65*$C$69</f>
        <v>0</v>
      </c>
      <c r="Q71" s="964">
        <f>Q$65*$C$69</f>
        <v>0</v>
      </c>
      <c r="S71" s="964">
        <f>S$65*$C$69</f>
        <v>0</v>
      </c>
      <c r="U71" s="964">
        <f>U$65*$C$69</f>
        <v>0</v>
      </c>
      <c r="W71" s="964">
        <f>W$65*$C$69</f>
        <v>0</v>
      </c>
      <c r="Y71" s="964">
        <f>Y$65*$C$69</f>
        <v>0</v>
      </c>
      <c r="AA71" s="964">
        <f>AA$65*$C$69</f>
        <v>-1133327.238141227</v>
      </c>
      <c r="AC71" s="964">
        <f>AC$65*$C$69</f>
        <v>926568.4505468104</v>
      </c>
      <c r="AE71" s="964">
        <f>AE$65*$C$69</f>
        <v>987072.02755036438</v>
      </c>
      <c r="AG71" s="964">
        <f>AG$65*$C$69</f>
        <v>1048620.2308797187</v>
      </c>
    </row>
    <row r="72" spans="1:34" s="960" customFormat="1">
      <c r="A72" s="965"/>
      <c r="B72" s="965"/>
      <c r="C72" s="970"/>
      <c r="E72" s="965"/>
      <c r="G72" s="965"/>
      <c r="I72" s="965"/>
      <c r="K72" s="965"/>
      <c r="M72" s="965"/>
      <c r="O72" s="965"/>
      <c r="Q72" s="965"/>
      <c r="S72" s="965"/>
      <c r="U72" s="965"/>
      <c r="W72" s="965"/>
      <c r="Y72" s="965"/>
      <c r="AA72" s="965"/>
      <c r="AC72" s="965"/>
      <c r="AE72" s="965"/>
      <c r="AG72" s="965"/>
    </row>
    <row r="73" spans="1:34" s="960" customFormat="1">
      <c r="A73" s="965"/>
      <c r="B73" s="965"/>
      <c r="C73" s="970"/>
      <c r="E73" s="967"/>
      <c r="G73" s="967"/>
      <c r="I73" s="967"/>
      <c r="K73" s="967"/>
      <c r="M73" s="967"/>
      <c r="O73" s="967"/>
      <c r="Q73" s="967"/>
      <c r="S73" s="967"/>
      <c r="U73" s="967"/>
      <c r="W73" s="967"/>
      <c r="Y73" s="967"/>
      <c r="AA73" s="967"/>
      <c r="AC73" s="967"/>
      <c r="AE73" s="967"/>
      <c r="AG73" s="967"/>
    </row>
    <row r="74" spans="1:34" s="960" customFormat="1">
      <c r="A74" s="962" t="s">
        <v>854</v>
      </c>
      <c r="C74" s="970"/>
      <c r="E74" s="960">
        <f>SUM(E70:E73)</f>
        <v>0</v>
      </c>
      <c r="G74" s="960">
        <f>SUM(G70:G73)</f>
        <v>0</v>
      </c>
      <c r="I74" s="960">
        <f>SUM(I70:I73)</f>
        <v>0</v>
      </c>
      <c r="K74" s="960">
        <f>SUM(K70:K73)</f>
        <v>0</v>
      </c>
      <c r="M74" s="960">
        <f>SUM(M70:M73)</f>
        <v>0</v>
      </c>
      <c r="O74" s="960">
        <f>SUM(O70:O73)</f>
        <v>0</v>
      </c>
      <c r="Q74" s="960">
        <f>SUM(Q70:Q73)</f>
        <v>0</v>
      </c>
      <c r="S74" s="960">
        <f>SUM(S70:S73)</f>
        <v>0</v>
      </c>
      <c r="U74" s="960">
        <f>SUM(U70:U73)</f>
        <v>0</v>
      </c>
      <c r="W74" s="960">
        <f>SUM(W70:W73)</f>
        <v>0</v>
      </c>
      <c r="Y74" s="960">
        <f>SUM(Y70:Y73)</f>
        <v>0</v>
      </c>
      <c r="AA74" s="960">
        <f>SUM(AA70:AA73)</f>
        <v>-2266654.4762824541</v>
      </c>
      <c r="AC74" s="960">
        <f>SUM(AC70:AC73)</f>
        <v>1853136.9010936208</v>
      </c>
      <c r="AE74" s="960">
        <f>SUM(AE70:AE73)</f>
        <v>1974144.0551007288</v>
      </c>
      <c r="AG74" s="960">
        <f>SUM(AG70:AG73)</f>
        <v>2097240.4617594373</v>
      </c>
    </row>
    <row r="75" spans="1:34" s="960" customFormat="1">
      <c r="A75" s="962"/>
      <c r="C75" s="970"/>
    </row>
    <row r="76" spans="1:34" s="960" customFormat="1">
      <c r="A76" s="962" t="s">
        <v>1722</v>
      </c>
      <c r="C76" s="970"/>
      <c r="E76" s="962">
        <f>E60-E63-E74</f>
        <v>0</v>
      </c>
      <c r="G76" s="962">
        <f>G60-G63-G74</f>
        <v>0</v>
      </c>
      <c r="I76" s="962">
        <f>I60-I63-I74</f>
        <v>0</v>
      </c>
      <c r="K76" s="962">
        <f>K60-K63-K74</f>
        <v>0</v>
      </c>
      <c r="M76" s="962">
        <f>M60-M63-M74</f>
        <v>0</v>
      </c>
      <c r="O76" s="962">
        <f>O60-O63-O74</f>
        <v>0</v>
      </c>
      <c r="Q76" s="962">
        <f>Q60-Q63-Q74</f>
        <v>0</v>
      </c>
      <c r="S76" s="962">
        <f>S60-S63-S74</f>
        <v>0</v>
      </c>
      <c r="U76" s="962">
        <f>U60-U63-U74</f>
        <v>0</v>
      </c>
      <c r="W76" s="962">
        <f>W60-W63-W74</f>
        <v>0</v>
      </c>
      <c r="Y76" s="962">
        <f>Y60-Y63-Y74</f>
        <v>0</v>
      </c>
      <c r="AA76" s="962">
        <f>AA60-AA63-AA74</f>
        <v>0</v>
      </c>
      <c r="AC76" s="962">
        <f>AC60-AC63-AC74</f>
        <v>0</v>
      </c>
      <c r="AE76" s="962">
        <f>AE60-AE63-AE74</f>
        <v>0</v>
      </c>
      <c r="AG76" s="962">
        <f>AG60-AG63-AG74</f>
        <v>0</v>
      </c>
    </row>
    <row r="77" spans="1:34" s="960" customFormat="1">
      <c r="A77" s="529"/>
      <c r="C77" s="970"/>
    </row>
    <row r="78" spans="1:34" s="217" customFormat="1">
      <c r="A78" s="529"/>
      <c r="C78" s="183"/>
    </row>
    <row r="79" spans="1:34" s="217" customFormat="1">
      <c r="A79" s="960" t="s">
        <v>1721</v>
      </c>
      <c r="C79" s="183"/>
    </row>
    <row r="80" spans="1:34" s="217" customFormat="1">
      <c r="C80" s="183"/>
    </row>
    <row r="81" spans="1:33" s="234" customFormat="1" ht="30" customHeight="1">
      <c r="A81" s="2687" t="s">
        <v>1720</v>
      </c>
      <c r="B81" s="2688"/>
      <c r="C81" s="2688"/>
      <c r="D81" s="2688"/>
      <c r="E81" s="2688"/>
      <c r="F81" s="2688"/>
      <c r="G81" s="2688"/>
      <c r="H81" s="2688"/>
      <c r="I81" s="2688"/>
      <c r="J81" s="2688"/>
      <c r="K81" s="2688"/>
      <c r="L81" s="2688"/>
      <c r="M81" s="2688"/>
      <c r="N81" s="2688"/>
      <c r="O81" s="2688"/>
      <c r="P81" s="2688"/>
      <c r="Q81" s="2688"/>
      <c r="R81" s="2688"/>
      <c r="S81" s="2688"/>
      <c r="T81" s="2688"/>
      <c r="U81" s="2688"/>
      <c r="V81" s="2688"/>
      <c r="W81" s="2688"/>
      <c r="X81" s="2688"/>
      <c r="Y81" s="2688"/>
      <c r="Z81" s="2688"/>
      <c r="AA81" s="2688"/>
      <c r="AB81" s="2688"/>
      <c r="AC81" s="2688"/>
      <c r="AD81" s="2688"/>
      <c r="AE81" s="2688"/>
      <c r="AF81" s="2688"/>
      <c r="AG81"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1:AG81"/>
    <mergeCell ref="A52:C52"/>
    <mergeCell ref="A67:C67"/>
  </mergeCells>
  <dataValidations count="1">
    <dataValidation type="list" allowBlank="1" showInputMessage="1" showErrorMessage="1" sqref="A52:C52 A67:C67"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5"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v>
      </c>
      <c r="C5" s="266">
        <f>'Sources and Uses Budget'!$C4</f>
        <v>1</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v>
      </c>
      <c r="C9" s="270">
        <f>SUM(C5:C8)</f>
        <v>1</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v>
      </c>
      <c r="C13" s="270">
        <f>SUM(C9+C12)</f>
        <v>1</v>
      </c>
      <c r="D13" s="270">
        <f t="shared" si="0"/>
        <v>0</v>
      </c>
      <c r="E13" s="268"/>
      <c r="F13" s="267"/>
    </row>
    <row r="14" spans="1:6" s="352" customFormat="1">
      <c r="A14" s="366" t="s">
        <v>903</v>
      </c>
      <c r="B14" s="266">
        <f>'Sources and Uses Budget'!$C13</f>
        <v>330000</v>
      </c>
      <c r="C14" s="266">
        <f>'Sources and Uses Budget'!$C13</f>
        <v>330000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5780000</v>
      </c>
      <c r="C30" s="266">
        <f>'Sources and Uses Budget'!$C29</f>
        <v>5780000</v>
      </c>
      <c r="D30" s="270">
        <f t="shared" si="0"/>
        <v>0</v>
      </c>
      <c r="E30" s="268"/>
      <c r="F30" s="267"/>
    </row>
    <row r="31" spans="1:6" s="352" customFormat="1">
      <c r="A31" s="145" t="s">
        <v>600</v>
      </c>
      <c r="B31" s="266">
        <f>'Sources and Uses Budget'!$C30</f>
        <v>61214400</v>
      </c>
      <c r="C31" s="266">
        <f>'Sources and Uses Budget'!$C30</f>
        <v>61214400</v>
      </c>
      <c r="D31" s="270">
        <f t="shared" si="0"/>
        <v>0</v>
      </c>
      <c r="E31" s="268"/>
      <c r="F31" s="267"/>
    </row>
    <row r="32" spans="1:6" s="352" customFormat="1">
      <c r="A32" s="145" t="s">
        <v>601</v>
      </c>
      <c r="B32" s="266">
        <f>'Sources and Uses Budget'!$C31</f>
        <v>2943000</v>
      </c>
      <c r="C32" s="266">
        <f>'Sources and Uses Budget'!$C31</f>
        <v>2943000</v>
      </c>
      <c r="D32" s="270">
        <f t="shared" si="0"/>
        <v>0</v>
      </c>
      <c r="E32" s="268"/>
      <c r="F32" s="267"/>
    </row>
    <row r="33" spans="1:6" s="352" customFormat="1">
      <c r="A33" s="145" t="s">
        <v>137</v>
      </c>
      <c r="B33" s="266">
        <f>'Sources and Uses Budget'!$C32</f>
        <v>1283148</v>
      </c>
      <c r="C33" s="266">
        <f>'Sources and Uses Budget'!$C32</f>
        <v>1283148</v>
      </c>
      <c r="D33" s="270">
        <f t="shared" si="0"/>
        <v>0</v>
      </c>
      <c r="E33" s="268"/>
      <c r="F33" s="267"/>
    </row>
    <row r="34" spans="1:6" s="352" customFormat="1">
      <c r="A34" s="145" t="s">
        <v>138</v>
      </c>
      <c r="B34" s="266">
        <f>'Sources and Uses Budget'!$C33</f>
        <v>1283148</v>
      </c>
      <c r="C34" s="266">
        <f>'Sources and Uses Budget'!$C33</f>
        <v>1283148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166809</v>
      </c>
      <c r="C36" s="266">
        <f>'Sources and Uses Budget'!$C35</f>
        <v>166809</v>
      </c>
      <c r="D36" s="270">
        <f t="shared" si="0"/>
        <v>0</v>
      </c>
      <c r="E36" s="268"/>
      <c r="F36" s="267"/>
    </row>
    <row r="37" spans="1:6" s="352" customFormat="1">
      <c r="A37" s="283" t="s">
        <v>1639</v>
      </c>
      <c r="B37" s="266">
        <f>'Sources and Uses Budget'!$C36</f>
        <v>250000</v>
      </c>
      <c r="C37" s="266">
        <f>'Sources and Uses Budget'!$C36</f>
        <v>250000</v>
      </c>
      <c r="D37" s="270"/>
      <c r="E37" s="268"/>
      <c r="F37" s="267"/>
    </row>
    <row r="38" spans="1:6" s="352" customFormat="1">
      <c r="A38" s="155" t="str">
        <f>'Sources and Uses Budget'!A37</f>
        <v>Other : Payment + Performance Bonds</v>
      </c>
      <c r="B38" s="266">
        <f>'Sources and Uses Budget'!$C37</f>
        <v>668905</v>
      </c>
      <c r="C38" s="266">
        <f>'Sources and Uses Budget'!$C37</f>
        <v>668905</v>
      </c>
      <c r="D38" s="270">
        <f t="shared" si="0"/>
        <v>0</v>
      </c>
      <c r="E38" s="268"/>
      <c r="F38" s="267"/>
    </row>
    <row r="39" spans="1:6" s="352" customFormat="1">
      <c r="A39" s="271" t="s">
        <v>143</v>
      </c>
      <c r="B39" s="270">
        <f>SUM(B30:B38)</f>
        <v>73589410</v>
      </c>
      <c r="C39" s="270">
        <f>SUM(C30:C38)</f>
        <v>73589410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364000</v>
      </c>
      <c r="C42" s="266">
        <f>'Sources and Uses Budget'!$C41</f>
        <v>364000</v>
      </c>
      <c r="D42" s="270">
        <f t="shared" si="0"/>
        <v>0</v>
      </c>
      <c r="E42" s="268"/>
      <c r="F42" s="267"/>
    </row>
    <row r="43" spans="1:6" s="352" customFormat="1">
      <c r="A43" s="271" t="s">
        <v>147</v>
      </c>
      <c r="B43" s="270">
        <f>SUM(B41:B42)</f>
        <v>1864000</v>
      </c>
      <c r="C43" s="270">
        <f>SUM(C41:C42)</f>
        <v>1864000</v>
      </c>
      <c r="D43" s="270">
        <f t="shared" si="0"/>
        <v>0</v>
      </c>
      <c r="E43" s="268"/>
      <c r="F43" s="267"/>
    </row>
    <row r="44" spans="1:6" s="352" customFormat="1">
      <c r="A44" s="271" t="s">
        <v>148</v>
      </c>
      <c r="B44" s="266">
        <f>'Sources and Uses Budget'!$C43</f>
        <v>1146500</v>
      </c>
      <c r="C44" s="266">
        <f>'Sources and Uses Budget'!$C43</f>
        <v>1146500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4100800</v>
      </c>
      <c r="C46" s="266">
        <f>'Sources and Uses Budget'!$C45</f>
        <v>4100800</v>
      </c>
      <c r="D46" s="270">
        <f t="shared" si="0"/>
        <v>0</v>
      </c>
      <c r="E46" s="268"/>
      <c r="F46" s="267"/>
    </row>
    <row r="47" spans="1:6" s="352" customFormat="1">
      <c r="A47" s="145" t="s">
        <v>151</v>
      </c>
      <c r="B47" s="266">
        <f>'Sources and Uses Budget'!$C46</f>
        <v>1001950</v>
      </c>
      <c r="C47" s="266">
        <f>'Sources and Uses Budget'!$C46</f>
        <v>1001950</v>
      </c>
      <c r="D47" s="270">
        <f t="shared" si="0"/>
        <v>0</v>
      </c>
      <c r="E47" s="268"/>
      <c r="F47" s="267"/>
    </row>
    <row r="48" spans="1:6" s="352" customFormat="1" ht="12" customHeight="1">
      <c r="A48" s="186" t="s">
        <v>152</v>
      </c>
      <c r="B48" s="266">
        <f>'Sources and Uses Budget'!$C47</f>
        <v>1578000</v>
      </c>
      <c r="C48" s="266">
        <f>'Sources and Uses Budget'!$C47</f>
        <v>1578000</v>
      </c>
      <c r="D48" s="270">
        <f t="shared" si="0"/>
        <v>0</v>
      </c>
      <c r="E48" s="268"/>
      <c r="F48" s="267"/>
    </row>
    <row r="49" spans="1:6" s="352" customFormat="1">
      <c r="A49" s="145" t="s">
        <v>153</v>
      </c>
      <c r="B49" s="266">
        <f>'Sources and Uses Budget'!$C48</f>
        <v>140490</v>
      </c>
      <c r="C49" s="266">
        <f>'Sources and Uses Budget'!$C48</f>
        <v>140490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140000</v>
      </c>
      <c r="C51" s="266">
        <f>'Sources and Uses Budget'!$C50</f>
        <v>140000</v>
      </c>
      <c r="D51" s="270">
        <f t="shared" si="0"/>
        <v>0</v>
      </c>
      <c r="E51" s="268"/>
      <c r="F51" s="267"/>
    </row>
    <row r="52" spans="1:6" s="352" customFormat="1">
      <c r="A52" s="283" t="s">
        <v>154</v>
      </c>
      <c r="B52" s="266">
        <f>'Sources and Uses Budget'!$C51</f>
        <v>65000</v>
      </c>
      <c r="C52" s="266">
        <f>'Sources and Uses Budget'!$C51</f>
        <v>65000</v>
      </c>
      <c r="D52" s="270">
        <f t="shared" si="0"/>
        <v>0</v>
      </c>
      <c r="E52" s="268"/>
      <c r="F52" s="267"/>
    </row>
    <row r="53" spans="1:6" s="352" customFormat="1">
      <c r="A53" s="145" t="s">
        <v>155</v>
      </c>
      <c r="B53" s="266">
        <f>'Sources and Uses Budget'!$C52</f>
        <v>2280000</v>
      </c>
      <c r="C53" s="266">
        <f>'Sources and Uses Budget'!$C52</f>
        <v>2280000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9306240</v>
      </c>
      <c r="C55" s="273">
        <f>SUM(C46:C54)</f>
        <v>9306240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30000</v>
      </c>
      <c r="C58" s="266">
        <f>'Sources and Uses Budget'!$C57</f>
        <v>30000</v>
      </c>
      <c r="D58" s="270">
        <f t="shared" si="0"/>
        <v>0</v>
      </c>
      <c r="E58" s="268"/>
      <c r="F58" s="267"/>
    </row>
    <row r="59" spans="1:6" s="352" customFormat="1">
      <c r="A59" s="269" t="s">
        <v>156</v>
      </c>
      <c r="B59" s="266">
        <f>'Sources and Uses Budget'!$C58</f>
        <v>40000</v>
      </c>
      <c r="C59" s="266">
        <f>'Sources and Uses Budget'!$C58</f>
        <v>40000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Other: Post CofO Construction Lender Interest</v>
      </c>
      <c r="B62" s="266">
        <f>'Sources and Uses Budget'!$C61</f>
        <v>4562693</v>
      </c>
      <c r="C62" s="266">
        <f>'Sources and Uses Budget'!$C61</f>
        <v>4562693</v>
      </c>
      <c r="D62" s="270">
        <f t="shared" si="0"/>
        <v>0</v>
      </c>
      <c r="E62" s="268"/>
      <c r="F62" s="267"/>
    </row>
    <row r="63" spans="1:6" s="352" customFormat="1" ht="13.7" customHeight="1">
      <c r="A63" s="271" t="s">
        <v>301</v>
      </c>
      <c r="B63" s="270">
        <f>SUM(B57:B62)</f>
        <v>4632693</v>
      </c>
      <c r="C63" s="270">
        <f>SUM(C57:C62)</f>
        <v>4632693</v>
      </c>
      <c r="D63" s="270">
        <f t="shared" si="0"/>
        <v>0</v>
      </c>
      <c r="E63" s="268"/>
      <c r="F63" s="267"/>
    </row>
    <row r="64" spans="1:6" s="352" customFormat="1">
      <c r="A64" s="274" t="s">
        <v>302</v>
      </c>
      <c r="B64" s="270">
        <f>SUM(B9+B12+B14+B15+B17+B26+B28+B39+B43+B44+B55+B63)</f>
        <v>90868844</v>
      </c>
      <c r="C64" s="270">
        <f>SUM(C9+C12+C14+C15+C17+C26+C28+C39+C43+C44+C55+C63)</f>
        <v>90868844</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95000</v>
      </c>
      <c r="C66" s="266">
        <f>'Sources and Uses Budget'!$C65</f>
        <v>95000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Partnership Legal</v>
      </c>
      <c r="B70" s="266">
        <f>'Sources and Uses Budget'!$C69</f>
        <v>302000</v>
      </c>
      <c r="C70" s="266">
        <f>'Sources and Uses Budget'!$C69</f>
        <v>302000</v>
      </c>
      <c r="D70" s="270">
        <f t="shared" si="0"/>
        <v>0</v>
      </c>
      <c r="E70" s="268"/>
      <c r="F70" s="267"/>
    </row>
    <row r="71" spans="1:6" s="352" customFormat="1">
      <c r="A71" s="149" t="s">
        <v>1644</v>
      </c>
      <c r="B71" s="270">
        <f>SUM(B66:B70)</f>
        <v>397000</v>
      </c>
      <c r="C71" s="270">
        <f>SUM(C66:C70)</f>
        <v>397000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606</v>
      </c>
      <c r="B76" s="266">
        <f>'Sources and Uses Budget'!$C75</f>
        <v>1459860</v>
      </c>
      <c r="C76" s="266">
        <f>'Sources and Uses Budget'!$C75</f>
        <v>1459860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1459860</v>
      </c>
      <c r="C78" s="270">
        <f>SUM(C73:C77)</f>
        <v>1459860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3377971</v>
      </c>
      <c r="C80" s="266">
        <f>'Sources and Uses Budget'!$C79</f>
        <v>3377971</v>
      </c>
      <c r="D80" s="270">
        <f t="shared" si="1"/>
        <v>0</v>
      </c>
      <c r="E80" s="268"/>
      <c r="F80" s="267"/>
    </row>
    <row r="81" spans="1:6" s="352" customFormat="1">
      <c r="A81" s="510" t="s">
        <v>58</v>
      </c>
      <c r="B81" s="266">
        <f>'Sources and Uses Budget'!$C80</f>
        <v>1100000</v>
      </c>
      <c r="C81" s="266">
        <f>'Sources and Uses Budget'!$C80</f>
        <v>1100000</v>
      </c>
      <c r="D81" s="270">
        <f>C81-B81</f>
        <v>0</v>
      </c>
      <c r="E81" s="268"/>
      <c r="F81" s="267"/>
    </row>
    <row r="82" spans="1:6" s="352" customFormat="1">
      <c r="A82" s="271" t="s">
        <v>1208</v>
      </c>
      <c r="B82" s="270">
        <f>SUM(B80:B81)</f>
        <v>4477971</v>
      </c>
      <c r="C82" s="270">
        <f>SUM(C80:C81)</f>
        <v>4477971</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302000</v>
      </c>
      <c r="C84" s="266">
        <f>'Sources and Uses Budget'!$C83</f>
        <v>302000</v>
      </c>
      <c r="D84" s="270">
        <f t="shared" si="1"/>
        <v>0</v>
      </c>
      <c r="E84" s="268"/>
      <c r="F84" s="267"/>
    </row>
    <row r="85" spans="1:6" s="352" customFormat="1">
      <c r="A85" s="269" t="s">
        <v>768</v>
      </c>
      <c r="B85" s="266">
        <f>'Sources and Uses Budget'!$C84</f>
        <v>6800</v>
      </c>
      <c r="C85" s="266">
        <f>'Sources and Uses Budget'!$C84</f>
        <v>6800</v>
      </c>
      <c r="D85" s="270">
        <f t="shared" si="1"/>
        <v>0</v>
      </c>
      <c r="E85" s="268"/>
      <c r="F85" s="267"/>
    </row>
    <row r="86" spans="1:6" s="352" customFormat="1">
      <c r="A86" s="269" t="s">
        <v>769</v>
      </c>
      <c r="B86" s="266">
        <f>'Sources and Uses Budget'!$C85</f>
        <v>14943787</v>
      </c>
      <c r="C86" s="266">
        <f>'Sources and Uses Budget'!$C85</f>
        <v>14943787</v>
      </c>
      <c r="D86" s="270">
        <f t="shared" si="1"/>
        <v>0</v>
      </c>
      <c r="E86" s="268"/>
      <c r="F86" s="267"/>
    </row>
    <row r="87" spans="1:6" s="352" customFormat="1">
      <c r="A87" s="269" t="s">
        <v>770</v>
      </c>
      <c r="B87" s="266">
        <f>'Sources and Uses Budget'!$C86</f>
        <v>725000</v>
      </c>
      <c r="C87" s="266">
        <f>'Sources and Uses Budget'!$C86</f>
        <v>725000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259500</v>
      </c>
      <c r="C89" s="266">
        <f>'Sources and Uses Budget'!$C88</f>
        <v>259500</v>
      </c>
      <c r="D89" s="270">
        <f t="shared" si="1"/>
        <v>0</v>
      </c>
      <c r="E89" s="268"/>
      <c r="F89" s="267"/>
    </row>
    <row r="90" spans="1:6" s="352" customFormat="1">
      <c r="A90" s="269" t="s">
        <v>773</v>
      </c>
      <c r="B90" s="266">
        <f>'Sources and Uses Budget'!$C89</f>
        <v>450000</v>
      </c>
      <c r="C90" s="266">
        <f>'Sources and Uses Budget'!$C89</f>
        <v>450000</v>
      </c>
      <c r="D90" s="270">
        <f t="shared" si="1"/>
        <v>0</v>
      </c>
      <c r="E90" s="268"/>
      <c r="F90" s="267"/>
    </row>
    <row r="91" spans="1:6" s="352" customFormat="1">
      <c r="A91" s="269" t="s">
        <v>774</v>
      </c>
      <c r="B91" s="266">
        <f>'Sources and Uses Budget'!$C90</f>
        <v>8000</v>
      </c>
      <c r="C91" s="266">
        <f>'Sources and Uses Budget'!$C90</f>
        <v>8000</v>
      </c>
      <c r="D91" s="270">
        <f t="shared" si="1"/>
        <v>0</v>
      </c>
      <c r="E91" s="268"/>
      <c r="F91" s="267"/>
    </row>
    <row r="92" spans="1:6" s="352" customFormat="1">
      <c r="A92" s="269" t="s">
        <v>372</v>
      </c>
      <c r="B92" s="266">
        <f>'Sources and Uses Budget'!$C91</f>
        <v>115000</v>
      </c>
      <c r="C92" s="266">
        <f>'Sources and Uses Budget'!$C91</f>
        <v>115000</v>
      </c>
      <c r="D92" s="270">
        <f t="shared" si="1"/>
        <v>0</v>
      </c>
      <c r="E92" s="268"/>
      <c r="F92" s="267"/>
    </row>
    <row r="93" spans="1:6" s="352" customFormat="1">
      <c r="A93" s="510" t="s">
        <v>1210</v>
      </c>
      <c r="B93" s="266">
        <f>'Sources and Uses Budget'!$C92</f>
        <v>6500</v>
      </c>
      <c r="C93" s="266">
        <f>'Sources and Uses Budget'!$C92</f>
        <v>6500</v>
      </c>
      <c r="D93" s="270">
        <f t="shared" si="1"/>
        <v>0</v>
      </c>
      <c r="E93" s="268"/>
      <c r="F93" s="267"/>
    </row>
    <row r="94" spans="1:6" s="352" customFormat="1">
      <c r="A94" s="272" t="s">
        <v>34</v>
      </c>
      <c r="B94" s="266">
        <f>'Sources and Uses Budget'!$C93</f>
        <v>13200</v>
      </c>
      <c r="C94" s="266">
        <f>'Sources and Uses Budget'!$C93</f>
        <v>13200</v>
      </c>
      <c r="D94" s="270">
        <f t="shared" si="1"/>
        <v>0</v>
      </c>
      <c r="E94" s="268"/>
      <c r="F94" s="267"/>
    </row>
    <row r="95" spans="1:6" s="352" customFormat="1">
      <c r="A95" s="272" t="s">
        <v>34</v>
      </c>
      <c r="B95" s="266">
        <f>'Sources and Uses Budget'!$C94</f>
        <v>1524600</v>
      </c>
      <c r="C95" s="266">
        <f>'Sources and Uses Budget'!$C94</f>
        <v>1524600</v>
      </c>
      <c r="D95" s="270">
        <f t="shared" si="1"/>
        <v>0</v>
      </c>
      <c r="E95" s="268"/>
      <c r="F95" s="267"/>
    </row>
    <row r="96" spans="1:6" s="352" customFormat="1">
      <c r="A96" s="272" t="s">
        <v>34</v>
      </c>
      <c r="B96" s="266">
        <f>'Sources and Uses Budget'!$C95</f>
        <v>40200</v>
      </c>
      <c r="C96" s="266">
        <f>'Sources and Uses Budget'!$C95</f>
        <v>40200</v>
      </c>
      <c r="D96" s="270">
        <f t="shared" si="1"/>
        <v>0</v>
      </c>
      <c r="E96" s="268"/>
      <c r="F96" s="267"/>
    </row>
    <row r="97" spans="1:6" s="352" customFormat="1">
      <c r="A97" s="271" t="s">
        <v>775</v>
      </c>
      <c r="B97" s="270">
        <f>SUM(B84:B96)</f>
        <v>18394587</v>
      </c>
      <c r="C97" s="270">
        <f>SUM(C84:C96)</f>
        <v>18394587</v>
      </c>
      <c r="D97" s="270">
        <f t="shared" si="1"/>
        <v>0</v>
      </c>
      <c r="E97" s="268"/>
      <c r="F97" s="267"/>
    </row>
    <row r="98" spans="1:6" s="352" customFormat="1">
      <c r="A98" s="271" t="s">
        <v>776</v>
      </c>
      <c r="B98" s="270">
        <f>SUM(B64+B71+B78+B82+B97)</f>
        <v>115598262</v>
      </c>
      <c r="C98" s="270">
        <f>SUM(C64+C71+C78+C82+C97)</f>
        <v>115598262</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16034030</v>
      </c>
      <c r="C100" s="266">
        <f>'Sources and Uses Budget'!$C99</f>
        <v>16034030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16034030</v>
      </c>
      <c r="C105" s="270">
        <f>SUM(C100:C104)</f>
        <v>16034030</v>
      </c>
      <c r="D105" s="270">
        <f t="shared" si="1"/>
        <v>0</v>
      </c>
      <c r="E105" s="268"/>
      <c r="F105" s="267"/>
    </row>
    <row r="106" spans="1:6" s="352" customFormat="1">
      <c r="A106" s="271" t="s">
        <v>781</v>
      </c>
      <c r="B106" s="273">
        <f>SUM(B98+B105)</f>
        <v>131632292</v>
      </c>
      <c r="C106" s="273">
        <f>SUM(C98+C105)</f>
        <v>131632292</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1867</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2045</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0" t="s">
        <v>1872</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1868</v>
      </c>
      <c r="B71" s="1277"/>
      <c r="C71" s="1277"/>
      <c r="D71" s="1277"/>
      <c r="E71" s="1277"/>
      <c r="F71" s="1277"/>
      <c r="G71" s="1277"/>
      <c r="H71" s="1277"/>
      <c r="I71" s="1277"/>
    </row>
    <row r="72" spans="1:9" ht="12.75">
      <c r="A72" s="1269" t="s">
        <v>2043</v>
      </c>
      <c r="B72" s="1269"/>
      <c r="C72" s="1269"/>
      <c r="D72" s="1269"/>
      <c r="E72" s="1269"/>
    </row>
    <row r="73" spans="1:9" ht="12.75">
      <c r="A73" s="1269" t="s">
        <v>2044</v>
      </c>
      <c r="B73" s="1269"/>
      <c r="C73" s="1269"/>
      <c r="D73" s="1269"/>
      <c r="E73" s="1269"/>
    </row>
    <row r="74" spans="1:9" ht="12.75">
      <c r="A74" s="1269" t="s">
        <v>1869</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056" workbookViewId="0">
      <selection activeCell="I1124" sqref="I112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2456</v>
      </c>
      <c r="B2" s="1331"/>
      <c r="C2" s="1331"/>
      <c r="D2" s="1331"/>
      <c r="E2" s="1331"/>
      <c r="F2" s="1331"/>
      <c r="G2" s="1331"/>
      <c r="H2" s="1331"/>
      <c r="I2" s="1331"/>
    </row>
    <row r="3" spans="1:13">
      <c r="A3" s="1319" t="s">
        <v>2217</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2216</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1100</v>
      </c>
      <c r="B9" s="1308"/>
      <c r="C9" s="1308"/>
      <c r="D9" s="1308"/>
      <c r="E9" s="1308"/>
      <c r="F9" s="1308"/>
      <c r="G9" s="1308"/>
      <c r="H9" s="1028"/>
      <c r="I9" s="1029"/>
    </row>
    <row r="10" spans="1:13">
      <c r="A10" s="482"/>
      <c r="B10" s="482"/>
      <c r="E10" s="404"/>
    </row>
    <row r="11" spans="1:13" ht="13.7" customHeight="1">
      <c r="C11" s="482"/>
      <c r="D11" s="1321" t="s">
        <v>1099</v>
      </c>
      <c r="E11" s="1321"/>
      <c r="F11" s="1321"/>
    </row>
    <row r="12" spans="1:13">
      <c r="C12" s="482"/>
      <c r="D12" s="1321"/>
      <c r="E12" s="1321"/>
      <c r="F12" s="1321"/>
    </row>
    <row r="13" spans="1:13">
      <c r="A13" s="483"/>
      <c r="B13" s="483"/>
      <c r="C13" s="483"/>
      <c r="D13" s="1299" t="s">
        <v>1089</v>
      </c>
      <c r="E13" s="1299"/>
      <c r="F13" s="1299"/>
      <c r="M13" s="96"/>
    </row>
    <row r="14" spans="1:13">
      <c r="A14" s="483"/>
      <c r="B14" s="483"/>
      <c r="C14" s="483"/>
      <c r="D14" s="476"/>
      <c r="L14" s="312"/>
    </row>
    <row r="15" spans="1:13" ht="14.25">
      <c r="A15" s="484"/>
      <c r="B15" s="485" t="s">
        <v>2754</v>
      </c>
      <c r="C15" s="483"/>
      <c r="D15" s="1301" t="s">
        <v>1920</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1918</v>
      </c>
      <c r="F18" s="445"/>
      <c r="I18" s="490"/>
    </row>
    <row r="19" spans="1:9">
      <c r="A19" s="483"/>
      <c r="B19" s="483"/>
      <c r="C19" s="483"/>
      <c r="I19" s="490"/>
    </row>
    <row r="20" spans="1:9" ht="14.25">
      <c r="A20" s="484"/>
      <c r="B20" s="485" t="s">
        <v>2754</v>
      </c>
      <c r="D20" s="1301" t="s">
        <v>1921</v>
      </c>
      <c r="E20" s="1301"/>
      <c r="F20" s="1301"/>
      <c r="I20" s="490"/>
    </row>
    <row r="21" spans="1:9" ht="14.25">
      <c r="A21" s="484"/>
      <c r="D21" s="1301"/>
      <c r="E21" s="1301"/>
      <c r="F21" s="1301"/>
      <c r="I21" s="490"/>
    </row>
    <row r="22" spans="1:9" ht="14.25">
      <c r="A22" s="484"/>
      <c r="D22" s="392"/>
      <c r="E22" s="96" t="s">
        <v>1917</v>
      </c>
      <c r="F22" s="392"/>
      <c r="I22" s="490"/>
    </row>
    <row r="23" spans="1:9" ht="14.25">
      <c r="A23" s="484"/>
      <c r="B23" s="484"/>
      <c r="D23" s="446"/>
      <c r="I23" s="490"/>
    </row>
    <row r="24" spans="1:9" ht="14.25">
      <c r="A24" s="484"/>
      <c r="B24" s="485" t="s">
        <v>2755</v>
      </c>
      <c r="D24" s="1301" t="s">
        <v>1090</v>
      </c>
      <c r="E24" s="1301"/>
      <c r="F24" s="1301"/>
      <c r="I24" s="490"/>
    </row>
    <row r="25" spans="1:9" ht="14.25">
      <c r="A25" s="484"/>
      <c r="B25" s="484"/>
      <c r="D25" s="1301"/>
      <c r="E25" s="1301"/>
      <c r="F25" s="1301"/>
      <c r="I25" s="490"/>
    </row>
    <row r="26" spans="1:9">
      <c r="I26" s="490"/>
    </row>
    <row r="27" spans="1:9" ht="14.25">
      <c r="A27" s="484"/>
      <c r="B27" s="485" t="s">
        <v>2754</v>
      </c>
      <c r="D27" s="1301" t="s">
        <v>2046</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2755</v>
      </c>
      <c r="D33" s="1301" t="s">
        <v>2047</v>
      </c>
      <c r="E33" s="1301"/>
      <c r="F33" s="1301"/>
      <c r="I33" s="490"/>
    </row>
    <row r="34" spans="1:9">
      <c r="D34" s="1301"/>
      <c r="E34" s="1301"/>
      <c r="F34" s="1301"/>
      <c r="I34" s="490"/>
    </row>
    <row r="35" spans="1:9" ht="14.25">
      <c r="A35" s="484"/>
      <c r="B35" s="484"/>
      <c r="D35" s="447"/>
      <c r="I35" s="490"/>
    </row>
    <row r="36" spans="1:9" ht="14.45" customHeight="1">
      <c r="A36" s="484"/>
      <c r="B36" s="485" t="s">
        <v>2755</v>
      </c>
      <c r="D36" s="1301" t="s">
        <v>1213</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2755</v>
      </c>
      <c r="D41" s="1301" t="s">
        <v>1091</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2754</v>
      </c>
      <c r="D47" s="1301" t="s">
        <v>1092</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2755</v>
      </c>
      <c r="D52" s="1301" t="s">
        <v>1093</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2754</v>
      </c>
      <c r="D56" s="1324" t="s">
        <v>1094</v>
      </c>
      <c r="E56" s="1324"/>
      <c r="F56" s="1324"/>
      <c r="I56" s="490"/>
    </row>
    <row r="57" spans="1:9" ht="14.25">
      <c r="A57" s="484"/>
      <c r="B57" s="484"/>
      <c r="D57" s="1324"/>
      <c r="E57" s="1324"/>
      <c r="F57" s="1324"/>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2755</v>
      </c>
      <c r="D61" s="1301" t="s">
        <v>1095</v>
      </c>
      <c r="E61" s="1301"/>
      <c r="F61" s="1301"/>
      <c r="I61" s="490"/>
    </row>
    <row r="62" spans="1:9">
      <c r="D62" s="1301"/>
      <c r="E62" s="1301"/>
      <c r="F62" s="1301"/>
      <c r="I62" s="490"/>
    </row>
    <row r="63" spans="1:9">
      <c r="D63" s="1301"/>
      <c r="E63" s="1301"/>
      <c r="F63" s="1301"/>
      <c r="I63" s="490"/>
    </row>
    <row r="64" spans="1:9">
      <c r="I64" s="490"/>
    </row>
    <row r="65" spans="1:9" ht="14.25">
      <c r="A65" s="484"/>
      <c r="B65" s="485" t="s">
        <v>2755</v>
      </c>
      <c r="D65" s="1301" t="s">
        <v>1096</v>
      </c>
      <c r="E65" s="1301"/>
      <c r="F65" s="1301"/>
      <c r="I65" s="490"/>
    </row>
    <row r="66" spans="1:9">
      <c r="D66" s="1301"/>
      <c r="E66" s="1301"/>
      <c r="F66" s="1301"/>
      <c r="I66" s="490"/>
    </row>
    <row r="67" spans="1:9">
      <c r="I67" s="490"/>
    </row>
    <row r="68" spans="1:9" ht="14.25">
      <c r="A68" s="484"/>
      <c r="B68" s="485" t="s">
        <v>2754</v>
      </c>
      <c r="D68" s="1301" t="s">
        <v>1097</v>
      </c>
      <c r="E68" s="1301"/>
      <c r="F68" s="1301"/>
      <c r="I68" s="490"/>
    </row>
    <row r="69" spans="1:9">
      <c r="D69" s="1301"/>
      <c r="E69" s="1301"/>
      <c r="F69" s="1301"/>
      <c r="I69" s="490"/>
    </row>
    <row r="70" spans="1:9">
      <c r="D70" s="1301"/>
      <c r="E70" s="1301"/>
      <c r="F70" s="1301"/>
      <c r="I70" s="490"/>
    </row>
    <row r="71" spans="1:9">
      <c r="I71" s="490"/>
    </row>
    <row r="72" spans="1:9" ht="14.25">
      <c r="A72" s="484"/>
      <c r="B72" s="485" t="s">
        <v>2754</v>
      </c>
      <c r="D72" s="1301" t="s">
        <v>1098</v>
      </c>
      <c r="E72" s="1301"/>
      <c r="F72" s="1301"/>
      <c r="I72" s="490"/>
    </row>
    <row r="73" spans="1:9">
      <c r="D73" s="1301"/>
      <c r="E73" s="1301"/>
      <c r="F73" s="1301"/>
      <c r="I73" s="490"/>
    </row>
    <row r="74" spans="1:9" ht="14.25">
      <c r="A74" s="484"/>
      <c r="B74" s="484"/>
      <c r="D74" s="446"/>
      <c r="I74" s="490"/>
    </row>
    <row r="75" spans="1:9">
      <c r="A75" s="1308" t="s">
        <v>1043</v>
      </c>
      <c r="B75" s="1308"/>
      <c r="C75" s="1308"/>
      <c r="D75" s="1308"/>
      <c r="E75" s="1308"/>
      <c r="F75" s="1308"/>
      <c r="G75" s="1308"/>
      <c r="H75" s="1028"/>
      <c r="I75" s="1153"/>
    </row>
    <row r="76" spans="1:9">
      <c r="I76" s="490"/>
    </row>
    <row r="77" spans="1:9">
      <c r="C77" s="486"/>
      <c r="D77" s="1317" t="s">
        <v>1101</v>
      </c>
      <c r="E77" s="1317"/>
      <c r="F77" s="1317"/>
      <c r="I77" s="490"/>
    </row>
    <row r="78" spans="1:9">
      <c r="A78" s="446"/>
      <c r="B78" s="446"/>
      <c r="D78" s="1301" t="s">
        <v>1116</v>
      </c>
      <c r="E78" s="1301"/>
      <c r="F78" s="1301"/>
      <c r="I78" s="490"/>
    </row>
    <row r="79" spans="1:9">
      <c r="A79" s="446"/>
      <c r="B79" s="446"/>
      <c r="I79" s="490"/>
    </row>
    <row r="80" spans="1:9" ht="13.7" customHeight="1">
      <c r="A80" s="484"/>
      <c r="B80" s="485" t="s">
        <v>2754</v>
      </c>
      <c r="D80" s="1301" t="s">
        <v>1244</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2754</v>
      </c>
      <c r="D89" s="1301" t="s">
        <v>1741</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2754</v>
      </c>
      <c r="D92" s="1301" t="s">
        <v>1744</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2754</v>
      </c>
      <c r="D96" s="1301" t="s">
        <v>1743</v>
      </c>
      <c r="E96" s="1301"/>
      <c r="F96" s="1301"/>
      <c r="I96" s="490"/>
    </row>
    <row r="97" spans="1:9" s="987" customFormat="1" ht="14.25">
      <c r="A97" s="985"/>
      <c r="B97" s="985"/>
      <c r="C97" s="986"/>
      <c r="D97" s="1301"/>
      <c r="E97" s="1301"/>
      <c r="F97" s="1301"/>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2755</v>
      </c>
      <c r="D100" s="1301" t="s">
        <v>1742</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2755</v>
      </c>
      <c r="D103" s="1301" t="s">
        <v>1193</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2755</v>
      </c>
      <c r="D119" s="1323" t="s">
        <v>1102</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2754</v>
      </c>
      <c r="C128" s="402"/>
      <c r="D128" s="1323" t="s">
        <v>2048</v>
      </c>
      <c r="E128" s="1323"/>
      <c r="F128" s="1323"/>
      <c r="I128" s="490"/>
    </row>
    <row r="129" spans="1:9" ht="14.25">
      <c r="A129" s="484"/>
      <c r="B129" s="484"/>
      <c r="C129" s="402"/>
      <c r="D129" s="1323"/>
      <c r="E129" s="1323"/>
      <c r="F129" s="1323"/>
      <c r="I129" s="490"/>
    </row>
    <row r="130" spans="1:9">
      <c r="I130" s="490"/>
    </row>
    <row r="131" spans="1:9" ht="14.25">
      <c r="A131" s="484"/>
      <c r="B131" s="485" t="s">
        <v>2755</v>
      </c>
      <c r="D131" s="1301" t="s">
        <v>1103</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2754</v>
      </c>
      <c r="D137" s="1301" t="s">
        <v>1104</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2755</v>
      </c>
      <c r="D151" s="1301" t="s">
        <v>1176</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2071</v>
      </c>
      <c r="E169" s="1320"/>
      <c r="F169" s="1320"/>
      <c r="G169" s="507"/>
      <c r="I169" s="490"/>
    </row>
    <row r="170" spans="1:9" ht="13.7" customHeight="1">
      <c r="D170" s="1318"/>
      <c r="E170" s="1318"/>
      <c r="F170" s="1318"/>
      <c r="G170" s="1318"/>
      <c r="I170" s="490"/>
    </row>
    <row r="171" spans="1:9" ht="14.45" customHeight="1">
      <c r="A171" s="489"/>
      <c r="B171" s="485" t="s">
        <v>2755</v>
      </c>
      <c r="C171" s="476"/>
      <c r="D171" s="1272" t="s">
        <v>2211</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2755</v>
      </c>
      <c r="C177" s="476"/>
      <c r="D177" s="1272" t="s">
        <v>1105</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2755</v>
      </c>
      <c r="D182" s="1313" t="s">
        <v>2049</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2050</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1873</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1745</v>
      </c>
      <c r="E193" s="1317"/>
      <c r="F193" s="1317"/>
      <c r="I193" s="490"/>
    </row>
    <row r="194" spans="1:9">
      <c r="A194" s="404"/>
      <c r="B194" s="404"/>
      <c r="D194" s="1317"/>
      <c r="E194" s="1317"/>
      <c r="F194" s="1317"/>
      <c r="I194" s="490"/>
    </row>
    <row r="195" spans="1:9">
      <c r="A195" s="404"/>
      <c r="B195" s="404"/>
      <c r="D195" s="1303" t="s">
        <v>1194</v>
      </c>
      <c r="E195" s="1303"/>
      <c r="F195" s="1303"/>
      <c r="I195" s="490"/>
    </row>
    <row r="196" spans="1:9">
      <c r="A196" s="404"/>
      <c r="B196" s="404"/>
      <c r="D196" s="392"/>
      <c r="E196" s="392"/>
      <c r="F196" s="392"/>
      <c r="I196" s="490"/>
    </row>
    <row r="197" spans="1:9">
      <c r="A197" s="404"/>
      <c r="B197" s="485" t="s">
        <v>2754</v>
      </c>
      <c r="D197" s="1288" t="s">
        <v>1746</v>
      </c>
      <c r="E197" s="1288"/>
      <c r="F197" s="1288"/>
      <c r="I197" s="490"/>
    </row>
    <row r="198" spans="1:9">
      <c r="A198" s="404"/>
      <c r="B198" s="404"/>
      <c r="D198" s="1287" t="s">
        <v>1900</v>
      </c>
      <c r="E198" s="1287"/>
      <c r="F198" s="1287"/>
      <c r="I198" s="490"/>
    </row>
    <row r="199" spans="1:9">
      <c r="A199" s="404"/>
      <c r="B199" s="404"/>
      <c r="D199" s="96" t="s">
        <v>1747</v>
      </c>
      <c r="E199" s="1325" t="s">
        <v>1923</v>
      </c>
      <c r="F199" s="1325"/>
      <c r="I199" s="490"/>
    </row>
    <row r="200" spans="1:9">
      <c r="A200" s="404"/>
      <c r="B200" s="404"/>
      <c r="D200" s="3"/>
      <c r="E200" s="3"/>
      <c r="F200" s="3"/>
      <c r="I200" s="490"/>
    </row>
    <row r="201" spans="1:9">
      <c r="A201" s="404"/>
      <c r="B201" s="485" t="s">
        <v>2755</v>
      </c>
      <c r="D201" s="1287" t="s">
        <v>1748</v>
      </c>
      <c r="E201" s="1287"/>
      <c r="F201" s="1287"/>
      <c r="I201" s="490"/>
    </row>
    <row r="202" spans="1:9">
      <c r="A202" s="404"/>
      <c r="B202" s="404"/>
      <c r="D202" s="1288" t="s">
        <v>1900</v>
      </c>
      <c r="E202" s="1288"/>
      <c r="F202" s="1288"/>
      <c r="I202" s="490"/>
    </row>
    <row r="203" spans="1:9">
      <c r="A203" s="404"/>
      <c r="B203" s="404"/>
      <c r="D203" s="57" t="s">
        <v>1749</v>
      </c>
      <c r="E203" s="1325" t="s">
        <v>1924</v>
      </c>
      <c r="F203" s="1325"/>
      <c r="I203" s="490"/>
    </row>
    <row r="204" spans="1:9">
      <c r="A204" s="404"/>
      <c r="B204" s="404"/>
      <c r="D204" s="3"/>
      <c r="E204" s="3"/>
      <c r="F204" s="3"/>
      <c r="I204" s="490"/>
    </row>
    <row r="205" spans="1:9">
      <c r="A205" s="404"/>
      <c r="B205" s="485" t="s">
        <v>2755</v>
      </c>
      <c r="D205" s="1287" t="s">
        <v>1750</v>
      </c>
      <c r="E205" s="1287"/>
      <c r="F205" s="1287"/>
      <c r="I205" s="490"/>
    </row>
    <row r="206" spans="1:9">
      <c r="A206" s="404"/>
      <c r="B206" s="404"/>
      <c r="D206" s="1288" t="s">
        <v>1900</v>
      </c>
      <c r="E206" s="1288"/>
      <c r="F206" s="1288"/>
      <c r="I206" s="490"/>
    </row>
    <row r="207" spans="1:9">
      <c r="A207" s="404"/>
      <c r="B207" s="404"/>
      <c r="D207" s="57" t="s">
        <v>1747</v>
      </c>
      <c r="E207" s="1325" t="s">
        <v>1925</v>
      </c>
      <c r="F207" s="1325"/>
      <c r="I207" s="490"/>
    </row>
    <row r="208" spans="1:9">
      <c r="A208" s="404"/>
      <c r="B208" s="404"/>
      <c r="D208" s="392"/>
      <c r="E208" s="392"/>
      <c r="F208" s="392"/>
      <c r="I208" s="490"/>
    </row>
    <row r="209" spans="1:9" ht="14.25" customHeight="1">
      <c r="A209" s="484"/>
      <c r="B209" s="485" t="s">
        <v>2755</v>
      </c>
      <c r="D209" s="386" t="s">
        <v>1893</v>
      </c>
      <c r="E209" s="385"/>
      <c r="F209" s="385"/>
      <c r="I209" s="490"/>
    </row>
    <row r="210" spans="1:9" ht="14.25">
      <c r="A210" s="484"/>
      <c r="B210" s="484"/>
      <c r="D210" s="1288" t="s">
        <v>1900</v>
      </c>
      <c r="E210" s="1288"/>
      <c r="F210" s="1288"/>
      <c r="I210" s="490"/>
    </row>
    <row r="211" spans="1:9">
      <c r="D211" s="385"/>
      <c r="E211" s="1325" t="s">
        <v>1926</v>
      </c>
      <c r="F211" s="1325"/>
      <c r="I211" s="490"/>
    </row>
    <row r="212" spans="1:9">
      <c r="D212" s="447"/>
      <c r="I212" s="490"/>
    </row>
    <row r="213" spans="1:9">
      <c r="B213" s="485" t="s">
        <v>2755</v>
      </c>
      <c r="D213" s="1287" t="s">
        <v>1751</v>
      </c>
      <c r="E213" s="1287"/>
      <c r="F213" s="1287"/>
      <c r="I213" s="490"/>
    </row>
    <row r="214" spans="1:9">
      <c r="D214" s="1288" t="s">
        <v>1900</v>
      </c>
      <c r="E214" s="1288"/>
      <c r="F214" s="1288"/>
      <c r="I214" s="490"/>
    </row>
    <row r="215" spans="1:9">
      <c r="D215" s="57" t="s">
        <v>1747</v>
      </c>
      <c r="E215" s="1325" t="s">
        <v>1927</v>
      </c>
      <c r="F215" s="1325"/>
      <c r="I215" s="490"/>
    </row>
    <row r="216" spans="1:9">
      <c r="D216" s="451"/>
      <c r="E216" s="451"/>
      <c r="F216" s="451"/>
      <c r="I216" s="490"/>
    </row>
    <row r="217" spans="1:9" ht="14.25">
      <c r="A217" s="484"/>
      <c r="B217" s="485" t="s">
        <v>2755</v>
      </c>
      <c r="D217" s="1301" t="s">
        <v>1215</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1045</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1119</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2754</v>
      </c>
      <c r="D228" s="1301" t="s">
        <v>1752</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2754</v>
      </c>
      <c r="D233" s="1301" t="s">
        <v>1753</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1117</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2754</v>
      </c>
      <c r="D245" s="1301" t="s">
        <v>2051</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1894</v>
      </c>
      <c r="I248" s="490"/>
    </row>
    <row r="249" spans="1:9" ht="14.25">
      <c r="A249" s="484"/>
      <c r="B249" s="484"/>
      <c r="D249" s="446"/>
      <c r="E249" s="446"/>
      <c r="F249" s="446"/>
      <c r="I249" s="490"/>
    </row>
    <row r="250" spans="1:9" ht="14.45" customHeight="1">
      <c r="A250" s="484"/>
      <c r="B250" s="485" t="s">
        <v>2755</v>
      </c>
      <c r="D250" s="1301" t="s">
        <v>2052</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2754</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2754</v>
      </c>
      <c r="D259" s="1301" t="s">
        <v>1118</v>
      </c>
      <c r="E259" s="1301"/>
      <c r="F259" s="1301"/>
      <c r="I259" s="490"/>
    </row>
    <row r="260" spans="1:9" ht="14.25">
      <c r="A260" s="484"/>
      <c r="B260" s="484"/>
      <c r="D260" s="1301"/>
      <c r="E260" s="1301"/>
      <c r="F260" s="1301"/>
      <c r="I260" s="490"/>
    </row>
    <row r="261" spans="1:9">
      <c r="D261" s="491"/>
      <c r="I261" s="490"/>
    </row>
    <row r="262" spans="1:9">
      <c r="A262" s="1308" t="s">
        <v>1046</v>
      </c>
      <c r="B262" s="1308"/>
      <c r="C262" s="1308"/>
      <c r="D262" s="1308"/>
      <c r="E262" s="1308"/>
      <c r="F262" s="1308"/>
      <c r="G262" s="1308"/>
      <c r="H262" s="1028"/>
      <c r="I262" s="1153"/>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2754</v>
      </c>
      <c r="D267" s="1301" t="s">
        <v>1195</v>
      </c>
      <c r="E267" s="1301"/>
      <c r="F267" s="1301"/>
      <c r="I267" s="490"/>
    </row>
    <row r="268" spans="1:9">
      <c r="D268" s="1301"/>
      <c r="E268" s="1301"/>
      <c r="F268" s="1301"/>
      <c r="I268" s="490"/>
    </row>
    <row r="269" spans="1:9">
      <c r="E269" s="1036" t="s">
        <v>1896</v>
      </c>
      <c r="I269" s="490"/>
    </row>
    <row r="270" spans="1:9">
      <c r="D270" s="446"/>
      <c r="E270" s="446"/>
      <c r="F270" s="446"/>
      <c r="I270" s="490"/>
    </row>
    <row r="271" spans="1:9" ht="14.45" customHeight="1">
      <c r="A271" s="484"/>
      <c r="B271" s="485" t="s">
        <v>2755</v>
      </c>
      <c r="D271" s="1301" t="s">
        <v>2054</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2755</v>
      </c>
      <c r="D278" s="1301" t="s">
        <v>1121</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1047</v>
      </c>
      <c r="B282" s="1308"/>
      <c r="C282" s="1308"/>
      <c r="D282" s="1308"/>
      <c r="E282" s="1308"/>
      <c r="F282" s="1308"/>
      <c r="G282" s="1308"/>
      <c r="H282" s="1028"/>
      <c r="I282" s="1153"/>
    </row>
    <row r="283" spans="1:9">
      <c r="D283" s="492"/>
      <c r="E283" s="446"/>
      <c r="F283" s="446"/>
      <c r="I283" s="490"/>
    </row>
    <row r="284" spans="1:9">
      <c r="C284" s="482"/>
      <c r="D284" s="1317" t="s">
        <v>1122</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1123</v>
      </c>
      <c r="E288" s="1326"/>
      <c r="F288" s="1326"/>
      <c r="I288" s="490"/>
    </row>
    <row r="289" spans="1:9">
      <c r="E289" s="446"/>
      <c r="F289" s="446"/>
      <c r="I289" s="490"/>
    </row>
    <row r="290" spans="1:9" ht="14.25">
      <c r="A290" s="484"/>
      <c r="B290" s="485" t="s">
        <v>2755</v>
      </c>
      <c r="D290" s="1301" t="s">
        <v>1124</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2755</v>
      </c>
      <c r="D293" s="1301" t="s">
        <v>1125</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2755</v>
      </c>
      <c r="D297" s="1301" t="s">
        <v>1126</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1048</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1127</v>
      </c>
      <c r="E303" s="1299"/>
      <c r="F303" s="1299"/>
      <c r="I303" s="490"/>
    </row>
    <row r="304" spans="1:9">
      <c r="C304" s="490"/>
      <c r="D304" s="493"/>
      <c r="I304" s="490"/>
    </row>
    <row r="305" spans="1:9">
      <c r="B305" s="485" t="s">
        <v>2755</v>
      </c>
      <c r="D305" s="1299" t="s">
        <v>1128</v>
      </c>
      <c r="E305" s="1299"/>
      <c r="F305" s="1299"/>
      <c r="I305" s="490"/>
    </row>
    <row r="306" spans="1:9" ht="14.25">
      <c r="A306" s="484"/>
      <c r="B306" s="484"/>
      <c r="D306" s="494"/>
      <c r="E306" s="495"/>
      <c r="F306" s="495"/>
      <c r="I306" s="490"/>
    </row>
    <row r="307" spans="1:9" ht="13.7" customHeight="1">
      <c r="B307" s="485" t="s">
        <v>2755</v>
      </c>
      <c r="D307" s="1310" t="s">
        <v>1218</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2755</v>
      </c>
      <c r="D313" s="1310" t="s">
        <v>1129</v>
      </c>
      <c r="E313" s="1310"/>
      <c r="F313" s="1310"/>
      <c r="I313" s="490"/>
    </row>
    <row r="314" spans="1:9">
      <c r="D314" s="1310"/>
      <c r="E314" s="1310"/>
      <c r="F314" s="1310"/>
      <c r="I314" s="490"/>
    </row>
    <row r="315" spans="1:9" ht="14.25">
      <c r="A315" s="484"/>
      <c r="B315" s="484"/>
      <c r="D315" s="494"/>
      <c r="E315" s="495"/>
      <c r="F315" s="495"/>
      <c r="I315" s="490"/>
    </row>
    <row r="316" spans="1:9">
      <c r="B316" s="485" t="s">
        <v>2755</v>
      </c>
      <c r="D316" s="1299" t="s">
        <v>1130</v>
      </c>
      <c r="E316" s="1299"/>
      <c r="F316" s="1299"/>
      <c r="I316" s="490"/>
    </row>
    <row r="317" spans="1:9">
      <c r="E317" s="446"/>
      <c r="F317" s="446"/>
      <c r="I317" s="490"/>
    </row>
    <row r="318" spans="1:9" ht="14.25">
      <c r="A318" s="484"/>
      <c r="B318" s="485" t="s">
        <v>2755</v>
      </c>
      <c r="D318" s="1301" t="s">
        <v>2243</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2755</v>
      </c>
      <c r="D334" s="1301" t="s">
        <v>1131</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2755</v>
      </c>
      <c r="D344" s="1301" t="s">
        <v>1901</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29" t="s">
        <v>978</v>
      </c>
      <c r="E351" s="1329"/>
      <c r="F351" s="1329"/>
      <c r="G351" s="1027"/>
      <c r="H351" s="1027"/>
      <c r="I351" s="1156"/>
    </row>
    <row r="352" spans="1:9" ht="13.5" thickTop="1">
      <c r="D352" s="1328" t="s">
        <v>2244</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2755</v>
      </c>
      <c r="C355" s="487"/>
      <c r="D355" s="1299" t="s">
        <v>1899</v>
      </c>
      <c r="E355" s="1299"/>
      <c r="F355" s="1299"/>
      <c r="I355" s="490"/>
    </row>
    <row r="356" spans="1:9" ht="12.75" customHeight="1">
      <c r="D356" s="1037"/>
      <c r="E356" s="96" t="s">
        <v>1898</v>
      </c>
      <c r="F356" s="1037"/>
      <c r="I356" s="490"/>
    </row>
    <row r="357" spans="1:9">
      <c r="D357" s="1301" t="s">
        <v>1238</v>
      </c>
      <c r="E357" s="1301"/>
      <c r="F357" s="1301"/>
      <c r="I357" s="490"/>
    </row>
    <row r="358" spans="1:9">
      <c r="D358" s="1301"/>
      <c r="E358" s="1301"/>
      <c r="F358" s="1301"/>
      <c r="I358" s="490"/>
    </row>
    <row r="359" spans="1:9">
      <c r="D359" s="1301"/>
      <c r="E359" s="1301"/>
      <c r="F359" s="1301"/>
      <c r="I359" s="490"/>
    </row>
    <row r="360" spans="1:9" ht="14.25">
      <c r="A360" s="484"/>
      <c r="B360" s="485" t="s">
        <v>2755</v>
      </c>
      <c r="C360" s="476"/>
      <c r="D360" s="1318" t="s">
        <v>2055</v>
      </c>
      <c r="E360" s="1318"/>
      <c r="F360" s="1318"/>
      <c r="I360" s="480"/>
    </row>
    <row r="361" spans="1:9">
      <c r="A361" s="476"/>
      <c r="B361" s="476"/>
      <c r="C361" s="476"/>
      <c r="D361" s="447"/>
      <c r="E361" s="447"/>
      <c r="F361" s="446"/>
      <c r="I361" s="490"/>
    </row>
    <row r="362" spans="1:9">
      <c r="A362" s="476"/>
      <c r="B362" s="485" t="s">
        <v>2755</v>
      </c>
      <c r="C362" s="476"/>
      <c r="D362" s="1272" t="s">
        <v>2056</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2755</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2755</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2755</v>
      </c>
      <c r="C387" s="476"/>
      <c r="D387" s="1272" t="s">
        <v>1132</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1133</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1134</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2755</v>
      </c>
      <c r="C420" s="476"/>
      <c r="D420" s="1272" t="s">
        <v>1135</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2755</v>
      </c>
      <c r="D423" s="1272" t="s">
        <v>1880</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2755</v>
      </c>
      <c r="C429" s="476"/>
      <c r="D429" s="1272" t="s">
        <v>1239</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2072</v>
      </c>
      <c r="E433" s="1272"/>
      <c r="F433" s="1272"/>
      <c r="I433" s="490"/>
    </row>
    <row r="434" spans="1:9">
      <c r="D434" s="446"/>
      <c r="E434" s="446"/>
      <c r="F434" s="446"/>
      <c r="I434" s="490"/>
    </row>
    <row r="435" spans="1:9" ht="14.25">
      <c r="A435" s="484"/>
      <c r="B435" s="485" t="s">
        <v>2755</v>
      </c>
      <c r="C435" s="487"/>
      <c r="D435" s="1301" t="s">
        <v>2057</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2755</v>
      </c>
      <c r="C467" s="487"/>
      <c r="D467" s="1301" t="s">
        <v>1136</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2755</v>
      </c>
      <c r="C471" s="484"/>
      <c r="D471" s="1301" t="s">
        <v>1196</v>
      </c>
      <c r="E471" s="1301"/>
      <c r="F471" s="1301"/>
      <c r="I471" s="490"/>
    </row>
    <row r="472" spans="1:9">
      <c r="D472" s="1301"/>
      <c r="E472" s="1301"/>
      <c r="F472" s="1301"/>
      <c r="I472" s="490"/>
    </row>
    <row r="473" spans="1:9">
      <c r="D473" s="446"/>
      <c r="E473" s="446"/>
      <c r="F473" s="446"/>
      <c r="I473" s="490"/>
    </row>
    <row r="474" spans="1:9" ht="14.25">
      <c r="B474" s="485" t="s">
        <v>2755</v>
      </c>
      <c r="C474" s="484"/>
      <c r="D474" s="1301" t="s">
        <v>1137</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2755</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2755</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2755</v>
      </c>
      <c r="C486" s="402"/>
      <c r="D486" s="1301"/>
      <c r="E486" s="1301"/>
      <c r="F486" s="1301"/>
      <c r="I486" s="490"/>
    </row>
    <row r="487" spans="1:9">
      <c r="A487" s="402"/>
      <c r="C487" s="402"/>
      <c r="D487" s="1301"/>
      <c r="E487" s="1301"/>
      <c r="F487" s="1301"/>
      <c r="I487" s="490"/>
    </row>
    <row r="488" spans="1:9">
      <c r="A488" s="402"/>
      <c r="B488" s="485" t="s">
        <v>2755</v>
      </c>
      <c r="C488" s="402"/>
      <c r="D488" s="1301" t="s">
        <v>1138</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2755</v>
      </c>
      <c r="D494" s="1299" t="s">
        <v>1139</v>
      </c>
      <c r="E494" s="1299"/>
      <c r="F494" s="1299"/>
      <c r="I494" s="490"/>
    </row>
    <row r="495" spans="1:9">
      <c r="A495" s="446"/>
      <c r="B495" s="446"/>
      <c r="I495" s="490"/>
    </row>
    <row r="496" spans="1:9">
      <c r="A496" s="1308" t="s">
        <v>1049</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1140</v>
      </c>
      <c r="E499" s="1318"/>
      <c r="F499" s="1318"/>
      <c r="I499" s="490"/>
    </row>
    <row r="500" spans="1:9" ht="14.25">
      <c r="A500" s="484"/>
      <c r="B500" s="484"/>
      <c r="D500" s="447"/>
      <c r="I500" s="490"/>
    </row>
    <row r="501" spans="1:9" ht="14.25">
      <c r="A501" s="484"/>
      <c r="B501" s="485" t="s">
        <v>2755</v>
      </c>
      <c r="D501" s="1272" t="s">
        <v>1141</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2755</v>
      </c>
      <c r="D504" s="1313" t="s">
        <v>1272</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2755</v>
      </c>
      <c r="D509" s="1299" t="s">
        <v>1142</v>
      </c>
      <c r="E509" s="1299"/>
      <c r="F509" s="1299"/>
      <c r="I509" s="490"/>
    </row>
    <row r="510" spans="1:9" ht="14.25">
      <c r="A510" s="484"/>
      <c r="B510" s="484"/>
      <c r="D510" s="446"/>
      <c r="I510" s="490"/>
    </row>
    <row r="511" spans="1:9" ht="14.25">
      <c r="A511" s="484"/>
      <c r="B511" s="485" t="s">
        <v>2755</v>
      </c>
      <c r="D511" s="1301" t="s">
        <v>1143</v>
      </c>
      <c r="E511" s="1301"/>
      <c r="F511" s="1301"/>
      <c r="I511" s="490"/>
    </row>
    <row r="512" spans="1:9" ht="14.25">
      <c r="A512" s="484"/>
      <c r="D512" s="1301"/>
      <c r="E512" s="1301"/>
      <c r="F512" s="1301"/>
      <c r="I512" s="490"/>
    </row>
    <row r="513" spans="1:9">
      <c r="A513" s="490"/>
      <c r="B513" s="490"/>
      <c r="D513" s="447"/>
      <c r="I513" s="490"/>
    </row>
    <row r="514" spans="1:9">
      <c r="A514" s="490"/>
      <c r="B514" s="485" t="s">
        <v>2755</v>
      </c>
      <c r="D514" s="1299" t="s">
        <v>1144</v>
      </c>
      <c r="E514" s="1299"/>
      <c r="F514" s="1299"/>
      <c r="I514" s="490"/>
    </row>
    <row r="515" spans="1:9">
      <c r="D515" s="446"/>
      <c r="E515" s="446"/>
      <c r="F515" s="446"/>
      <c r="I515" s="490"/>
    </row>
    <row r="516" spans="1:9">
      <c r="B516" s="485" t="s">
        <v>2755</v>
      </c>
      <c r="D516" s="1301" t="s">
        <v>2278</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1050</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2754</v>
      </c>
      <c r="C527" s="483"/>
      <c r="D527" s="1272" t="s">
        <v>2058</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2754</v>
      </c>
      <c r="D530" s="386" t="s">
        <v>1902</v>
      </c>
      <c r="E530" s="385"/>
      <c r="F530" s="385"/>
      <c r="I530" s="490"/>
    </row>
    <row r="531" spans="1:9">
      <c r="A531" s="483"/>
      <c r="B531" s="483"/>
      <c r="C531" s="483"/>
      <c r="D531" s="385"/>
      <c r="E531" s="96" t="s">
        <v>1903</v>
      </c>
      <c r="I531" s="490"/>
    </row>
    <row r="532" spans="1:9">
      <c r="A532" s="483"/>
      <c r="B532" s="483"/>
      <c r="D532" s="1280" t="s">
        <v>2059</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2755</v>
      </c>
      <c r="C536" s="483"/>
      <c r="D536" s="1301" t="s">
        <v>2060</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1051</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1052</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1080</v>
      </c>
      <c r="E546" s="1299"/>
      <c r="F546" s="1299"/>
      <c r="I546" s="490"/>
    </row>
    <row r="547" spans="1:9">
      <c r="C547" s="487"/>
      <c r="D547" s="446"/>
      <c r="E547" s="446"/>
      <c r="F547" s="446"/>
      <c r="I547" s="490"/>
    </row>
    <row r="548" spans="1:9" ht="13.7" customHeight="1">
      <c r="A548" s="484"/>
      <c r="B548" s="485" t="s">
        <v>2754</v>
      </c>
      <c r="C548" s="487"/>
      <c r="D548" s="1299" t="s">
        <v>885</v>
      </c>
      <c r="E548" s="1299"/>
      <c r="F548" s="1299"/>
      <c r="I548" s="490"/>
    </row>
    <row r="549" spans="1:9" ht="13.7" customHeight="1">
      <c r="A549" s="487"/>
      <c r="B549" s="487"/>
      <c r="C549" s="487"/>
      <c r="D549" s="446"/>
      <c r="I549" s="490"/>
    </row>
    <row r="550" spans="1:9" ht="14.25">
      <c r="A550" s="484"/>
      <c r="B550" s="485" t="s">
        <v>2754</v>
      </c>
      <c r="C550" s="487"/>
      <c r="D550" s="1301" t="s">
        <v>1081</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2754</v>
      </c>
      <c r="C553" s="487"/>
      <c r="D553" s="1301" t="s">
        <v>1082</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2754</v>
      </c>
      <c r="C556" s="487"/>
      <c r="D556" s="1301" t="s">
        <v>1083</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2754</v>
      </c>
      <c r="C559" s="487"/>
      <c r="D559" s="1301" t="s">
        <v>1084</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2755</v>
      </c>
      <c r="C563" s="487"/>
      <c r="D563" s="1301" t="s">
        <v>2245</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2754</v>
      </c>
      <c r="C566" s="487"/>
      <c r="D566" s="1301" t="s">
        <v>1085</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2754</v>
      </c>
      <c r="C569" s="487"/>
      <c r="D569" s="1299" t="s">
        <v>1086</v>
      </c>
      <c r="E569" s="1299"/>
      <c r="F569" s="1299"/>
      <c r="I569" s="490"/>
    </row>
    <row r="570" spans="1:9">
      <c r="A570" s="490"/>
      <c r="B570" s="490"/>
      <c r="C570" s="487"/>
      <c r="D570" s="1299" t="s">
        <v>1905</v>
      </c>
      <c r="E570" s="1299"/>
      <c r="F570" s="1299"/>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2754</v>
      </c>
      <c r="C573" s="487"/>
      <c r="D573" s="1299" t="s">
        <v>1087</v>
      </c>
      <c r="E573" s="1299"/>
      <c r="F573" s="1299"/>
      <c r="I573" s="490"/>
    </row>
    <row r="574" spans="1:9">
      <c r="C574" s="487"/>
      <c r="D574" s="1301" t="s">
        <v>1088</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2754</v>
      </c>
      <c r="C578" s="487"/>
      <c r="D578" s="1301" t="s">
        <v>2061</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1053</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1066</v>
      </c>
      <c r="E586" s="1313"/>
      <c r="F586" s="1313"/>
      <c r="I586" s="490"/>
    </row>
    <row r="587" spans="1:9">
      <c r="A587" s="402"/>
      <c r="B587" s="402"/>
      <c r="C587" s="483"/>
      <c r="D587" s="499"/>
      <c r="I587" s="490"/>
    </row>
    <row r="588" spans="1:9">
      <c r="A588" s="483"/>
      <c r="B588" s="485" t="s">
        <v>2754</v>
      </c>
      <c r="D588" s="1313" t="s">
        <v>889</v>
      </c>
      <c r="E588" s="1313"/>
      <c r="F588" s="1313"/>
      <c r="I588" s="490"/>
    </row>
    <row r="589" spans="1:9">
      <c r="A589" s="490"/>
      <c r="B589" s="490"/>
      <c r="D589" s="476"/>
      <c r="I589" s="490"/>
    </row>
    <row r="590" spans="1:9">
      <c r="A590" s="490"/>
      <c r="B590" s="485" t="s">
        <v>2754</v>
      </c>
      <c r="D590" s="1313" t="s">
        <v>2062</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2755</v>
      </c>
      <c r="D594" s="1313" t="s">
        <v>1067</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2754</v>
      </c>
      <c r="D599" s="1313" t="s">
        <v>2063</v>
      </c>
      <c r="E599" s="1313"/>
      <c r="F599" s="1313"/>
      <c r="I599" s="490"/>
    </row>
    <row r="600" spans="1:9">
      <c r="A600" s="490"/>
      <c r="B600" s="490"/>
      <c r="D600" s="1313"/>
      <c r="E600" s="1313"/>
      <c r="F600" s="1313"/>
      <c r="I600" s="490"/>
    </row>
    <row r="601" spans="1:9">
      <c r="A601" s="490"/>
      <c r="B601" s="490"/>
      <c r="D601" s="499"/>
      <c r="I601" s="490"/>
    </row>
    <row r="602" spans="1:9">
      <c r="A602" s="490"/>
      <c r="B602" s="485" t="s">
        <v>2755</v>
      </c>
      <c r="D602" s="1313" t="s">
        <v>1068</v>
      </c>
      <c r="E602" s="1313"/>
      <c r="F602" s="1313"/>
      <c r="I602" s="490"/>
    </row>
    <row r="603" spans="1:9">
      <c r="A603" s="490"/>
      <c r="B603" s="490"/>
      <c r="D603" s="1313"/>
      <c r="E603" s="1313"/>
      <c r="F603" s="1313"/>
      <c r="I603" s="490"/>
    </row>
    <row r="604" spans="1:9" ht="14.25">
      <c r="A604" s="484"/>
      <c r="B604" s="484"/>
      <c r="D604" s="499"/>
      <c r="I604" s="490"/>
    </row>
    <row r="605" spans="1:9">
      <c r="A605" s="1308" t="s">
        <v>1054</v>
      </c>
      <c r="B605" s="1308"/>
      <c r="C605" s="1308"/>
      <c r="D605" s="1308"/>
      <c r="E605" s="1308"/>
      <c r="F605" s="1308"/>
      <c r="G605" s="1308"/>
      <c r="H605" s="1028"/>
      <c r="I605" s="1153"/>
    </row>
    <row r="606" spans="1:9">
      <c r="I606" s="490"/>
    </row>
    <row r="607" spans="1:9">
      <c r="D607" s="1309" t="s">
        <v>1106</v>
      </c>
      <c r="E607" s="1309"/>
      <c r="F607" s="1309"/>
      <c r="I607" s="490"/>
    </row>
    <row r="608" spans="1:9">
      <c r="D608" s="1281" t="s">
        <v>1107</v>
      </c>
      <c r="E608" s="1281"/>
      <c r="F608" s="1281"/>
      <c r="I608" s="490"/>
    </row>
    <row r="609" spans="1:9">
      <c r="D609" s="444"/>
      <c r="I609" s="490"/>
    </row>
    <row r="610" spans="1:9" ht="14.25" customHeight="1">
      <c r="A610" s="484"/>
      <c r="B610" s="485" t="s">
        <v>2754</v>
      </c>
      <c r="D610" s="1314" t="s">
        <v>1906</v>
      </c>
      <c r="E610" s="1314"/>
      <c r="F610" s="1314"/>
      <c r="I610" s="490"/>
    </row>
    <row r="611" spans="1:9">
      <c r="D611" s="1314"/>
      <c r="E611" s="1314"/>
      <c r="F611" s="1314"/>
      <c r="I611" s="490"/>
    </row>
    <row r="612" spans="1:9">
      <c r="D612" s="385"/>
      <c r="E612" s="1036" t="s">
        <v>1907</v>
      </c>
      <c r="F612" s="385"/>
      <c r="I612" s="490"/>
    </row>
    <row r="613" spans="1:9">
      <c r="I613" s="490"/>
    </row>
    <row r="614" spans="1:9">
      <c r="A614" s="1308" t="s">
        <v>1055</v>
      </c>
      <c r="B614" s="1308"/>
      <c r="C614" s="1308"/>
      <c r="D614" s="1308"/>
      <c r="E614" s="1308"/>
      <c r="F614" s="1308"/>
      <c r="G614" s="1308"/>
      <c r="H614" s="1028"/>
      <c r="I614" s="1153"/>
    </row>
    <row r="615" spans="1:9">
      <c r="A615" s="446"/>
      <c r="B615" s="446"/>
      <c r="I615" s="490"/>
    </row>
    <row r="616" spans="1:9">
      <c r="A616" s="482"/>
      <c r="B616" s="482"/>
      <c r="C616" s="482"/>
      <c r="D616" s="1298" t="s">
        <v>1108</v>
      </c>
      <c r="E616" s="1298"/>
      <c r="F616" s="1298"/>
      <c r="I616" s="490"/>
    </row>
    <row r="617" spans="1:9">
      <c r="A617" s="482"/>
      <c r="B617" s="482"/>
      <c r="C617" s="482"/>
      <c r="D617" s="1298"/>
      <c r="E617" s="1298"/>
      <c r="F617" s="1298"/>
      <c r="I617" s="490"/>
    </row>
    <row r="618" spans="1:9">
      <c r="C618" s="483"/>
      <c r="D618" s="1281" t="s">
        <v>1109</v>
      </c>
      <c r="E618" s="1281"/>
      <c r="F618" s="1281"/>
      <c r="I618" s="490"/>
    </row>
    <row r="619" spans="1:9">
      <c r="C619" s="483"/>
      <c r="D619" s="444"/>
      <c r="E619" s="444"/>
      <c r="F619" s="444"/>
      <c r="I619" s="490"/>
    </row>
    <row r="620" spans="1:9" ht="12.75" customHeight="1">
      <c r="A620" s="490"/>
      <c r="B620" s="485" t="s">
        <v>2754</v>
      </c>
      <c r="D620" s="1307" t="s">
        <v>1110</v>
      </c>
      <c r="E620" s="1307"/>
      <c r="F620" s="1307"/>
      <c r="I620" s="490"/>
    </row>
    <row r="621" spans="1:9">
      <c r="D621" s="1307"/>
      <c r="E621" s="1307"/>
      <c r="F621" s="1307"/>
      <c r="I621" s="490"/>
    </row>
    <row r="622" spans="1:9">
      <c r="I622" s="490"/>
    </row>
    <row r="623" spans="1:9">
      <c r="B623" s="485" t="s">
        <v>2754</v>
      </c>
      <c r="D623" s="1307" t="s">
        <v>1111</v>
      </c>
      <c r="E623" s="1307"/>
      <c r="F623" s="1307"/>
      <c r="I623" s="490"/>
    </row>
    <row r="624" spans="1:9">
      <c r="C624" s="500"/>
      <c r="D624" s="1307"/>
      <c r="E624" s="1307"/>
      <c r="F624" s="1307"/>
      <c r="I624" s="490"/>
    </row>
    <row r="625" spans="1:9">
      <c r="C625" s="500"/>
      <c r="I625" s="490"/>
    </row>
    <row r="626" spans="1:9">
      <c r="B626" s="485" t="s">
        <v>2755</v>
      </c>
      <c r="C626" s="500"/>
      <c r="D626" s="1307" t="s">
        <v>1112</v>
      </c>
      <c r="E626" s="1307"/>
      <c r="F626" s="1307"/>
      <c r="I626" s="490"/>
    </row>
    <row r="627" spans="1:9">
      <c r="C627" s="500"/>
      <c r="D627" s="1307"/>
      <c r="E627" s="1307"/>
      <c r="F627" s="1307"/>
      <c r="I627" s="500"/>
    </row>
    <row r="628" spans="1:9">
      <c r="C628" s="500"/>
      <c r="I628" s="490"/>
    </row>
    <row r="629" spans="1:9">
      <c r="A629" s="1308" t="s">
        <v>1056</v>
      </c>
      <c r="B629" s="1308"/>
      <c r="C629" s="1308"/>
      <c r="D629" s="1308"/>
      <c r="E629" s="1308"/>
      <c r="F629" s="1308"/>
      <c r="G629" s="1308"/>
      <c r="H629" s="1028"/>
      <c r="I629" s="1153"/>
    </row>
    <row r="630" spans="1:9">
      <c r="A630" s="482"/>
      <c r="B630" s="482"/>
      <c r="C630" s="482"/>
      <c r="I630" s="490"/>
    </row>
    <row r="631" spans="1:9">
      <c r="C631" s="490"/>
      <c r="D631" s="1309" t="s">
        <v>1113</v>
      </c>
      <c r="E631" s="1309"/>
      <c r="F631" s="1309"/>
      <c r="I631" s="490"/>
    </row>
    <row r="632" spans="1:9">
      <c r="A632" s="490"/>
      <c r="B632" s="490"/>
      <c r="D632" s="404"/>
      <c r="I632" s="490"/>
    </row>
    <row r="633" spans="1:9" ht="14.25" customHeight="1">
      <c r="A633" s="484"/>
      <c r="B633" s="485" t="s">
        <v>2754</v>
      </c>
      <c r="D633" s="1314" t="s">
        <v>2064</v>
      </c>
      <c r="E633" s="1314"/>
      <c r="F633" s="1314"/>
      <c r="I633" s="490"/>
    </row>
    <row r="634" spans="1:9">
      <c r="D634" s="1314"/>
      <c r="E634" s="1314"/>
      <c r="F634" s="1314"/>
      <c r="I634" s="490"/>
    </row>
    <row r="635" spans="1:9">
      <c r="D635" s="385"/>
      <c r="E635" s="1036" t="s">
        <v>1909</v>
      </c>
      <c r="F635" s="385"/>
      <c r="I635" s="490"/>
    </row>
    <row r="636" spans="1:9">
      <c r="D636" s="1301" t="s">
        <v>1908</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2755</v>
      </c>
      <c r="D640" s="1301" t="s">
        <v>1114</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2755</v>
      </c>
      <c r="C643" s="487"/>
      <c r="D643" s="1301" t="s">
        <v>1224</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2755</v>
      </c>
      <c r="C646" s="487"/>
      <c r="D646" s="1299" t="s">
        <v>1115</v>
      </c>
      <c r="E646" s="1299"/>
      <c r="F646" s="1299"/>
      <c r="I646" s="490"/>
    </row>
    <row r="647" spans="1:9">
      <c r="A647" s="487"/>
      <c r="B647" s="487"/>
      <c r="C647" s="487"/>
      <c r="D647" s="446"/>
      <c r="E647" s="446"/>
      <c r="F647" s="446"/>
      <c r="I647" s="490"/>
    </row>
    <row r="648" spans="1:9">
      <c r="A648" s="1308" t="s">
        <v>1057</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1145</v>
      </c>
      <c r="E650" s="1309"/>
      <c r="F650" s="1309"/>
      <c r="I650" s="490"/>
    </row>
    <row r="651" spans="1:9">
      <c r="A651" s="483"/>
      <c r="B651" s="483"/>
      <c r="C651" s="483"/>
      <c r="D651" s="1299" t="s">
        <v>1146</v>
      </c>
      <c r="E651" s="1299"/>
      <c r="F651" s="1299"/>
      <c r="I651" s="490"/>
    </row>
    <row r="652" spans="1:9">
      <c r="A652" s="483"/>
      <c r="B652" s="483"/>
      <c r="C652" s="483"/>
      <c r="D652" s="446"/>
      <c r="E652" s="446"/>
      <c r="F652" s="446"/>
      <c r="I652" s="490"/>
    </row>
    <row r="653" spans="1:9" ht="12.75" customHeight="1">
      <c r="B653" s="485" t="s">
        <v>2755</v>
      </c>
      <c r="C653" s="487"/>
      <c r="D653" s="1301" t="s">
        <v>1280</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2755</v>
      </c>
      <c r="C658" s="487"/>
      <c r="D658" s="1301" t="s">
        <v>1282</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2755</v>
      </c>
      <c r="C664" s="487"/>
      <c r="D664" s="1301" t="s">
        <v>1281</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2755</v>
      </c>
      <c r="C669" s="487"/>
      <c r="D669" s="1301" t="s">
        <v>2065</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1058</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1075</v>
      </c>
      <c r="E683" s="1299"/>
      <c r="F683" s="1299"/>
      <c r="H683" s="501"/>
      <c r="I683" s="483"/>
      <c r="J683" s="501"/>
      <c r="K683" s="501"/>
    </row>
    <row r="684" spans="1:11">
      <c r="A684" s="483"/>
      <c r="B684" s="483"/>
      <c r="C684" s="483"/>
      <c r="H684" s="501"/>
      <c r="I684" s="483"/>
      <c r="J684" s="501"/>
      <c r="K684" s="501"/>
    </row>
    <row r="685" spans="1:11" ht="14.25">
      <c r="A685" s="484"/>
      <c r="B685" s="485" t="s">
        <v>2755</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2755</v>
      </c>
      <c r="C690" s="483"/>
      <c r="D690" s="1301" t="s">
        <v>2066</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2754</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2755</v>
      </c>
      <c r="C698" s="483"/>
      <c r="D698" s="1299" t="s">
        <v>2467</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25">
      <c r="A702" s="484"/>
      <c r="B702" s="485" t="s">
        <v>2755</v>
      </c>
      <c r="C702" s="483"/>
      <c r="D702" s="1301" t="s">
        <v>2242</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2755</v>
      </c>
      <c r="C709" s="483"/>
      <c r="D709" s="1301" t="s">
        <v>1200</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2755</v>
      </c>
      <c r="C712" s="483"/>
      <c r="D712" s="1301" t="s">
        <v>1076</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2755</v>
      </c>
      <c r="C725" s="483"/>
      <c r="D725" s="1301" t="s">
        <v>2460</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2755</v>
      </c>
      <c r="C729" s="483"/>
      <c r="D729" s="1301" t="s">
        <v>2459</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2755</v>
      </c>
      <c r="C733" s="483"/>
      <c r="D733" s="1301" t="s">
        <v>2458</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2755</v>
      </c>
      <c r="C738" s="483"/>
      <c r="D738" s="1301" t="s">
        <v>1077</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2755</v>
      </c>
      <c r="C744" s="483"/>
      <c r="D744" s="1301" t="s">
        <v>2144</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2073</v>
      </c>
      <c r="E751" s="1302"/>
      <c r="F751" s="1302"/>
      <c r="H751" s="501"/>
      <c r="I751" s="483"/>
      <c r="J751" s="501"/>
      <c r="K751" s="501"/>
    </row>
    <row r="752" spans="1:11">
      <c r="A752" s="483"/>
      <c r="B752" s="483"/>
      <c r="C752" s="483"/>
      <c r="D752" s="341"/>
      <c r="H752" s="501"/>
      <c r="I752" s="483"/>
      <c r="J752" s="501"/>
      <c r="K752" s="501"/>
    </row>
    <row r="753" spans="1:11">
      <c r="A753" s="1300" t="s">
        <v>1059</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1069</v>
      </c>
      <c r="E755" s="1317"/>
      <c r="F755" s="1317"/>
      <c r="G755" s="501"/>
      <c r="H755" s="501"/>
      <c r="I755" s="483"/>
      <c r="J755" s="501"/>
      <c r="K755" s="501"/>
    </row>
    <row r="756" spans="1:11">
      <c r="A756" s="483"/>
      <c r="B756" s="483"/>
      <c r="C756" s="483"/>
      <c r="D756" s="1303" t="s">
        <v>1070</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2754</v>
      </c>
      <c r="D758" s="1301" t="s">
        <v>1071</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2754</v>
      </c>
      <c r="C765" s="504"/>
      <c r="D765" s="1301" t="s">
        <v>1240</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2754</v>
      </c>
      <c r="C770" s="504"/>
      <c r="D770" s="1307" t="s">
        <v>1241</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2755</v>
      </c>
      <c r="D774" s="1301" t="s">
        <v>1197</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2755</v>
      </c>
      <c r="D777" s="1301" t="s">
        <v>1214</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1853</v>
      </c>
      <c r="E783" s="1315"/>
      <c r="F783" s="1315"/>
      <c r="G783" s="3"/>
      <c r="I783" s="490"/>
    </row>
    <row r="784" spans="1:11">
      <c r="A784" s="57"/>
      <c r="B784" s="57"/>
      <c r="C784" s="354"/>
      <c r="D784" s="1318" t="s">
        <v>1754</v>
      </c>
      <c r="E784" s="1318"/>
      <c r="F784" s="1318"/>
      <c r="G784" s="3"/>
      <c r="I784" s="490"/>
    </row>
    <row r="785" spans="1:9">
      <c r="A785" s="57"/>
      <c r="B785" s="57"/>
      <c r="C785" s="354"/>
      <c r="D785" s="447"/>
      <c r="E785" s="447"/>
      <c r="F785" s="447"/>
      <c r="G785" s="3"/>
      <c r="I785" s="490"/>
    </row>
    <row r="786" spans="1:9">
      <c r="A786" s="57"/>
      <c r="B786" s="485" t="s">
        <v>2754</v>
      </c>
      <c r="C786" s="354"/>
      <c r="D786" s="1294" t="s">
        <v>1755</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2755</v>
      </c>
      <c r="C790" s="172"/>
      <c r="D790" s="1294" t="s">
        <v>1756</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2755</v>
      </c>
      <c r="C794" s="989"/>
      <c r="D794" s="1294" t="s">
        <v>1757</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2755</v>
      </c>
      <c r="C798" s="989"/>
      <c r="D798" s="1294" t="s">
        <v>1758</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1801</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2755</v>
      </c>
      <c r="C808" s="989"/>
      <c r="D808" s="1294" t="s">
        <v>1759</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2755</v>
      </c>
      <c r="C815" s="989"/>
      <c r="D815" s="1294" t="s">
        <v>1760</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2755</v>
      </c>
      <c r="C822" s="989"/>
      <c r="D822" s="1289" t="s">
        <v>1761</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1762</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1802</v>
      </c>
      <c r="E831" s="1305"/>
      <c r="F831" s="130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2754</v>
      </c>
      <c r="C834" s="989"/>
      <c r="D834" s="1262" t="s">
        <v>1764</v>
      </c>
      <c r="E834" s="1262"/>
      <c r="F834" s="1262"/>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2074</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2754</v>
      </c>
      <c r="C848" s="989"/>
      <c r="D848" s="1262" t="s">
        <v>1765</v>
      </c>
      <c r="E848" s="1262"/>
      <c r="F848" s="1262"/>
      <c r="G848" s="3"/>
      <c r="I848" s="490" t="s">
        <v>1881</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2755</v>
      </c>
      <c r="C852" s="989"/>
      <c r="D852" s="1305" t="s">
        <v>1766</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2067</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2755</v>
      </c>
      <c r="C861" s="989"/>
      <c r="D861" s="1262" t="s">
        <v>1767</v>
      </c>
      <c r="E861" s="1262"/>
      <c r="F861" s="1262"/>
      <c r="G861" s="3"/>
      <c r="I861" s="490" t="s">
        <v>1879</v>
      </c>
    </row>
    <row r="862" spans="1:9" ht="12.75" customHeight="1">
      <c r="A862" s="175"/>
      <c r="B862" s="175"/>
      <c r="C862" s="989"/>
      <c r="D862" s="1262" t="s">
        <v>1768</v>
      </c>
      <c r="E862" s="1262"/>
      <c r="F862" s="1262"/>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2755</v>
      </c>
      <c r="C865" s="989"/>
      <c r="D865" s="1262" t="s">
        <v>1769</v>
      </c>
      <c r="E865" s="1262"/>
      <c r="F865" s="1262"/>
      <c r="G865" s="3"/>
      <c r="I865" s="490" t="s">
        <v>1882</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1803</v>
      </c>
      <c r="E872" s="1295"/>
      <c r="F872" s="1295"/>
      <c r="G872" s="988"/>
      <c r="I872" s="490"/>
    </row>
    <row r="873" spans="1:9" ht="12.75" customHeight="1">
      <c r="A873" s="354"/>
      <c r="B873" s="354"/>
      <c r="C873" s="174"/>
      <c r="D873" s="1304" t="s">
        <v>1771</v>
      </c>
      <c r="E873" s="1304"/>
      <c r="F873" s="1304"/>
      <c r="G873" s="988"/>
      <c r="I873" s="490"/>
    </row>
    <row r="874" spans="1:9" ht="12.75" customHeight="1">
      <c r="A874" s="354"/>
      <c r="B874" s="354"/>
      <c r="C874" s="174"/>
      <c r="D874" s="995"/>
      <c r="E874" s="995"/>
      <c r="F874" s="995"/>
      <c r="G874" s="988"/>
      <c r="I874" s="490"/>
    </row>
    <row r="875" spans="1:9" ht="12.75" customHeight="1">
      <c r="A875" s="175"/>
      <c r="B875" s="485" t="s">
        <v>2754</v>
      </c>
      <c r="C875" s="354"/>
      <c r="D875" s="1288" t="s">
        <v>1772</v>
      </c>
      <c r="E875" s="1288"/>
      <c r="F875" s="1288"/>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2754</v>
      </c>
      <c r="C878" s="354"/>
      <c r="D878" s="1262" t="s">
        <v>1773</v>
      </c>
      <c r="E878" s="1311"/>
      <c r="F878" s="1311"/>
      <c r="G878" s="3"/>
      <c r="I878" s="490" t="s">
        <v>1882</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2755</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2067</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2755</v>
      </c>
      <c r="C890" s="354"/>
      <c r="D890" s="1287" t="s">
        <v>1767</v>
      </c>
      <c r="E890" s="1287"/>
      <c r="F890" s="1287"/>
      <c r="G890" s="988"/>
      <c r="I890" s="490"/>
    </row>
    <row r="891" spans="1:9" ht="12.75" customHeight="1">
      <c r="A891" s="175"/>
      <c r="B891" s="175"/>
      <c r="C891" s="354"/>
      <c r="D891" s="1287" t="s">
        <v>1768</v>
      </c>
      <c r="E891" s="1287"/>
      <c r="F891" s="1287"/>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2755</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1804</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1810</v>
      </c>
      <c r="E901" s="1283"/>
      <c r="F901" s="1283"/>
      <c r="G901" s="57"/>
      <c r="I901" s="490"/>
    </row>
    <row r="902" spans="1:9" ht="12.75" customHeight="1">
      <c r="A902" s="57"/>
      <c r="B902" s="57"/>
      <c r="C902" s="57"/>
      <c r="D902" s="981"/>
      <c r="E902" s="981"/>
      <c r="F902" s="981"/>
      <c r="G902" s="57"/>
      <c r="I902" s="490"/>
    </row>
    <row r="903" spans="1:9" ht="12.75" customHeight="1">
      <c r="A903" s="57"/>
      <c r="B903" s="485" t="s">
        <v>2754</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1805</v>
      </c>
      <c r="E905" s="1283"/>
      <c r="F905" s="1283"/>
      <c r="G905" s="988"/>
      <c r="I905" s="490"/>
    </row>
    <row r="906" spans="1:9" ht="12.75" customHeight="1">
      <c r="A906" s="172"/>
      <c r="B906" s="172"/>
      <c r="C906" s="172"/>
      <c r="D906" s="1288" t="s">
        <v>1775</v>
      </c>
      <c r="E906" s="1288"/>
      <c r="F906" s="1288"/>
      <c r="G906" s="988"/>
      <c r="I906" s="490"/>
    </row>
    <row r="907" spans="1:9" ht="12.75" customHeight="1">
      <c r="A907" s="989"/>
      <c r="B907" s="989"/>
      <c r="C907" s="989"/>
      <c r="D907" s="2"/>
      <c r="E907" s="988"/>
      <c r="F907" s="988"/>
      <c r="G907" s="988"/>
      <c r="I907" s="490"/>
    </row>
    <row r="908" spans="1:9" ht="12.75" customHeight="1">
      <c r="A908" s="175"/>
      <c r="B908" s="485" t="s">
        <v>2754</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2755</v>
      </c>
      <c r="C913" s="174"/>
      <c r="D913" s="1273" t="s">
        <v>1776</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2755</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2755</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2755</v>
      </c>
      <c r="C930" s="989"/>
      <c r="D930" s="1288" t="s">
        <v>2068</v>
      </c>
      <c r="E930" s="1288"/>
      <c r="F930" s="1288"/>
      <c r="G930" s="988"/>
      <c r="I930" s="490"/>
    </row>
    <row r="931" spans="1:9" ht="12.75" customHeight="1">
      <c r="A931" s="989"/>
      <c r="B931" s="989"/>
      <c r="C931" s="989"/>
      <c r="D931" s="118"/>
      <c r="E931" s="988"/>
      <c r="F931" s="988"/>
      <c r="G931" s="988"/>
      <c r="I931" s="490"/>
    </row>
    <row r="932" spans="1:9" ht="12.75" customHeight="1">
      <c r="A932" s="989"/>
      <c r="B932" s="485" t="s">
        <v>2755</v>
      </c>
      <c r="C932" s="989"/>
      <c r="D932" s="1288" t="s">
        <v>2069</v>
      </c>
      <c r="E932" s="1288"/>
      <c r="F932" s="1288"/>
      <c r="G932" s="988"/>
      <c r="I932" s="490"/>
    </row>
    <row r="933" spans="1:9" ht="12.75" customHeight="1">
      <c r="A933" s="174"/>
      <c r="B933" s="174"/>
      <c r="C933" s="174"/>
      <c r="D933" s="2"/>
      <c r="E933" s="3"/>
      <c r="F933" s="988"/>
      <c r="G933" s="988"/>
      <c r="I933" s="490"/>
    </row>
    <row r="934" spans="1:9" ht="12.75" customHeight="1">
      <c r="A934" s="997"/>
      <c r="B934" s="485" t="s">
        <v>2754</v>
      </c>
      <c r="C934" s="998"/>
      <c r="D934" s="1273" t="s">
        <v>1777</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2754</v>
      </c>
      <c r="C944" s="174"/>
      <c r="D944" s="1297" t="s">
        <v>1885</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2755</v>
      </c>
      <c r="C952" s="174"/>
      <c r="D952" s="1272" t="s">
        <v>2136</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2755</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2755</v>
      </c>
      <c r="C964" s="174"/>
      <c r="D964" s="1273" t="s">
        <v>1884</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1783</v>
      </c>
      <c r="E969" s="1295"/>
      <c r="F969" s="1295"/>
      <c r="G969" s="3"/>
      <c r="I969" s="490"/>
    </row>
    <row r="970" spans="1:9" ht="12.75" customHeight="1">
      <c r="A970" s="175"/>
      <c r="B970" s="485" t="s">
        <v>2754</v>
      </c>
      <c r="C970" s="354"/>
      <c r="D970" s="1288" t="s">
        <v>1806</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1784</v>
      </c>
      <c r="E972" s="1295"/>
      <c r="F972" s="1295"/>
      <c r="G972"/>
      <c r="I972" s="490"/>
    </row>
    <row r="973" spans="1:9" ht="12.75" customHeight="1">
      <c r="A973" s="175"/>
      <c r="B973" s="485" t="s">
        <v>2755</v>
      </c>
      <c r="C973" s="354"/>
      <c r="D973" s="1262" t="s">
        <v>2070</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1785</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1807</v>
      </c>
      <c r="E991" s="1295"/>
      <c r="F991" s="1295"/>
      <c r="G991" s="3"/>
      <c r="I991" s="490"/>
    </row>
    <row r="992" spans="1:9" ht="12.75" customHeight="1">
      <c r="A992" s="172"/>
      <c r="B992" s="172"/>
      <c r="C992" s="172"/>
      <c r="D992" s="1288" t="s">
        <v>1786</v>
      </c>
      <c r="E992" s="1288"/>
      <c r="F992" s="1288"/>
      <c r="G992" s="3"/>
      <c r="I992" s="490"/>
    </row>
    <row r="993" spans="1:9" ht="12.75" customHeight="1">
      <c r="A993" s="172"/>
      <c r="B993" s="172"/>
      <c r="C993" s="172"/>
      <c r="D993" s="3"/>
      <c r="E993" s="3"/>
      <c r="F993" s="988"/>
      <c r="G993"/>
      <c r="I993" s="490"/>
    </row>
    <row r="994" spans="1:9" ht="12.75" customHeight="1">
      <c r="A994" s="354"/>
      <c r="B994" s="485" t="s">
        <v>2754</v>
      </c>
      <c r="C994" s="354"/>
      <c r="D994" s="1296" t="s">
        <v>1914</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1915</v>
      </c>
      <c r="F996" s="1038"/>
      <c r="G996"/>
      <c r="I996" s="490"/>
    </row>
    <row r="997" spans="1:9" ht="12.75" customHeight="1">
      <c r="A997" s="354"/>
      <c r="B997" s="354"/>
      <c r="C997" s="354"/>
      <c r="D997" s="1267" t="s">
        <v>1913</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2755</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2755</v>
      </c>
      <c r="C1007" s="174"/>
      <c r="D1007" s="1262" t="s">
        <v>2228</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2755</v>
      </c>
      <c r="C1010" s="354"/>
      <c r="D1010" s="1288" t="s">
        <v>1788</v>
      </c>
      <c r="E1010" s="1288"/>
      <c r="F1010" s="1288"/>
      <c r="G1010"/>
      <c r="I1010" s="490"/>
    </row>
    <row r="1011" spans="1:9" ht="12.75" customHeight="1">
      <c r="A1011" s="354"/>
      <c r="B1011" s="354"/>
      <c r="C1011" s="354"/>
      <c r="D1011" s="3"/>
      <c r="E1011" s="3"/>
      <c r="F1011" s="3"/>
      <c r="G1011"/>
      <c r="I1011" s="490"/>
    </row>
    <row r="1012" spans="1:9" ht="12.75" customHeight="1">
      <c r="A1012" s="175"/>
      <c r="B1012" s="485" t="s">
        <v>2755</v>
      </c>
      <c r="C1012" s="354"/>
      <c r="D1012" s="1288" t="s">
        <v>1789</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2754</v>
      </c>
      <c r="C1014" s="354"/>
      <c r="D1014" s="1288" t="s">
        <v>1790</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2755</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2755</v>
      </c>
      <c r="C1019" s="1000"/>
      <c r="D1019" s="1294" t="s">
        <v>1792</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2754</v>
      </c>
      <c r="C1022" s="1000"/>
      <c r="D1022" s="1284" t="s">
        <v>1793</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2755</v>
      </c>
      <c r="C1024" s="354"/>
      <c r="D1024" s="1288" t="s">
        <v>1794</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2755</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1796</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1797</v>
      </c>
      <c r="E1031" s="1283"/>
      <c r="F1031" s="1283"/>
      <c r="G1031" s="3"/>
      <c r="I1031" s="490"/>
    </row>
    <row r="1032" spans="1:9" ht="12.75" customHeight="1">
      <c r="A1032" s="354"/>
      <c r="B1032" s="354"/>
      <c r="C1032" s="354"/>
      <c r="D1032" s="1284" t="s">
        <v>1798</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1812</v>
      </c>
      <c r="E1034" s="1283"/>
      <c r="F1034" s="1283"/>
      <c r="G1034" s="3"/>
      <c r="I1034" s="490"/>
    </row>
    <row r="1035" spans="1:9" ht="12.75" customHeight="1">
      <c r="A1035" s="354"/>
      <c r="B1035" s="485" t="s">
        <v>2754</v>
      </c>
      <c r="C1035" s="354"/>
      <c r="D1035" s="1284" t="s">
        <v>1270</v>
      </c>
      <c r="E1035" s="1284"/>
      <c r="F1035" s="1284"/>
      <c r="G1035" s="3"/>
      <c r="I1035" s="490"/>
    </row>
    <row r="1036" spans="1:9" ht="12.75" customHeight="1">
      <c r="A1036" s="354"/>
      <c r="B1036" s="175"/>
      <c r="C1036" s="354"/>
      <c r="D1036" s="1284" t="s">
        <v>1799</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1808</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1271</v>
      </c>
      <c r="E1040" s="1282"/>
      <c r="F1040" s="1282"/>
      <c r="G1040" s="3"/>
      <c r="I1040" s="490"/>
    </row>
    <row r="1041" spans="1:9" ht="12.75" hidden="1" customHeight="1">
      <c r="A1041" s="118"/>
      <c r="B1041" s="485" t="s">
        <v>307</v>
      </c>
      <c r="D1041" s="1281" t="s">
        <v>1270</v>
      </c>
      <c r="E1041" s="1281"/>
      <c r="F1041" s="1281"/>
      <c r="G1041" s="3"/>
      <c r="I1041" s="490"/>
    </row>
    <row r="1042" spans="1:9" ht="12.75" hidden="1" customHeight="1">
      <c r="A1042" s="118"/>
      <c r="B1042" s="402"/>
      <c r="D1042" s="1281" t="s">
        <v>1809</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1065</v>
      </c>
      <c r="E1044" s="1286"/>
      <c r="F1044" s="1286"/>
      <c r="G1044" s="3"/>
      <c r="I1044" s="490"/>
    </row>
    <row r="1045" spans="1:9" ht="12.75" customHeight="1">
      <c r="A1045" s="319"/>
      <c r="B1045" s="319"/>
      <c r="C1045" s="319"/>
      <c r="D1045" s="1287" t="s">
        <v>2246</v>
      </c>
      <c r="E1045" s="1287"/>
      <c r="F1045" s="1287"/>
      <c r="G1045" s="98"/>
      <c r="I1045" s="490"/>
    </row>
    <row r="1046" spans="1:9" ht="12.75" customHeight="1">
      <c r="A1046" s="175"/>
      <c r="B1046" s="485" t="s">
        <v>2755</v>
      </c>
      <c r="C1046" s="354"/>
      <c r="D1046" s="1287" t="s">
        <v>984</v>
      </c>
      <c r="E1046" s="1287"/>
      <c r="F1046" s="1287"/>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5" t="s">
        <v>1829</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2755</v>
      </c>
      <c r="C1054" s="402"/>
      <c r="D1054" s="1291" t="s">
        <v>1813</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2754</v>
      </c>
      <c r="C1062" s="402"/>
      <c r="D1062" s="402" t="s">
        <v>1811</v>
      </c>
      <c r="I1062" s="490"/>
    </row>
    <row r="1063" spans="1:9">
      <c r="A1063" s="402"/>
      <c r="B1063" s="402"/>
      <c r="C1063" s="402"/>
      <c r="I1063" s="490"/>
    </row>
    <row r="1064" spans="1:9">
      <c r="A1064" s="402"/>
      <c r="B1064" s="485" t="s">
        <v>2755</v>
      </c>
      <c r="C1064" s="402"/>
      <c r="D1064" s="1291" t="s">
        <v>1817</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1818</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2754</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2755</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2755</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2755</v>
      </c>
      <c r="C1087" s="402"/>
      <c r="D1087" s="1290" t="s">
        <v>1820</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1825</v>
      </c>
      <c r="I1092" s="490"/>
    </row>
    <row r="1093" spans="1:9">
      <c r="A1093" s="402"/>
      <c r="B1093" s="402"/>
      <c r="C1093" s="402"/>
      <c r="I1093" s="490"/>
    </row>
    <row r="1094" spans="1:9">
      <c r="A1094" s="402"/>
      <c r="B1094" s="485" t="s">
        <v>2755</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1830</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2755</v>
      </c>
      <c r="C1101" s="402"/>
      <c r="D1101" s="1292" t="s">
        <v>1928</v>
      </c>
      <c r="E1101" s="1292"/>
      <c r="F1101" s="1292"/>
      <c r="I1101" s="490"/>
    </row>
    <row r="1102" spans="1:9">
      <c r="A1102" s="402"/>
      <c r="B1102" s="402"/>
      <c r="C1102" s="402"/>
      <c r="D1102" s="1292"/>
      <c r="E1102" s="1292"/>
      <c r="F1102" s="1292"/>
      <c r="I1102" s="490"/>
    </row>
    <row r="1103" spans="1:9">
      <c r="A1103" s="402"/>
      <c r="B1103" s="402"/>
      <c r="C1103" s="402"/>
      <c r="D1103" s="1293" t="s">
        <v>2142</v>
      </c>
      <c r="E1103" s="1262"/>
      <c r="F1103" s="1262"/>
      <c r="I1103" s="490"/>
    </row>
    <row r="1104" spans="1:9">
      <c r="A1104" s="402"/>
      <c r="B1104" s="402"/>
      <c r="C1104" s="402"/>
      <c r="D1104" s="527"/>
      <c r="I1104" s="490"/>
    </row>
    <row r="1105" spans="1:9">
      <c r="A1105" s="402"/>
      <c r="B1105" s="485" t="s">
        <v>2755</v>
      </c>
      <c r="C1105" s="402"/>
      <c r="D1105" s="1290" t="s">
        <v>1831</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2755</v>
      </c>
      <c r="C1108" s="402"/>
      <c r="D1108" s="1290" t="s">
        <v>1886</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2755</v>
      </c>
      <c r="C1115" s="402"/>
      <c r="D1115" s="1290" t="s">
        <v>1832</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2754</v>
      </c>
      <c r="C1119" s="402"/>
      <c r="D1119" s="1267" t="s">
        <v>1887</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2755</v>
      </c>
      <c r="C1123" s="402"/>
      <c r="D1123" s="1262" t="s">
        <v>1888</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34" workbookViewId="0">
      <selection activeCell="AR176" sqref="AR17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2495</v>
      </c>
      <c r="BE1" s="3"/>
      <c r="BF1" s="3"/>
    </row>
    <row r="2" spans="1:58" ht="12.95" customHeight="1">
      <c r="BD2" s="3" t="s">
        <v>2496</v>
      </c>
      <c r="BE2" s="3" t="s">
        <v>2497</v>
      </c>
      <c r="BF2" s="3" t="s">
        <v>2498</v>
      </c>
    </row>
    <row r="3" spans="1:58" ht="12.95" customHeight="1">
      <c r="BD3" s="3" t="s">
        <v>2593</v>
      </c>
      <c r="BE3" t="str">
        <f>AC220</f>
        <v xml:space="preserve">Coastal (Monterey, Napa, Orange, San Benito, San Diego, San Luis Obispo, Santa Barbara, Sonoma, and Ventura Counties) </v>
      </c>
    </row>
    <row r="4" spans="1:58" ht="12.95" customHeight="1">
      <c r="BD4" s="3" t="s">
        <v>2505</v>
      </c>
      <c r="BE4" s="1246"/>
    </row>
    <row r="5" spans="1:58" ht="12.95" customHeight="1">
      <c r="BD5" s="3" t="s">
        <v>2506</v>
      </c>
      <c r="BE5">
        <f>SUMIF($AC$718:$AC$752,"&lt;=20%",$G$718:G$752)</f>
        <v>0</v>
      </c>
      <c r="BF5" s="3" t="s">
        <v>2511</v>
      </c>
    </row>
    <row r="6" spans="1:58" ht="12.95" customHeight="1">
      <c r="BD6" s="3" t="s">
        <v>2507</v>
      </c>
      <c r="BE6" s="1249">
        <f>SUMIF($AC$718:$AC$752,"&lt;=25%",$G$718:G$752)-SUM($BE$5:BE5)</f>
        <v>0</v>
      </c>
    </row>
    <row r="7" spans="1:58" ht="12.95" customHeight="1">
      <c r="BD7" s="1247" t="s">
        <v>2499</v>
      </c>
      <c r="BE7" s="1249">
        <f>SUMIF($AC$718:$AC$752,"&lt;=30%",$G$718:G$752)-SUM($BE$5:BE6)</f>
        <v>34</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2508</v>
      </c>
      <c r="BE8" s="1249">
        <f>SUMIF($AC$718:$AC$752,"&lt;=35%",$G$718:G$752)-SUM($BE$5:BE7)</f>
        <v>0</v>
      </c>
    </row>
    <row r="9" spans="1:58" ht="12.95" customHeight="1">
      <c r="A9" s="1373" t="s">
        <v>2075</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2500</v>
      </c>
      <c r="BE9" s="1249">
        <f>SUMIF($AC$718:$AC$752,"&lt;=40%",$G$718:G$752)-SUM($BE$5:BE8)</f>
        <v>0</v>
      </c>
    </row>
    <row r="10" spans="1:58" ht="12.95" customHeight="1">
      <c r="A10" s="1373" t="s">
        <v>2457</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2509</v>
      </c>
      <c r="BE10" s="1249">
        <f>SUMIF($AC$718:$AC$752,"&lt;=45%",$G$718:G$752)-SUM($BE$5:BE9)</f>
        <v>0</v>
      </c>
    </row>
    <row r="11" spans="1:58" ht="12.95" customHeight="1">
      <c r="A11" s="1373" t="s">
        <v>2603</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2501</v>
      </c>
      <c r="BE11" s="1249">
        <f>SUMIF($AC$718:$AC$752,"&lt;=50%",$G$718:G$752)-SUM($BE$5:BE10)</f>
        <v>20</v>
      </c>
    </row>
    <row r="12" spans="1:58" ht="12.95" customHeight="1">
      <c r="A12" s="1412" t="s">
        <v>2609</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2510</v>
      </c>
      <c r="BE12" s="1249">
        <f>SUMIF($AC$718:$AC$752,"&lt;=55%",$G$718:G$752)-SUM($BE$5:BE11)</f>
        <v>0</v>
      </c>
    </row>
    <row r="13" spans="1:58" ht="12.95" customHeight="1">
      <c r="A13" s="1260" t="s">
        <v>2076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2502</v>
      </c>
      <c r="BE13" s="1249">
        <f>SUMIF($AC$718:$AC$752,"&lt;=60%",$G$718:G$752)-SUM($BE$5:BE12)</f>
        <v>91</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2503</v>
      </c>
      <c r="BE14" s="1249">
        <f>SUMIF($AC$718:$AC$752,"&lt;=70%",$G$718:G$752)-SUM($BE$5:BE13)</f>
        <v>122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2.95" customHeight="1">
      <c r="A16" s="57" t="s">
        <v>2077</v>
      </c>
      <c r="C16" s="4"/>
      <c r="D16" s="4"/>
      <c r="E16" s="4"/>
      <c r="F16" s="4"/>
      <c r="G16" s="4"/>
      <c r="H16" s="1420" t="s">
        <v>2611</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Otay Ranch II</v>
      </c>
    </row>
    <row r="17" spans="1:58" ht="12.95" customHeight="1">
      <c r="BD17" s="1247" t="s">
        <v>2517</v>
      </c>
      <c r="BE17" s="1249">
        <f>Application!AA934</f>
        <v>0</v>
      </c>
    </row>
    <row r="18" spans="1:58" ht="12.95" customHeight="1">
      <c r="A18" s="57" t="s">
        <v>101</v>
      </c>
      <c r="C18" s="4"/>
      <c r="D18" s="4"/>
      <c r="E18" s="4"/>
      <c r="F18" s="4"/>
      <c r="G18" s="4"/>
      <c r="H18" s="1417" t="s">
        <v>2612</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2518</v>
      </c>
      <c r="BE18" s="1249">
        <f>'CalHFA Addendum'!N11</f>
        <v>0</v>
      </c>
    </row>
    <row r="19" spans="1:58" ht="12.95" customHeight="1">
      <c r="BD19" s="1247" t="s">
        <v>2519</v>
      </c>
      <c r="BE19" s="1249">
        <f>Application!M26</f>
        <v>6392233</v>
      </c>
    </row>
    <row r="20" spans="1:58" ht="12.9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2520</v>
      </c>
      <c r="BE20" s="1249">
        <f>Application!M27</f>
        <v>0</v>
      </c>
    </row>
    <row r="21" spans="1:58" ht="12.95" customHeight="1">
      <c r="A21" s="1422" t="s">
        <v>1008</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2521</v>
      </c>
      <c r="BE21" s="1249">
        <f>Application!AM554</f>
        <v>31220000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131632292</v>
      </c>
      <c r="BF22" s="3" t="s">
        <v>2594</v>
      </c>
    </row>
    <row r="23" spans="1:58" ht="12.95" customHeight="1">
      <c r="A23" s="1292" t="s">
        <v>2145</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2522</v>
      </c>
      <c r="BE23" s="1249">
        <f>'Sources and Uses Budget'!B4</f>
        <v>1</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2523</v>
      </c>
      <c r="BE24" s="1249">
        <f>Application!AG450</f>
        <v>282560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2.95" customHeight="1">
      <c r="A26" s="4"/>
      <c r="C26" s="4"/>
      <c r="D26" s="4"/>
      <c r="E26" s="4"/>
      <c r="F26" s="4"/>
      <c r="G26" s="4"/>
      <c r="H26" s="4"/>
      <c r="I26" s="4"/>
      <c r="J26" s="4"/>
      <c r="K26" s="4"/>
      <c r="L26" s="4"/>
      <c r="M26" s="1419">
        <f>'Basis &amp; Credits'!AB56</f>
        <v>6392233</v>
      </c>
      <c r="N26" s="1419"/>
      <c r="O26" s="1419"/>
      <c r="P26" s="1419"/>
      <c r="Q26" s="1419"/>
      <c r="R26" s="4" t="s">
        <v>760</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1266</v>
      </c>
      <c r="S27" s="4"/>
      <c r="T27" s="4"/>
      <c r="U27" s="4"/>
      <c r="V27" s="4"/>
      <c r="W27" s="4"/>
      <c r="X27" s="4"/>
      <c r="Y27" s="4"/>
      <c r="Z27" s="4"/>
      <c r="AF27" s="4"/>
      <c r="AG27" s="4"/>
      <c r="AH27" s="4"/>
      <c r="AI27" s="4"/>
      <c r="AJ27" s="4"/>
      <c r="AK27" s="4"/>
      <c r="BD27" s="1247" t="s">
        <v>2097</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2.95" customHeight="1">
      <c r="A29" s="1414" t="s">
        <v>2146</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2526</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2527</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2.95" customHeight="1">
      <c r="A33" s="519" t="s">
        <v>1277</v>
      </c>
      <c r="C33" s="519"/>
      <c r="D33" s="519"/>
      <c r="E33" s="519"/>
      <c r="F33" s="519"/>
      <c r="G33" s="519"/>
      <c r="H33" s="519"/>
      <c r="I33" s="519"/>
      <c r="J33" s="519"/>
      <c r="K33" s="519"/>
      <c r="L33" s="519"/>
      <c r="M33" s="519"/>
      <c r="N33" s="519"/>
      <c r="O33" s="1332" t="s">
        <v>670</v>
      </c>
      <c r="P33" s="1332"/>
      <c r="Q33" s="1415" t="s">
        <v>2147</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2595</v>
      </c>
      <c r="BE33" s="1249" t="str">
        <f>Application!D220</f>
        <v>San Diego County</v>
      </c>
    </row>
    <row r="34" spans="1:57" ht="12.95" customHeight="1">
      <c r="A34" s="1414" t="s">
        <v>2148</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2529</v>
      </c>
      <c r="BE34" s="1249">
        <f>Application!I185</f>
        <v>0</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2530</v>
      </c>
      <c r="BE35" s="1249" t="str">
        <f>IF(Application!E187="","",Application!E187)</f>
        <v xml:space="preserve">NW corner of State Route 125 and Rock Mountain Road, east adjacent to Olympian High School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2531</v>
      </c>
      <c r="BE36" s="1249" t="str">
        <f>Application!I189</f>
        <v>Chula Vista</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2532</v>
      </c>
      <c r="BE37" s="1249" t="str">
        <f>Application!T189</f>
        <v>San Diego</v>
      </c>
    </row>
    <row r="38" spans="1:57" ht="12.95" customHeight="1">
      <c r="A38" s="3"/>
      <c r="AZ38" s="20"/>
      <c r="BD38" s="1248" t="s">
        <v>2533</v>
      </c>
      <c r="BE38" s="1249">
        <f>Application!I190</f>
        <v>91913</v>
      </c>
    </row>
    <row r="39" spans="1:57" ht="12.95" customHeight="1">
      <c r="A39" s="1262" t="s">
        <v>2149</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2534</v>
      </c>
      <c r="BE39" s="1249">
        <f>Application!AG437</f>
        <v>270</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267</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2535</v>
      </c>
      <c r="BE42" s="1251">
        <f>Application!AC753</f>
        <v>0.6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2536</v>
      </c>
      <c r="BE43" s="1251">
        <f>Application!AH753</f>
        <v>0.6</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2537</v>
      </c>
      <c r="BE44" s="1249">
        <f>Application!AC454</f>
        <v>487527.00740740739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2.95" customHeight="1">
      <c r="A46" s="1292" t="s">
        <v>2150</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2539</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2540</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2541</v>
      </c>
      <c r="BE48" s="1249" t="str">
        <f>Application!M243</f>
        <v>Otay Affordable II V8,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2542</v>
      </c>
      <c r="BE49" s="1249" t="str">
        <f>Application!M246</f>
        <v>Loren Messeri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Meta Development, LLC</v>
      </c>
    </row>
    <row r="51" spans="1:57" ht="12.95" customHeight="1">
      <c r="A51" s="1262" t="s">
        <v>2151</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2544</v>
      </c>
      <c r="BE51" s="1249" t="str">
        <f>Application!M251</f>
        <v>FFAH V Otay Ranch II,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2545</v>
      </c>
      <c r="BE52" s="1249" t="str">
        <f>Application!M254</f>
        <v>Tarun Chandran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Foundation for Affordable Housing</v>
      </c>
    </row>
    <row r="54" spans="1:57" ht="12.95" customHeight="1">
      <c r="A54" s="1262" t="s">
        <v>2152</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2547</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2548</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2549</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2550</v>
      </c>
      <c r="BE57" s="1249" t="str">
        <f>Application!H287</f>
        <v>Meta Development,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2551</v>
      </c>
      <c r="BE58" s="1249" t="str">
        <f>Application!H288</f>
        <v>11150 W Olympic Blvd Ste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Los Angeles, CA, 90064</v>
      </c>
    </row>
    <row r="60" spans="1:57" ht="12.95" customHeight="1">
      <c r="A60" s="1262" t="s">
        <v>2153</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2553</v>
      </c>
      <c r="BE60" s="1249" t="str">
        <f>Application!H290</f>
        <v>Chris Maffris</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2554</v>
      </c>
      <c r="BE61" s="1249" t="str">
        <f>Application!H293</f>
        <v>cmaffris@metahousing.com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0.86</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2.95" customHeight="1">
      <c r="A65" s="1416" t="s">
        <v>2155</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2592</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2557</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2558</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2.95" customHeight="1">
      <c r="A69" s="1416" t="s">
        <v>2156</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2560</v>
      </c>
      <c r="BE69" s="1249" t="str">
        <f>Application!W700</f>
        <v>California Municipal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2561</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2.95" customHeight="1">
      <c r="A72" s="1414" t="s">
        <v>2157</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2563</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2564</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2.95" customHeight="1">
      <c r="A75" s="1787" t="s">
        <v>2158</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7" t="s">
        <v>2566</v>
      </c>
      <c r="BE75" s="1249">
        <f>'Points System'!AF808</f>
        <v>10</v>
      </c>
    </row>
    <row r="76" spans="1:57" ht="12.9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8" t="s">
        <v>2567</v>
      </c>
      <c r="BE76" s="1249">
        <f>'Points System'!AF811</f>
        <v>10</v>
      </c>
    </row>
    <row r="77" spans="1:57" ht="12.9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7" t="s">
        <v>2568</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2.95" customHeight="1">
      <c r="A79" s="1416" t="s">
        <v>2159</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2570</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2571</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2572</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2.95" customHeight="1">
      <c r="A83" s="1262" t="s">
        <v>2160</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2574</v>
      </c>
      <c r="BE83" s="1253">
        <f>'Tie Breaker'!H5</f>
        <v>1.8994493392970417</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2575</v>
      </c>
      <c r="BE84" s="1249" t="str">
        <f>Application!O153</f>
        <v>City of Chula Vista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Brian Warwick</v>
      </c>
    </row>
    <row r="86" spans="1:57" ht="12.95" customHeight="1">
      <c r="A86" s="1262" t="s">
        <v>2161</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2577</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2578</v>
      </c>
      <c r="BE87" s="1249" t="str">
        <f>Application!O156</f>
        <v>276 Fourth Avenue Bldg 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Chula Vista</v>
      </c>
    </row>
    <row r="89" spans="1:57" ht="12.95" customHeight="1">
      <c r="A89" s="1786" t="s">
        <v>2162</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7" t="s">
        <v>2580</v>
      </c>
      <c r="BE89" s="1249">
        <f>Application!O158</f>
        <v>91910</v>
      </c>
    </row>
    <row r="90" spans="1:57" ht="12.9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8" t="s">
        <v>2581</v>
      </c>
      <c r="BE90" s="1249" t="str">
        <f>Application!H16</f>
        <v>Otay Affordable II V8,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11150 W Olympic Blvd, Suite 620</v>
      </c>
    </row>
    <row r="92" spans="1:57" ht="12.95" customHeight="1">
      <c r="A92" s="1787" t="s">
        <v>2163</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8" t="s">
        <v>2583</v>
      </c>
      <c r="BE92" s="1249" t="str">
        <f>Application!M234</f>
        <v>Los Angeles</v>
      </c>
    </row>
    <row r="93" spans="1:57" ht="12.9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7" t="s">
        <v>2584</v>
      </c>
      <c r="BE93" s="1249" t="str">
        <f>Application!W234</f>
        <v>CA</v>
      </c>
    </row>
    <row r="94" spans="1:57" ht="12.9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8" t="s">
        <v>2585</v>
      </c>
      <c r="BE94" s="1249">
        <f>Application!AC234</f>
        <v>90064</v>
      </c>
    </row>
    <row r="95" spans="1:57" ht="12.9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7" t="s">
        <v>2586</v>
      </c>
      <c r="BE95" s="1249" t="str">
        <f>Application!M235</f>
        <v>Loren Messeri</v>
      </c>
    </row>
    <row r="96" spans="1:57" ht="12.9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8" t="s">
        <v>2587</v>
      </c>
      <c r="BE96" s="1249" t="str">
        <f>Application!M237</f>
        <v>lmesseri@metahousing.com</v>
      </c>
    </row>
    <row r="97" spans="1:57" ht="12.9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7" t="s">
        <v>2588</v>
      </c>
      <c r="BE97" s="1249" t="str">
        <f>Application!M248</f>
        <v>lmesseri@metahousing.com</v>
      </c>
    </row>
    <row r="98" spans="1:57" ht="12.9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8" t="s">
        <v>2589</v>
      </c>
      <c r="BE98" s="1249" t="str">
        <f>Application!M256</f>
        <v>tarun@ffah.org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2.95" customHeight="1">
      <c r="A100" s="1788" t="s">
        <v>2164</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8" t="s">
        <v>2591</v>
      </c>
      <c r="BE100" s="1249" t="str">
        <f>Application!L279</f>
        <v>cmaffris@metahousing.com</v>
      </c>
    </row>
    <row r="101" spans="1:57" ht="12.9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2596</v>
      </c>
      <c r="BE101">
        <f>'Sources and Uses Budget'!C105</f>
        <v>131632292</v>
      </c>
    </row>
    <row r="102" spans="1:57" ht="12.9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2597</v>
      </c>
      <c r="BE102" t="b">
        <f>T197="Yes"</f>
        <v>0</v>
      </c>
    </row>
    <row r="103" spans="1:57" ht="12.9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c r="BD103" t="s">
        <v>2174</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8" t="s">
        <v>2165</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9"/>
      <c r="H113" s="1789"/>
      <c r="I113" s="3" t="s">
        <v>182</v>
      </c>
      <c r="L113" s="1789"/>
      <c r="M113" s="1789"/>
      <c r="N113" s="1789"/>
      <c r="O113" s="1789"/>
      <c r="P113" s="1795" t="s">
        <v>2238</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c r="D115" s="1800"/>
      <c r="E115" s="1800"/>
      <c r="F115" s="1800"/>
      <c r="G115" s="1800"/>
      <c r="H115" s="1800"/>
      <c r="I115" s="1800"/>
      <c r="J115" s="1800"/>
      <c r="K115" s="1800"/>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9"/>
      <c r="Z117" s="1789"/>
      <c r="AA117" s="1789"/>
      <c r="AB117" s="1789"/>
      <c r="AC117" s="1789"/>
      <c r="AD117" s="1789"/>
      <c r="AE117" s="1789"/>
      <c r="AF117" s="1789"/>
      <c r="AG117" s="1789"/>
      <c r="AH117" s="1789"/>
      <c r="AI117" s="1789"/>
      <c r="AJ117" s="1789"/>
      <c r="AK117" s="1789"/>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9"/>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San Diego</v>
      </c>
      <c r="DH122" s="1656"/>
      <c r="DI122" s="1656"/>
      <c r="DJ122" s="1656"/>
      <c r="DK122" s="1656"/>
      <c r="DL122" s="1656"/>
      <c r="DM122" s="1657"/>
    </row>
    <row r="123" spans="1:117" ht="12.95" customHeight="1">
      <c r="A123" s="3"/>
      <c r="B123" s="3"/>
      <c r="T123" s="3"/>
      <c r="U123" s="3"/>
      <c r="V123" s="3"/>
      <c r="W123" s="3"/>
      <c r="X123" s="3"/>
      <c r="Y123" s="1789"/>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5" customHeight="1">
      <c r="BM152">
        <v>4</v>
      </c>
      <c r="BN152" s="3" t="s">
        <v>2463</v>
      </c>
    </row>
    <row r="153" spans="1:108" ht="12.95" customHeight="1">
      <c r="D153" t="s">
        <v>646</v>
      </c>
      <c r="O153" s="1417" t="s">
        <v>2613</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2465</v>
      </c>
      <c r="CR153" s="31" t="s">
        <v>2598</v>
      </c>
      <c r="CS153" s="32"/>
      <c r="CT153" s="32"/>
      <c r="CU153" s="32"/>
      <c r="CV153" s="32"/>
      <c r="CW153" s="32"/>
      <c r="CX153" s="14"/>
      <c r="CY153" s="31" t="s">
        <v>2599</v>
      </c>
      <c r="CZ153" s="14"/>
      <c r="DA153" s="14"/>
      <c r="DB153" s="14"/>
      <c r="DC153" s="14"/>
      <c r="DD153" s="14"/>
    </row>
    <row r="154" spans="1:108" ht="12.95" customHeight="1">
      <c r="D154" s="303" t="s">
        <v>440</v>
      </c>
      <c r="O154" s="1547" t="s">
        <v>2614</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2466</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8" t="s">
        <v>441</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2" t="s">
        <v>2615</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2616</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2">
        <v>91910</v>
      </c>
      <c r="P158" s="1792"/>
      <c r="Q158" s="1792"/>
      <c r="R158" s="1792"/>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1" t="s">
        <v>2617</v>
      </c>
      <c r="P159" s="1781"/>
      <c r="Q159" s="1781"/>
      <c r="R159" s="1781"/>
      <c r="S159" s="1781"/>
      <c r="T159" s="1781"/>
      <c r="V159" s="97" t="s">
        <v>271</v>
      </c>
      <c r="W159" s="1793"/>
      <c r="X159" s="1793"/>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1"/>
      <c r="P160" s="1781"/>
      <c r="Q160" s="1781"/>
      <c r="R160" s="1781"/>
      <c r="S160" s="1781"/>
      <c r="T160" s="178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5" t="s">
        <v>2618</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1" t="s">
        <v>2215</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1201</v>
      </c>
      <c r="J174" s="1372" t="s">
        <v>2100</v>
      </c>
      <c r="K174" s="1372"/>
      <c r="L174" s="1372"/>
      <c r="M174" s="1372"/>
      <c r="N174" s="1372"/>
      <c r="O174" s="1372"/>
      <c r="P174" s="1372"/>
      <c r="Q174" s="1372"/>
      <c r="R174" s="1372"/>
      <c r="S174" s="1372"/>
      <c r="T174" s="1372"/>
      <c r="U174" s="1372"/>
      <c r="V174" s="1372"/>
      <c r="W174" s="1372"/>
      <c r="X174" s="1372"/>
      <c r="Y174" s="1372"/>
      <c r="Z174" s="1372"/>
      <c r="AA174" s="1372"/>
      <c r="AB174" s="1372"/>
      <c r="BB174" t="s">
        <v>1968</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1936</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2078</v>
      </c>
      <c r="T176" s="27" t="s">
        <v>305</v>
      </c>
      <c r="U176" s="1427">
        <v>25</v>
      </c>
      <c r="V176" s="1427"/>
      <c r="W176" s="1" t="s">
        <v>306</v>
      </c>
      <c r="X176" s="1784">
        <v>463</v>
      </c>
      <c r="Y176" s="1784"/>
      <c r="BB176" t="s">
        <v>1969</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2212</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1202</v>
      </c>
      <c r="AA178" t="s">
        <v>2078</v>
      </c>
      <c r="AE178" s="27" t="s">
        <v>305</v>
      </c>
      <c r="AF178" s="1783"/>
      <c r="AG178" s="1783"/>
      <c r="AH178" s="1" t="s">
        <v>306</v>
      </c>
      <c r="AI178" s="1804"/>
      <c r="AJ178" s="1804"/>
      <c r="AK178" s="1804"/>
      <c r="BB178" t="s">
        <v>2213</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2079</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Otay Ranch II</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9"/>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3" t="s">
        <v>2619</v>
      </c>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7" t="s">
        <v>2616</v>
      </c>
      <c r="J189" s="1372"/>
      <c r="K189" s="1372"/>
      <c r="L189" s="1372"/>
      <c r="M189" s="1372"/>
      <c r="N189" s="1372"/>
      <c r="O189" s="1372"/>
      <c r="P189" s="1372"/>
      <c r="Q189" t="s">
        <v>583</v>
      </c>
      <c r="T189" s="1372" t="s">
        <v>730</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91913</v>
      </c>
      <c r="J190" s="1349"/>
      <c r="K190" s="1349"/>
      <c r="L190" s="1349"/>
      <c r="M190" s="1349"/>
      <c r="N190" s="1349"/>
      <c r="O190" t="s">
        <v>586</v>
      </c>
      <c r="T190" s="1790">
        <v>133.16999999999999</v>
      </c>
      <c r="U190" s="1790"/>
      <c r="V190" s="1790"/>
      <c r="W190" s="1790"/>
      <c r="X190" s="1790"/>
      <c r="Y190" s="1790"/>
      <c r="Z190" s="1790"/>
      <c r="AA190" s="1790"/>
      <c r="AB190" s="1790"/>
      <c r="AC190" s="1790"/>
      <c r="AD190" s="1790"/>
      <c r="AE190" s="1790"/>
      <c r="BC190" t="s">
        <v>1040</v>
      </c>
      <c r="BH190" t="s">
        <v>1040</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3" t="s">
        <v>2620</v>
      </c>
      <c r="O191" s="1803"/>
      <c r="P191" s="1803"/>
      <c r="Q191" s="1803"/>
      <c r="R191" s="1803"/>
      <c r="S191" s="1803"/>
      <c r="T191" s="1803"/>
      <c r="U191" s="1803"/>
      <c r="V191" s="1803"/>
      <c r="W191" s="1803"/>
      <c r="X191" s="1803"/>
      <c r="Y191" s="1803"/>
      <c r="Z191" s="1803"/>
      <c r="AA191" s="1803"/>
      <c r="AB191" s="1803"/>
      <c r="AC191" s="1803"/>
      <c r="AD191" s="1803"/>
      <c r="AE191" s="1803"/>
      <c r="BC191" t="s">
        <v>1039</v>
      </c>
      <c r="BH191" t="s">
        <v>1039</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1042</v>
      </c>
      <c r="BH192" s="3" t="s">
        <v>1363</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2080</v>
      </c>
      <c r="M193" s="40"/>
      <c r="N193" s="894"/>
      <c r="O193" s="894"/>
      <c r="P193" s="894"/>
      <c r="Q193" s="894"/>
      <c r="R193" s="894"/>
      <c r="S193" s="894"/>
      <c r="T193" s="1794" t="s">
        <v>1969</v>
      </c>
      <c r="U193" s="1794"/>
      <c r="V193" s="1794"/>
      <c r="W193" s="1794"/>
      <c r="X193" s="1794"/>
      <c r="Y193" s="1794"/>
      <c r="Z193" s="1794"/>
      <c r="AA193" s="1794"/>
      <c r="AB193" s="1794"/>
      <c r="AC193" s="1794"/>
      <c r="AD193" s="1794"/>
      <c r="AE193" s="1794"/>
      <c r="AF193" s="1794"/>
      <c r="AG193" s="1794"/>
      <c r="AH193" s="1794"/>
      <c r="AI193" s="1794"/>
      <c r="BC193" t="s">
        <v>1041</v>
      </c>
      <c r="BH193" s="3" t="s">
        <v>1628</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2214</v>
      </c>
      <c r="M194" s="40"/>
      <c r="N194" s="894"/>
      <c r="O194" s="894"/>
      <c r="P194" s="894"/>
      <c r="Q194" s="894"/>
      <c r="R194" s="894"/>
      <c r="S194" s="894"/>
      <c r="AH194" s="1332" t="s">
        <v>670</v>
      </c>
      <c r="AI194" s="1332"/>
      <c r="BC194" t="s">
        <v>1363</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52</v>
      </c>
      <c r="AI195" s="1332"/>
      <c r="BC195" t="s">
        <v>1855</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670</v>
      </c>
      <c r="U196" s="1403"/>
      <c r="W196" t="s">
        <v>686</v>
      </c>
      <c r="AH196" s="1332">
        <v>80</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2">
        <v>18</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03" t="s">
        <v>592</v>
      </c>
      <c r="U198" s="1403"/>
      <c r="V198"/>
      <c r="X198" s="1414" t="s">
        <v>2512</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2515</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2513</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2514</v>
      </c>
      <c r="V201"/>
      <c r="X201"/>
      <c r="Y201"/>
      <c r="Z201"/>
      <c r="AB201" s="1250" t="s">
        <v>920</v>
      </c>
      <c r="AC201"/>
      <c r="AH201" s="1"/>
      <c r="AJ201"/>
      <c r="AK201"/>
      <c r="AL201"/>
      <c r="AM201"/>
      <c r="AN201"/>
      <c r="AO201"/>
      <c r="AP201"/>
      <c r="AQ201"/>
      <c r="AR201"/>
      <c r="AS201"/>
      <c r="AU201"/>
      <c r="AV201"/>
      <c r="AW201"/>
      <c r="AX201"/>
      <c r="AY201"/>
      <c r="AZ201" s="30"/>
      <c r="BA201" s="30"/>
      <c r="BC201" s="3" t="s">
        <v>1060</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1061</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2">
        <f>M26</f>
        <v>6392233</v>
      </c>
      <c r="Q204" s="1782"/>
      <c r="R204" s="1782"/>
      <c r="S204" s="1782"/>
      <c r="T204" s="1782"/>
      <c r="U204" s="1782"/>
      <c r="BC204" t="s">
        <v>1062</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1" t="s">
        <v>1246</v>
      </c>
      <c r="E205" s="1359"/>
      <c r="F205" s="1359"/>
      <c r="G205" s="1359"/>
      <c r="H205" s="1359"/>
      <c r="I205" s="1359"/>
      <c r="J205" s="1359"/>
      <c r="K205" s="1359"/>
      <c r="L205" s="1359"/>
      <c r="M205" s="1359"/>
      <c r="P205" s="1782">
        <f>M27</f>
        <v>0</v>
      </c>
      <c r="Q205" s="1782"/>
      <c r="R205" s="1782"/>
      <c r="S205" s="1782"/>
      <c r="T205" s="1782"/>
      <c r="U205" s="1782"/>
      <c r="V205" s="28"/>
      <c r="W205" s="3" t="s">
        <v>1719</v>
      </c>
      <c r="Z205" s="1809" t="s">
        <v>1183</v>
      </c>
      <c r="AA205" s="1809"/>
      <c r="AB205" s="1809"/>
      <c r="AC205" s="1809"/>
      <c r="AD205" s="1809"/>
      <c r="AE205" s="1809"/>
      <c r="AF205" s="1809"/>
      <c r="AG205" s="1809"/>
      <c r="AH205" s="1809"/>
      <c r="AI205" s="1809"/>
      <c r="AJ205" s="1809"/>
      <c r="AK205" s="1809"/>
      <c r="AL205" s="1809"/>
      <c r="AM205" s="1809"/>
      <c r="AN205" s="1809"/>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2621</v>
      </c>
      <c r="E208" s="1418"/>
      <c r="F208" s="1418"/>
      <c r="G208" s="1418"/>
      <c r="H208" s="1418"/>
      <c r="I208" s="1418"/>
      <c r="J208" s="1418"/>
      <c r="K208" s="1418"/>
      <c r="L208" s="1418"/>
      <c r="M208" s="1418"/>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1040</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2229</v>
      </c>
      <c r="Q212" s="1332"/>
      <c r="R212" s="1332"/>
      <c r="T212" s="1796">
        <f>IFERROR(Q212/AG440,0)</f>
        <v>0</v>
      </c>
      <c r="U212" s="1797"/>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2472</v>
      </c>
      <c r="BC213" t="s">
        <v>527</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9" t="s">
        <v>592</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531</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528</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567</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2232</v>
      </c>
      <c r="D218" s="28"/>
      <c r="AC218" s="2" t="s">
        <v>2461</v>
      </c>
      <c r="BC218" t="s">
        <v>530</v>
      </c>
    </row>
    <row r="219" spans="1:108" ht="12.95" customHeight="1">
      <c r="A219" s="2"/>
      <c r="C219" s="2"/>
      <c r="D219" s="3" t="s">
        <v>2462</v>
      </c>
      <c r="AZ219" s="3"/>
      <c r="BA219" s="3"/>
      <c r="BC219" t="s">
        <v>377</v>
      </c>
    </row>
    <row r="220" spans="1:108" ht="12.95" customHeight="1">
      <c r="A220" s="2"/>
      <c r="C220" s="2"/>
      <c r="D220" s="1418" t="s">
        <v>612</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0" t="s">
        <v>2463</v>
      </c>
      <c r="AD220" s="1810"/>
      <c r="AE220" s="1810"/>
      <c r="AF220" s="1810"/>
      <c r="AG220" s="1810"/>
      <c r="AH220" s="1810"/>
      <c r="AI220" s="1810"/>
      <c r="AJ220" s="1810"/>
      <c r="AK220" s="1810"/>
      <c r="AL220" s="1810"/>
      <c r="AM220" s="1810"/>
      <c r="AN220" s="1810"/>
      <c r="AO220" s="1810"/>
      <c r="AP220" s="1810"/>
      <c r="AQ220" s="1810"/>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1" t="str">
        <f>H16</f>
        <v>Otay Affordable II V8, LP</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2628</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7" t="s">
        <v>495</v>
      </c>
      <c r="N234" s="1418"/>
      <c r="O234" s="1418"/>
      <c r="P234" s="1418"/>
      <c r="Q234" s="1418"/>
      <c r="R234" s="1418"/>
      <c r="S234" s="1418"/>
      <c r="T234" s="1418"/>
      <c r="V234" s="33" t="s">
        <v>86</v>
      </c>
      <c r="W234" s="1547" t="s">
        <v>2622</v>
      </c>
      <c r="X234" s="1438"/>
      <c r="Y234" s="4" t="s">
        <v>584</v>
      </c>
      <c r="AC234" s="1418">
        <v>90064</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2623</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2624</v>
      </c>
      <c r="N236" s="1347"/>
      <c r="O236" s="1347"/>
      <c r="P236" s="1347"/>
      <c r="Q236" s="1347"/>
      <c r="R236" s="1347"/>
      <c r="S236" s="4" t="s">
        <v>206</v>
      </c>
      <c r="T236" s="4"/>
      <c r="U236" s="1438">
        <v>151</v>
      </c>
      <c r="V236" s="1438"/>
      <c r="W236" s="1438"/>
      <c r="X236" s="4" t="s">
        <v>89</v>
      </c>
      <c r="Z236" s="1347"/>
      <c r="AA236" s="1347"/>
      <c r="AB236" s="1347"/>
      <c r="AC236" s="1347"/>
      <c r="AD236" s="1347"/>
      <c r="AE236" s="1347"/>
      <c r="AU236" s="4"/>
      <c r="AV236" s="4"/>
      <c r="AW236" s="4"/>
      <c r="AX236" s="4"/>
      <c r="AY236" s="4"/>
      <c r="AZ236" s="4"/>
      <c r="BB236" s="204" t="s">
        <v>538</v>
      </c>
      <c r="BG236" s="241">
        <f>IF(AND(AND($M$249="nonprofit",$M$257="nonprofit",$M$265="(select one)")),1,0)</f>
        <v>0</v>
      </c>
    </row>
    <row r="237" spans="1:59" ht="12.95" customHeight="1">
      <c r="D237" s="4" t="s">
        <v>90</v>
      </c>
      <c r="E237" s="4"/>
      <c r="F237" s="4"/>
      <c r="M237" s="1785" t="s">
        <v>2625</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9" t="s">
        <v>529</v>
      </c>
      <c r="N238" s="1349"/>
      <c r="O238" s="1349"/>
      <c r="P238" s="1349"/>
      <c r="Q238" s="1349"/>
      <c r="R238" s="1349"/>
      <c r="S238" s="1349"/>
      <c r="T238" s="1349"/>
      <c r="U238" s="204" t="s">
        <v>907</v>
      </c>
      <c r="V238" s="204"/>
      <c r="W238" s="204"/>
      <c r="X238" s="204"/>
      <c r="Y238" s="204"/>
      <c r="Z238" s="204"/>
      <c r="AA238" s="1777"/>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1182</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2626</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2627</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2628</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1178</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495</v>
      </c>
      <c r="N245" s="1418"/>
      <c r="O245" s="1418"/>
      <c r="P245" s="1418"/>
      <c r="Q245" s="1418"/>
      <c r="R245" s="1418"/>
      <c r="S245" s="1418"/>
      <c r="T245" s="1418"/>
      <c r="V245" s="33" t="s">
        <v>86</v>
      </c>
      <c r="W245" s="1547" t="s">
        <v>2622</v>
      </c>
      <c r="X245" s="1438"/>
      <c r="Y245" s="4" t="s">
        <v>584</v>
      </c>
      <c r="AC245" s="1418">
        <v>90064</v>
      </c>
      <c r="AD245" s="1418"/>
      <c r="AE245" s="1418"/>
      <c r="AF245" s="3" t="s">
        <v>1179</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2623</v>
      </c>
      <c r="N246" s="1418"/>
      <c r="O246" s="1418"/>
      <c r="P246" s="1418"/>
      <c r="Q246" s="1418"/>
      <c r="R246" s="1418"/>
      <c r="S246" s="1418"/>
      <c r="T246" s="1418"/>
      <c r="U246" s="1418"/>
      <c r="V246" s="1418"/>
      <c r="W246" s="1418"/>
      <c r="X246" s="1418"/>
      <c r="Y246" s="1418"/>
      <c r="Z246" s="1418"/>
      <c r="AA246" s="1418"/>
      <c r="AB246" s="1418"/>
      <c r="AC246" s="1418"/>
      <c r="AD246" s="1418"/>
      <c r="AE246" s="1418"/>
      <c r="AH246" s="1779">
        <v>5.1000000000000004E-3</v>
      </c>
      <c r="AI246" s="1779"/>
      <c r="AJ246" s="1779"/>
      <c r="AK246" s="177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
        <v>2624</v>
      </c>
      <c r="N247" s="1347"/>
      <c r="O247" s="1347"/>
      <c r="P247" s="1347"/>
      <c r="Q247" s="1347"/>
      <c r="R247" s="1347"/>
      <c r="S247" s="4" t="s">
        <v>206</v>
      </c>
      <c r="T247" s="4"/>
      <c r="U247" s="1438">
        <v>151</v>
      </c>
      <c r="V247" s="1438"/>
      <c r="W247" s="1438"/>
      <c r="X247" s="4" t="s">
        <v>89</v>
      </c>
      <c r="Z247" s="1347"/>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5" t="s">
        <v>2625</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537</v>
      </c>
      <c r="N249" s="1349"/>
      <c r="O249" s="1349"/>
      <c r="P249" s="1349"/>
      <c r="Q249" s="1349"/>
      <c r="R249" s="1349"/>
      <c r="S249" s="1349"/>
      <c r="T249" s="1349"/>
      <c r="U249" s="204" t="s">
        <v>907</v>
      </c>
      <c r="V249" s="204"/>
      <c r="W249" s="204"/>
      <c r="X249" s="204"/>
      <c r="Y249" s="204"/>
      <c r="Z249" s="204"/>
      <c r="AA249" s="1776" t="s">
        <v>2629</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2630</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2631</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2632</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1178</v>
      </c>
      <c r="AL252" s="4"/>
      <c r="AM252" s="4"/>
      <c r="AN252" s="4"/>
      <c r="AO252" s="4"/>
      <c r="AP252" s="4"/>
      <c r="AQ252" s="4"/>
      <c r="AR252" s="4"/>
      <c r="AS252" s="4"/>
      <c r="AT252" s="4"/>
      <c r="BN252" s="34"/>
    </row>
    <row r="253" spans="1:67" ht="12.95" customHeight="1">
      <c r="A253" s="19"/>
      <c r="B253" s="4"/>
      <c r="C253" s="4"/>
      <c r="D253" s="4" t="s">
        <v>581</v>
      </c>
      <c r="E253" s="4"/>
      <c r="M253" s="1417" t="s">
        <v>2633</v>
      </c>
      <c r="N253" s="1418"/>
      <c r="O253" s="1418"/>
      <c r="P253" s="1418"/>
      <c r="Q253" s="1418"/>
      <c r="R253" s="1418"/>
      <c r="S253" s="1418"/>
      <c r="T253" s="1418"/>
      <c r="V253" s="33" t="s">
        <v>86</v>
      </c>
      <c r="W253" s="1547" t="s">
        <v>2622</v>
      </c>
      <c r="X253" s="1438"/>
      <c r="Y253" s="4" t="s">
        <v>584</v>
      </c>
      <c r="AC253" s="1418">
        <v>97703</v>
      </c>
      <c r="AD253" s="1418"/>
      <c r="AE253" s="1418"/>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2634</v>
      </c>
      <c r="N254" s="1418"/>
      <c r="O254" s="1418"/>
      <c r="P254" s="1418"/>
      <c r="Q254" s="1418"/>
      <c r="R254" s="1418"/>
      <c r="S254" s="1418"/>
      <c r="T254" s="1418"/>
      <c r="U254" s="1418"/>
      <c r="V254" s="1418"/>
      <c r="W254" s="1418"/>
      <c r="X254" s="1418"/>
      <c r="Y254" s="1418"/>
      <c r="Z254" s="1418"/>
      <c r="AA254" s="1418"/>
      <c r="AB254" s="1418"/>
      <c r="AC254" s="1418"/>
      <c r="AD254" s="1418"/>
      <c r="AE254" s="1418"/>
      <c r="AH254" s="1779">
        <v>4.8999999999999998E-3</v>
      </c>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6" t="s">
        <v>2635</v>
      </c>
      <c r="N255" s="1347"/>
      <c r="O255" s="1347"/>
      <c r="P255" s="1347"/>
      <c r="Q255" s="1347"/>
      <c r="R255" s="1347"/>
      <c r="S255" s="4" t="s">
        <v>206</v>
      </c>
      <c r="T255" s="4"/>
      <c r="U255" s="1438"/>
      <c r="V255" s="1438"/>
      <c r="W255" s="1438"/>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5" t="s">
        <v>2636</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535</v>
      </c>
      <c r="N257" s="1349"/>
      <c r="O257" s="1349"/>
      <c r="P257" s="1349"/>
      <c r="Q257" s="1349"/>
      <c r="R257" s="1349"/>
      <c r="S257" s="1349"/>
      <c r="T257" s="1349"/>
      <c r="U257" s="204" t="s">
        <v>907</v>
      </c>
      <c r="V257" s="204"/>
      <c r="W257" s="204"/>
      <c r="X257" s="204"/>
      <c r="Y257" s="204"/>
      <c r="Z257" s="204"/>
      <c r="AA257" s="1776" t="s">
        <v>2637</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8"/>
      <c r="X261" s="1438"/>
      <c r="Y261" s="4" t="s">
        <v>584</v>
      </c>
      <c r="AC261" s="1418"/>
      <c r="AD261" s="1418"/>
      <c r="AE261" s="1418"/>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2"/>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2629</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2628</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7" t="s">
        <v>495</v>
      </c>
      <c r="M276" s="1418"/>
      <c r="N276" s="1418"/>
      <c r="O276" s="1418"/>
      <c r="P276" s="1418"/>
      <c r="Q276" s="1418"/>
      <c r="R276" s="1418"/>
      <c r="S276" s="1418"/>
      <c r="U276" s="33" t="s">
        <v>86</v>
      </c>
      <c r="V276" s="1547" t="s">
        <v>2622</v>
      </c>
      <c r="W276" s="1438"/>
      <c r="X276" s="4" t="s">
        <v>584</v>
      </c>
      <c r="AB276" s="1418">
        <v>90064</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2638</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2624</v>
      </c>
      <c r="M278" s="1347"/>
      <c r="N278" s="1347"/>
      <c r="O278" s="1347"/>
      <c r="P278" s="1347"/>
      <c r="Q278" s="1347"/>
      <c r="R278" s="4" t="s">
        <v>206</v>
      </c>
      <c r="S278" s="4"/>
      <c r="T278" s="1438">
        <v>108</v>
      </c>
      <c r="U278" s="1438"/>
      <c r="V278" s="1438"/>
      <c r="W278" s="4" t="s">
        <v>89</v>
      </c>
      <c r="Y278" s="1347"/>
      <c r="Z278" s="1347"/>
      <c r="AA278" s="1347"/>
      <c r="AB278" s="1347"/>
      <c r="AC278" s="1347"/>
      <c r="AD278" s="1347"/>
    </row>
    <row r="279" spans="1:51" ht="12.95" customHeight="1">
      <c r="D279" s="4" t="s">
        <v>90</v>
      </c>
      <c r="E279" s="4"/>
      <c r="F279" s="4"/>
      <c r="L279" s="1785" t="s">
        <v>2639</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624</v>
      </c>
      <c r="E280" s="3"/>
      <c r="F280" s="3"/>
      <c r="G280" s="3"/>
      <c r="H280" s="3"/>
      <c r="I280" s="3"/>
      <c r="L280" s="1547" t="s">
        <v>2640</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2" t="s">
        <v>2629</v>
      </c>
      <c r="I287" s="1372"/>
      <c r="J287" s="1372"/>
      <c r="K287" s="1372"/>
      <c r="L287" s="1372"/>
      <c r="M287" s="1372"/>
      <c r="N287" s="1372"/>
      <c r="O287" s="1372"/>
      <c r="P287" s="1372"/>
      <c r="Q287" s="1372"/>
      <c r="R287" s="1372"/>
      <c r="T287" s="3" t="s">
        <v>568</v>
      </c>
      <c r="V287" s="3"/>
      <c r="W287" s="3"/>
      <c r="X287" s="3"/>
      <c r="Y287" s="3"/>
      <c r="AA287" s="1372" t="s">
        <v>2643</v>
      </c>
      <c r="AB287" s="1372"/>
      <c r="AC287" s="1372"/>
      <c r="AD287" s="1372"/>
      <c r="AE287" s="1372"/>
      <c r="AF287" s="1372"/>
      <c r="AG287" s="1372"/>
      <c r="AH287" s="1372"/>
      <c r="AI287" s="1372"/>
      <c r="AJ287" s="1372"/>
      <c r="AK287" s="1372"/>
    </row>
    <row r="288" spans="1:51" ht="12.95" customHeight="1">
      <c r="B288" s="3" t="s">
        <v>472</v>
      </c>
      <c r="C288" s="3"/>
      <c r="D288" s="3"/>
      <c r="E288" s="3"/>
      <c r="F288" s="3"/>
      <c r="H288" s="1349" t="s">
        <v>2641</v>
      </c>
      <c r="I288" s="1349"/>
      <c r="J288" s="1349"/>
      <c r="K288" s="1349"/>
      <c r="L288" s="1349"/>
      <c r="M288" s="1349"/>
      <c r="N288" s="1349"/>
      <c r="O288" s="1349"/>
      <c r="P288" s="1349"/>
      <c r="Q288" s="1349"/>
      <c r="R288" s="1349"/>
      <c r="T288" s="3" t="s">
        <v>472</v>
      </c>
      <c r="V288" s="3"/>
      <c r="W288" s="3"/>
      <c r="X288" s="3"/>
      <c r="Y288" s="3"/>
      <c r="AA288" s="1349" t="s">
        <v>2644</v>
      </c>
      <c r="AB288" s="1349"/>
      <c r="AC288" s="1349"/>
      <c r="AD288" s="1349"/>
      <c r="AE288" s="1349"/>
      <c r="AF288" s="1349"/>
      <c r="AG288" s="1349"/>
      <c r="AH288" s="1349"/>
      <c r="AI288" s="1349"/>
      <c r="AJ288" s="1349"/>
      <c r="AK288" s="1349"/>
    </row>
    <row r="289" spans="2:37" ht="12.95" customHeight="1">
      <c r="B289" s="3" t="s">
        <v>473</v>
      </c>
      <c r="C289" s="3"/>
      <c r="D289" s="3"/>
      <c r="E289" s="3"/>
      <c r="F289" s="3"/>
      <c r="H289" s="1349" t="s">
        <v>2642</v>
      </c>
      <c r="I289" s="1349"/>
      <c r="J289" s="1349"/>
      <c r="K289" s="1349"/>
      <c r="L289" s="1349"/>
      <c r="M289" s="1349"/>
      <c r="N289" s="1349"/>
      <c r="O289" s="1349"/>
      <c r="P289" s="1349"/>
      <c r="Q289" s="1349"/>
      <c r="R289" s="1349"/>
      <c r="T289" s="3" t="s">
        <v>75</v>
      </c>
      <c r="V289" s="3"/>
      <c r="W289" s="3"/>
      <c r="X289" s="3"/>
      <c r="Y289" s="3"/>
      <c r="AA289" s="1349" t="s">
        <v>2645</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2638</v>
      </c>
      <c r="I290" s="1349"/>
      <c r="J290" s="1349"/>
      <c r="K290" s="1349"/>
      <c r="L290" s="1349"/>
      <c r="M290" s="1349"/>
      <c r="N290" s="1349"/>
      <c r="O290" s="1349"/>
      <c r="P290" s="1349"/>
      <c r="Q290" s="1349"/>
      <c r="R290" s="1349"/>
      <c r="T290" s="3" t="s">
        <v>87</v>
      </c>
      <c r="V290" s="3"/>
      <c r="W290" s="3"/>
      <c r="X290" s="3"/>
      <c r="Y290" s="3"/>
      <c r="AA290" s="1349" t="s">
        <v>2646</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t="s">
        <v>2624</v>
      </c>
      <c r="I291" s="1425"/>
      <c r="J291" s="1425"/>
      <c r="K291" s="1425"/>
      <c r="L291" s="1425"/>
      <c r="M291" s="1425"/>
      <c r="N291" s="4" t="s">
        <v>206</v>
      </c>
      <c r="O291" s="4"/>
      <c r="P291" s="1418">
        <v>108</v>
      </c>
      <c r="Q291" s="1418"/>
      <c r="R291" s="1418"/>
      <c r="S291" s="3"/>
      <c r="T291" s="3" t="s">
        <v>88</v>
      </c>
      <c r="V291" s="3"/>
      <c r="W291" s="3"/>
      <c r="X291" s="3"/>
      <c r="Y291" s="3"/>
      <c r="AA291" s="1424" t="s">
        <v>2647</v>
      </c>
      <c r="AB291" s="1425"/>
      <c r="AC291" s="1425"/>
      <c r="AD291" s="1425"/>
      <c r="AE291" s="1425"/>
      <c r="AF291" s="1425"/>
      <c r="AG291" s="4" t="s">
        <v>206</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2639</v>
      </c>
      <c r="I293" s="1349"/>
      <c r="J293" s="1349"/>
      <c r="K293" s="1349"/>
      <c r="L293" s="1349"/>
      <c r="M293" s="1349"/>
      <c r="N293" s="1372"/>
      <c r="O293" s="1372"/>
      <c r="P293" s="1372"/>
      <c r="Q293" s="1372"/>
      <c r="R293" s="1372"/>
      <c r="S293" s="3"/>
      <c r="T293" s="3" t="s">
        <v>76</v>
      </c>
      <c r="V293" s="3"/>
      <c r="W293" s="3"/>
      <c r="X293" s="3"/>
      <c r="Y293" s="3"/>
      <c r="AA293" s="1349" t="s">
        <v>2648</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2649</v>
      </c>
      <c r="I295" s="1372"/>
      <c r="J295" s="1372"/>
      <c r="K295" s="1372"/>
      <c r="L295" s="1372"/>
      <c r="M295" s="1372"/>
      <c r="N295" s="1372"/>
      <c r="O295" s="1372"/>
      <c r="P295" s="1372"/>
      <c r="Q295" s="1372"/>
      <c r="R295" s="1372"/>
      <c r="T295" s="3" t="s">
        <v>364</v>
      </c>
      <c r="V295" s="3"/>
      <c r="W295" s="3"/>
      <c r="X295" s="3"/>
      <c r="Y295" s="3"/>
      <c r="AA295" s="1372" t="s">
        <v>2655</v>
      </c>
      <c r="AB295" s="1372"/>
      <c r="AC295" s="1372"/>
      <c r="AD295" s="1372"/>
      <c r="AE295" s="1372"/>
      <c r="AF295" s="1372"/>
      <c r="AG295" s="1372"/>
      <c r="AH295" s="1372"/>
      <c r="AI295" s="1372"/>
      <c r="AJ295" s="1372"/>
      <c r="AK295" s="1372"/>
    </row>
    <row r="296" spans="2:37" ht="12.95" customHeight="1">
      <c r="B296" s="3" t="s">
        <v>472</v>
      </c>
      <c r="C296" s="3"/>
      <c r="D296" s="3"/>
      <c r="E296" s="3"/>
      <c r="F296" s="3"/>
      <c r="H296" s="1349" t="s">
        <v>2650</v>
      </c>
      <c r="I296" s="1349"/>
      <c r="J296" s="1349"/>
      <c r="K296" s="1349"/>
      <c r="L296" s="1349"/>
      <c r="M296" s="1349"/>
      <c r="N296" s="1349"/>
      <c r="O296" s="1349"/>
      <c r="P296" s="1349"/>
      <c r="Q296" s="1349"/>
      <c r="R296" s="1349"/>
      <c r="T296" s="3" t="s">
        <v>472</v>
      </c>
      <c r="V296" s="3"/>
      <c r="W296" s="3"/>
      <c r="X296" s="3"/>
      <c r="Y296" s="3"/>
      <c r="AA296" s="1349"/>
      <c r="AB296" s="1349"/>
      <c r="AC296" s="1349"/>
      <c r="AD296" s="1349"/>
      <c r="AE296" s="1349"/>
      <c r="AF296" s="1349"/>
      <c r="AG296" s="1349"/>
      <c r="AH296" s="1349"/>
      <c r="AI296" s="1349"/>
      <c r="AJ296" s="1349"/>
      <c r="AK296" s="1349"/>
    </row>
    <row r="297" spans="2:37" ht="12.95" customHeight="1">
      <c r="B297" s="3" t="s">
        <v>473</v>
      </c>
      <c r="C297" s="3"/>
      <c r="D297" s="3"/>
      <c r="E297" s="3"/>
      <c r="F297" s="3"/>
      <c r="H297" s="1349" t="s">
        <v>2651</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2.95" customHeight="1">
      <c r="B298" s="3" t="s">
        <v>87</v>
      </c>
      <c r="C298" s="3"/>
      <c r="D298" s="3"/>
      <c r="E298" s="3"/>
      <c r="F298" s="3"/>
      <c r="H298" s="1349" t="s">
        <v>2652</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2653</v>
      </c>
      <c r="I299" s="1425"/>
      <c r="J299" s="1425"/>
      <c r="K299" s="1425"/>
      <c r="L299" s="1425"/>
      <c r="M299" s="1425"/>
      <c r="N299" s="4" t="s">
        <v>206</v>
      </c>
      <c r="O299" s="4"/>
      <c r="P299" s="1418"/>
      <c r="Q299" s="1418"/>
      <c r="R299" s="1418"/>
      <c r="S299" s="3"/>
      <c r="T299" s="3" t="s">
        <v>88</v>
      </c>
      <c r="V299" s="3"/>
      <c r="W299" s="3"/>
      <c r="X299" s="3"/>
      <c r="Y299" s="3"/>
      <c r="AA299" s="1425"/>
      <c r="AB299" s="1425"/>
      <c r="AC299" s="1425"/>
      <c r="AD299" s="1425"/>
      <c r="AE299" s="1425"/>
      <c r="AF299" s="1425"/>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2654</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2656</v>
      </c>
      <c r="I303" s="1372"/>
      <c r="J303" s="1372"/>
      <c r="K303" s="1372"/>
      <c r="L303" s="1372"/>
      <c r="M303" s="1372"/>
      <c r="N303" s="1372"/>
      <c r="O303" s="1372"/>
      <c r="P303" s="1372"/>
      <c r="Q303" s="1372"/>
      <c r="R303" s="1372"/>
      <c r="T303" s="4" t="s">
        <v>879</v>
      </c>
      <c r="V303" s="3"/>
      <c r="W303" s="3"/>
      <c r="X303" s="3"/>
      <c r="Y303" s="3"/>
      <c r="AA303" s="1372"/>
      <c r="AB303" s="1372"/>
      <c r="AC303" s="1372"/>
      <c r="AD303" s="1372"/>
      <c r="AE303" s="1372"/>
      <c r="AF303" s="1372"/>
      <c r="AG303" s="1372"/>
      <c r="AH303" s="1372"/>
      <c r="AI303" s="1372"/>
      <c r="AJ303" s="1372"/>
      <c r="AK303" s="1372"/>
    </row>
    <row r="304" spans="2:37" ht="12.95" customHeight="1">
      <c r="B304" s="3" t="s">
        <v>472</v>
      </c>
      <c r="C304" s="3"/>
      <c r="D304" s="3"/>
      <c r="E304" s="3"/>
      <c r="F304" s="3"/>
      <c r="H304" s="1349" t="s">
        <v>2657</v>
      </c>
      <c r="I304" s="1349"/>
      <c r="J304" s="1349"/>
      <c r="K304" s="1349"/>
      <c r="L304" s="1349"/>
      <c r="M304" s="1349"/>
      <c r="N304" s="1349"/>
      <c r="O304" s="1349"/>
      <c r="P304" s="1349"/>
      <c r="Q304" s="1349"/>
      <c r="R304" s="1349"/>
      <c r="T304" s="3" t="s">
        <v>472</v>
      </c>
      <c r="V304" s="3"/>
      <c r="W304" s="3"/>
      <c r="X304" s="3"/>
      <c r="Y304" s="3"/>
      <c r="AA304" s="1349"/>
      <c r="AB304" s="1349"/>
      <c r="AC304" s="1349"/>
      <c r="AD304" s="1349"/>
      <c r="AE304" s="1349"/>
      <c r="AF304" s="1349"/>
      <c r="AG304" s="1349"/>
      <c r="AH304" s="1349"/>
      <c r="AI304" s="1349"/>
      <c r="AJ304" s="1349"/>
      <c r="AK304" s="1349"/>
    </row>
    <row r="305" spans="2:37" ht="12.95" customHeight="1">
      <c r="B305" s="3" t="s">
        <v>473</v>
      </c>
      <c r="C305" s="3"/>
      <c r="D305" s="3"/>
      <c r="E305" s="3"/>
      <c r="F305" s="3"/>
      <c r="H305" s="1349" t="s">
        <v>2658</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349" t="s">
        <v>2659</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2660</v>
      </c>
      <c r="I307" s="1425"/>
      <c r="J307" s="1425"/>
      <c r="K307" s="1425"/>
      <c r="L307" s="1425"/>
      <c r="M307" s="1425"/>
      <c r="N307" s="4" t="s">
        <v>206</v>
      </c>
      <c r="O307" s="4"/>
      <c r="P307" s="1418"/>
      <c r="Q307" s="1418"/>
      <c r="R307" s="1418"/>
      <c r="S307" s="3"/>
      <c r="T307" s="3" t="s">
        <v>88</v>
      </c>
      <c r="V307" s="3"/>
      <c r="W307" s="3"/>
      <c r="X307" s="3"/>
      <c r="Y307" s="3"/>
      <c r="AA307" s="1425"/>
      <c r="AB307" s="1425"/>
      <c r="AC307" s="1425"/>
      <c r="AD307" s="1425"/>
      <c r="AE307" s="1425"/>
      <c r="AF307" s="1425"/>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2661</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2" t="s">
        <v>2656</v>
      </c>
      <c r="I311" s="1372"/>
      <c r="J311" s="1372"/>
      <c r="K311" s="1372"/>
      <c r="L311" s="1372"/>
      <c r="M311" s="1372"/>
      <c r="N311" s="1372"/>
      <c r="O311" s="1372"/>
      <c r="P311" s="1372"/>
      <c r="Q311" s="1372"/>
      <c r="R311" s="1372"/>
      <c r="S311" s="3"/>
      <c r="T311" s="3" t="s">
        <v>365</v>
      </c>
      <c r="V311" s="3"/>
      <c r="W311" s="3"/>
      <c r="X311" s="3"/>
      <c r="Y311" s="3"/>
      <c r="AA311" s="1372" t="s">
        <v>2662</v>
      </c>
      <c r="AB311" s="1372"/>
      <c r="AC311" s="1372"/>
      <c r="AD311" s="1372"/>
      <c r="AE311" s="1372"/>
      <c r="AF311" s="1372"/>
      <c r="AG311" s="1372"/>
      <c r="AH311" s="1372"/>
      <c r="AI311" s="1372"/>
      <c r="AJ311" s="1372"/>
      <c r="AK311" s="1372"/>
    </row>
    <row r="312" spans="2:37" ht="12.95" customHeight="1">
      <c r="B312" s="3" t="s">
        <v>472</v>
      </c>
      <c r="C312" s="3"/>
      <c r="D312" s="3"/>
      <c r="E312" s="3"/>
      <c r="F312" s="3"/>
      <c r="H312" s="1349" t="s">
        <v>2657</v>
      </c>
      <c r="I312" s="1349"/>
      <c r="J312" s="1349"/>
      <c r="K312" s="1349"/>
      <c r="L312" s="1349"/>
      <c r="M312" s="1349"/>
      <c r="N312" s="1349"/>
      <c r="O312" s="1349"/>
      <c r="P312" s="1349"/>
      <c r="Q312" s="1349"/>
      <c r="R312" s="1349"/>
      <c r="S312" s="3"/>
      <c r="T312" s="3" t="s">
        <v>472</v>
      </c>
      <c r="V312" s="3"/>
      <c r="W312" s="3"/>
      <c r="X312" s="3"/>
      <c r="Y312" s="3"/>
      <c r="AA312" s="1349" t="s">
        <v>2663</v>
      </c>
      <c r="AB312" s="1349"/>
      <c r="AC312" s="1349"/>
      <c r="AD312" s="1349"/>
      <c r="AE312" s="1349"/>
      <c r="AF312" s="1349"/>
      <c r="AG312" s="1349"/>
      <c r="AH312" s="1349"/>
      <c r="AI312" s="1349"/>
      <c r="AJ312" s="1349"/>
      <c r="AK312" s="1349"/>
    </row>
    <row r="313" spans="2:37" ht="12.95" customHeight="1">
      <c r="B313" s="3" t="s">
        <v>473</v>
      </c>
      <c r="C313" s="3"/>
      <c r="D313" s="3"/>
      <c r="E313" s="3"/>
      <c r="F313" s="3"/>
      <c r="H313" s="1349" t="s">
        <v>2658</v>
      </c>
      <c r="I313" s="1349"/>
      <c r="J313" s="1349"/>
      <c r="K313" s="1349"/>
      <c r="L313" s="1349"/>
      <c r="M313" s="1349"/>
      <c r="N313" s="1349"/>
      <c r="O313" s="1349"/>
      <c r="P313" s="1349"/>
      <c r="Q313" s="1349"/>
      <c r="R313" s="1349"/>
      <c r="S313" s="3"/>
      <c r="T313" s="3" t="s">
        <v>75</v>
      </c>
      <c r="V313" s="3"/>
      <c r="W313" s="3"/>
      <c r="X313" s="3"/>
      <c r="Y313" s="3"/>
      <c r="AA313" s="1349" t="s">
        <v>2664</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2659</v>
      </c>
      <c r="I314" s="1349"/>
      <c r="J314" s="1349"/>
      <c r="K314" s="1349"/>
      <c r="L314" s="1349"/>
      <c r="M314" s="1349"/>
      <c r="N314" s="1349"/>
      <c r="O314" s="1349"/>
      <c r="P314" s="1349"/>
      <c r="Q314" s="1349"/>
      <c r="R314" s="1349"/>
      <c r="S314" s="3"/>
      <c r="T314" s="3" t="s">
        <v>87</v>
      </c>
      <c r="V314" s="3"/>
      <c r="W314" s="3"/>
      <c r="X314" s="3"/>
      <c r="Y314" s="3"/>
      <c r="AA314" s="1349" t="s">
        <v>2665</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2660</v>
      </c>
      <c r="I315" s="1425"/>
      <c r="J315" s="1425"/>
      <c r="K315" s="1425"/>
      <c r="L315" s="1425"/>
      <c r="M315" s="1425"/>
      <c r="N315" s="4" t="s">
        <v>206</v>
      </c>
      <c r="O315" s="4"/>
      <c r="P315" s="1418"/>
      <c r="Q315" s="1418"/>
      <c r="R315" s="1418"/>
      <c r="S315" s="3"/>
      <c r="T315" s="3" t="s">
        <v>88</v>
      </c>
      <c r="V315" s="3"/>
      <c r="W315" s="3"/>
      <c r="X315" s="3"/>
      <c r="Y315" s="3"/>
      <c r="AA315" s="1424" t="s">
        <v>2666</v>
      </c>
      <c r="AB315" s="1425"/>
      <c r="AC315" s="1425"/>
      <c r="AD315" s="1425"/>
      <c r="AE315" s="1425"/>
      <c r="AF315" s="1425"/>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2661</v>
      </c>
      <c r="I317" s="1349"/>
      <c r="J317" s="1349"/>
      <c r="K317" s="1349"/>
      <c r="L317" s="1349"/>
      <c r="M317" s="1349"/>
      <c r="N317" s="1372"/>
      <c r="O317" s="1372"/>
      <c r="P317" s="1372"/>
      <c r="Q317" s="1372"/>
      <c r="R317" s="1372"/>
      <c r="S317" s="3"/>
      <c r="T317" s="3" t="s">
        <v>76</v>
      </c>
      <c r="V317" s="3"/>
      <c r="W317" s="3"/>
      <c r="X317" s="3"/>
      <c r="Y317" s="3"/>
      <c r="AA317" s="1349" t="s">
        <v>2667</v>
      </c>
      <c r="AB317" s="1349"/>
      <c r="AC317" s="1349"/>
      <c r="AD317" s="1349"/>
      <c r="AE317" s="1349"/>
      <c r="AF317" s="1349"/>
      <c r="AG317" s="1372"/>
      <c r="AH317" s="1372"/>
      <c r="AI317" s="1372"/>
      <c r="AJ317" s="1372"/>
      <c r="AK317" s="1372"/>
    </row>
    <row r="318" spans="2:37" ht="12.95" customHeight="1"/>
    <row r="319" spans="2:37" ht="12.95" customHeight="1">
      <c r="B319" s="4" t="s">
        <v>909</v>
      </c>
      <c r="C319" s="3"/>
      <c r="D319" s="3"/>
      <c r="E319" s="3"/>
      <c r="F319" s="3"/>
      <c r="H319" s="1372"/>
      <c r="I319" s="1372"/>
      <c r="J319" s="1372"/>
      <c r="K319" s="1372"/>
      <c r="L319" s="1372"/>
      <c r="M319" s="1372"/>
      <c r="N319" s="1372"/>
      <c r="O319" s="1372"/>
      <c r="P319" s="1372"/>
      <c r="Q319" s="1372"/>
      <c r="R319" s="1372"/>
      <c r="T319" s="3" t="s">
        <v>366</v>
      </c>
      <c r="V319" s="3"/>
      <c r="W319" s="3"/>
      <c r="X319" s="3"/>
      <c r="Y319" s="3"/>
      <c r="AA319" s="1372" t="s">
        <v>2656</v>
      </c>
      <c r="AB319" s="1372"/>
      <c r="AC319" s="1372"/>
      <c r="AD319" s="1372"/>
      <c r="AE319" s="1372"/>
      <c r="AF319" s="1372"/>
      <c r="AG319" s="1372"/>
      <c r="AH319" s="1372"/>
      <c r="AI319" s="1372"/>
      <c r="AJ319" s="1372"/>
      <c r="AK319" s="1372"/>
    </row>
    <row r="320" spans="2:37" ht="12.95"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349" t="s">
        <v>2657</v>
      </c>
      <c r="AB320" s="1349"/>
      <c r="AC320" s="1349"/>
      <c r="AD320" s="1349"/>
      <c r="AE320" s="1349"/>
      <c r="AF320" s="1349"/>
      <c r="AG320" s="1349"/>
      <c r="AH320" s="1349"/>
      <c r="AI320" s="1349"/>
      <c r="AJ320" s="1349"/>
      <c r="AK320" s="1349"/>
    </row>
    <row r="321" spans="2:37" ht="12.95"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2658</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2668</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5"/>
      <c r="I323" s="1425"/>
      <c r="J323" s="1425"/>
      <c r="K323" s="1425"/>
      <c r="L323" s="1425"/>
      <c r="M323" s="1425"/>
      <c r="N323" s="4" t="s">
        <v>206</v>
      </c>
      <c r="O323" s="4"/>
      <c r="P323" s="1418"/>
      <c r="Q323" s="1418"/>
      <c r="R323" s="1418"/>
      <c r="S323" s="3"/>
      <c r="T323" s="3" t="s">
        <v>88</v>
      </c>
      <c r="V323" s="3"/>
      <c r="W323" s="3"/>
      <c r="X323" s="3"/>
      <c r="Y323" s="3"/>
      <c r="AA323" s="1424" t="s">
        <v>2669</v>
      </c>
      <c r="AB323" s="1425"/>
      <c r="AC323" s="1425"/>
      <c r="AD323" s="1425"/>
      <c r="AE323" s="1425"/>
      <c r="AF323" s="1425"/>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2670</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2671</v>
      </c>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2.95" customHeight="1">
      <c r="B328" s="3" t="s">
        <v>472</v>
      </c>
      <c r="C328" s="3"/>
      <c r="D328" s="3"/>
      <c r="E328" s="3"/>
      <c r="F328" s="3"/>
      <c r="H328" s="1349" t="s">
        <v>2672</v>
      </c>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2.95" customHeight="1">
      <c r="B329" s="3" t="s">
        <v>473</v>
      </c>
      <c r="C329" s="3"/>
      <c r="D329" s="3"/>
      <c r="E329" s="3"/>
      <c r="F329" s="3"/>
      <c r="H329" s="1349" t="s">
        <v>2673</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t="s">
        <v>2674</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t="s">
        <v>2676</v>
      </c>
      <c r="I331" s="1425"/>
      <c r="J331" s="1425"/>
      <c r="K331" s="1425"/>
      <c r="L331" s="1425"/>
      <c r="M331" s="1425"/>
      <c r="N331" s="4" t="s">
        <v>206</v>
      </c>
      <c r="O331" s="4"/>
      <c r="P331" s="1418"/>
      <c r="Q331" s="1418"/>
      <c r="R331" s="1418"/>
      <c r="S331" s="3"/>
      <c r="T331" s="3" t="s">
        <v>88</v>
      </c>
      <c r="V331" s="3"/>
      <c r="W331" s="3"/>
      <c r="X331" s="3"/>
      <c r="Y331" s="3"/>
      <c r="AA331" s="1424"/>
      <c r="AB331" s="1425"/>
      <c r="AC331" s="1425"/>
      <c r="AD331" s="1425"/>
      <c r="AE331" s="1425"/>
      <c r="AF331" s="1425"/>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2675</v>
      </c>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2677</v>
      </c>
      <c r="I335" s="1372"/>
      <c r="J335" s="1372"/>
      <c r="K335" s="1372"/>
      <c r="L335" s="1372"/>
      <c r="M335" s="1372"/>
      <c r="N335" s="1372"/>
      <c r="O335" s="1372"/>
      <c r="P335" s="1372"/>
      <c r="Q335" s="1372"/>
      <c r="R335" s="1372"/>
      <c r="T335" s="204" t="s">
        <v>887</v>
      </c>
      <c r="V335" s="3"/>
      <c r="W335" s="3"/>
      <c r="X335" s="3"/>
      <c r="Y335" s="3"/>
      <c r="AA335" s="1372" t="s">
        <v>2683</v>
      </c>
      <c r="AB335" s="1372"/>
      <c r="AC335" s="1372"/>
      <c r="AD335" s="1372"/>
      <c r="AE335" s="1372"/>
      <c r="AF335" s="1372"/>
      <c r="AG335" s="1372"/>
      <c r="AH335" s="1372"/>
      <c r="AI335" s="1372"/>
      <c r="AJ335" s="1372"/>
      <c r="AK335" s="1372"/>
    </row>
    <row r="336" spans="2:37" ht="12.95" customHeight="1">
      <c r="B336" s="3" t="s">
        <v>472</v>
      </c>
      <c r="C336" s="3"/>
      <c r="D336" s="3"/>
      <c r="E336" s="3"/>
      <c r="F336" s="3"/>
      <c r="H336" s="1349" t="s">
        <v>2678</v>
      </c>
      <c r="I336" s="1349"/>
      <c r="J336" s="1349"/>
      <c r="K336" s="1349"/>
      <c r="L336" s="1349"/>
      <c r="M336" s="1349"/>
      <c r="N336" s="1349"/>
      <c r="O336" s="1349"/>
      <c r="P336" s="1349"/>
      <c r="Q336" s="1349"/>
      <c r="R336" s="1349"/>
      <c r="T336" s="3" t="s">
        <v>472</v>
      </c>
      <c r="V336" s="3"/>
      <c r="W336" s="3"/>
      <c r="X336" s="3"/>
      <c r="Y336" s="3"/>
      <c r="AA336" s="1349" t="s">
        <v>2684</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2679</v>
      </c>
      <c r="I337" s="1349"/>
      <c r="J337" s="1349"/>
      <c r="K337" s="1349"/>
      <c r="L337" s="1349"/>
      <c r="M337" s="1349"/>
      <c r="N337" s="1349"/>
      <c r="O337" s="1349"/>
      <c r="P337" s="1349"/>
      <c r="Q337" s="1349"/>
      <c r="R337" s="1349"/>
      <c r="T337" s="3" t="s">
        <v>75</v>
      </c>
      <c r="V337" s="3"/>
      <c r="W337" s="3"/>
      <c r="X337" s="3"/>
      <c r="Y337" s="3"/>
      <c r="AA337" s="1349" t="s">
        <v>2685</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2680</v>
      </c>
      <c r="I338" s="1349"/>
      <c r="J338" s="1349"/>
      <c r="K338" s="1349"/>
      <c r="L338" s="1349"/>
      <c r="M338" s="1349"/>
      <c r="N338" s="1349"/>
      <c r="O338" s="1349"/>
      <c r="P338" s="1349"/>
      <c r="Q338" s="1349"/>
      <c r="R338" s="1349"/>
      <c r="T338" s="3" t="s">
        <v>87</v>
      </c>
      <c r="V338" s="3"/>
      <c r="W338" s="3"/>
      <c r="X338" s="3"/>
      <c r="Y338" s="3"/>
      <c r="AA338" s="1349" t="s">
        <v>2686</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2681</v>
      </c>
      <c r="I339" s="1425"/>
      <c r="J339" s="1425"/>
      <c r="K339" s="1425"/>
      <c r="L339" s="1425"/>
      <c r="M339" s="1425"/>
      <c r="N339" s="4" t="s">
        <v>206</v>
      </c>
      <c r="O339" s="4"/>
      <c r="P339" s="1418"/>
      <c r="Q339" s="1418"/>
      <c r="R339" s="1418"/>
      <c r="S339" s="3"/>
      <c r="T339" s="3" t="s">
        <v>88</v>
      </c>
      <c r="V339" s="3"/>
      <c r="W339" s="3"/>
      <c r="X339" s="3"/>
      <c r="Y339" s="3"/>
      <c r="AA339" s="1424" t="s">
        <v>2688</v>
      </c>
      <c r="AB339" s="1425"/>
      <c r="AC339" s="1425"/>
      <c r="AD339" s="1425"/>
      <c r="AE339" s="1425"/>
      <c r="AF339" s="1425"/>
      <c r="AG339" s="4" t="s">
        <v>206</v>
      </c>
      <c r="AH339" s="4"/>
      <c r="AI339" s="1418"/>
      <c r="AJ339" s="1418"/>
      <c r="AK339" s="1418"/>
    </row>
    <row r="340" spans="1:66" ht="12.9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2682</v>
      </c>
      <c r="I341" s="1349"/>
      <c r="J341" s="1349"/>
      <c r="K341" s="1349"/>
      <c r="L341" s="1349"/>
      <c r="M341" s="1349"/>
      <c r="N341" s="1372"/>
      <c r="O341" s="1372"/>
      <c r="P341" s="1372"/>
      <c r="Q341" s="1372"/>
      <c r="R341" s="1372"/>
      <c r="S341" s="3"/>
      <c r="T341" s="3" t="s">
        <v>76</v>
      </c>
      <c r="V341" s="3"/>
      <c r="W341" s="3"/>
      <c r="X341" s="3"/>
      <c r="Y341" s="3"/>
      <c r="AA341" s="1349" t="s">
        <v>2687</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2097</v>
      </c>
      <c r="M355" s="1332" t="s">
        <v>546</v>
      </c>
      <c r="N355" s="1332"/>
      <c r="P355" t="s">
        <v>1649</v>
      </c>
      <c r="AJ355" s="1332" t="s">
        <v>670</v>
      </c>
      <c r="AK355" s="1332"/>
    </row>
    <row r="356" spans="1:46" ht="12.95" customHeight="1">
      <c r="D356" s="3" t="s">
        <v>1638</v>
      </c>
      <c r="M356" s="1332" t="s">
        <v>592</v>
      </c>
      <c r="N356" s="1332"/>
      <c r="P356" s="3" t="s">
        <v>1718</v>
      </c>
      <c r="AJ356" s="1448"/>
      <c r="AK356" s="1448"/>
    </row>
    <row r="357" spans="1:46" ht="12.95" customHeight="1">
      <c r="D357" s="3" t="s">
        <v>705</v>
      </c>
      <c r="M357" s="1332" t="s">
        <v>592</v>
      </c>
      <c r="N357" s="1332"/>
      <c r="P357" t="s">
        <v>1648</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977</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2.95"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3"/>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2.95"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2083</v>
      </c>
      <c r="F377" s="4"/>
      <c r="G377" s="4"/>
      <c r="H377" s="4"/>
      <c r="I377" s="4"/>
      <c r="J377" s="4"/>
      <c r="K377" s="4"/>
      <c r="L377" s="4"/>
      <c r="N377" t="s">
        <v>2078</v>
      </c>
      <c r="R377" s="27" t="s">
        <v>305</v>
      </c>
      <c r="S377" s="1815"/>
      <c r="T377" s="1815"/>
      <c r="U377" s="1" t="s">
        <v>306</v>
      </c>
      <c r="V377" s="1815"/>
      <c r="W377" s="1815"/>
      <c r="Y377" t="s">
        <v>2078</v>
      </c>
      <c r="AC377" s="27" t="s">
        <v>305</v>
      </c>
      <c r="AD377" s="1815"/>
      <c r="AE377" s="1815"/>
      <c r="AF377" s="1" t="s">
        <v>306</v>
      </c>
      <c r="AG377" s="1815"/>
      <c r="AH377" s="1815"/>
    </row>
    <row r="378" spans="1:34" ht="12.95" customHeight="1">
      <c r="E378" s="4" t="s">
        <v>986</v>
      </c>
      <c r="F378" s="4"/>
      <c r="G378" s="4"/>
      <c r="H378" s="4"/>
      <c r="I378" s="4"/>
      <c r="J378" s="4"/>
      <c r="K378" s="4"/>
      <c r="L378" s="4"/>
      <c r="N378" s="1815"/>
      <c r="O378" s="1815"/>
      <c r="P378" s="1815"/>
    </row>
    <row r="379" spans="1:34" ht="12.95" customHeight="1">
      <c r="E379" s="204" t="s">
        <v>2084</v>
      </c>
      <c r="F379" s="4"/>
      <c r="G379" s="4"/>
      <c r="H379" s="4"/>
      <c r="I379" s="4"/>
      <c r="J379" s="4"/>
      <c r="K379" s="4"/>
      <c r="L379" s="4"/>
      <c r="AG379" s="1804" t="s">
        <v>592</v>
      </c>
      <c r="AH379" s="1804"/>
    </row>
    <row r="380" spans="1:34" ht="12.95" customHeight="1">
      <c r="E380" s="4"/>
      <c r="F380" s="4"/>
      <c r="G380" s="4" t="s">
        <v>2085</v>
      </c>
      <c r="H380" s="4"/>
      <c r="I380" s="4"/>
      <c r="J380" s="4"/>
      <c r="K380" s="4"/>
      <c r="L380" s="4"/>
      <c r="AG380" s="1804" t="s">
        <v>592</v>
      </c>
      <c r="AH380" s="1804"/>
    </row>
    <row r="381" spans="1:34" ht="12.95" customHeight="1">
      <c r="E381" s="4"/>
      <c r="F381" s="4"/>
      <c r="G381" s="320" t="s">
        <v>987</v>
      </c>
      <c r="H381" s="4"/>
      <c r="I381" s="4"/>
      <c r="J381" s="4"/>
      <c r="K381" s="4"/>
      <c r="L381" s="4"/>
      <c r="V381" s="1332" t="s">
        <v>592</v>
      </c>
      <c r="W381" s="1332"/>
      <c r="Y381" s="22" t="s">
        <v>979</v>
      </c>
    </row>
    <row r="382" spans="1:34" ht="12.95" customHeight="1">
      <c r="E382" s="4" t="s">
        <v>980</v>
      </c>
      <c r="F382" s="4"/>
      <c r="G382" s="4"/>
      <c r="H382" s="4"/>
      <c r="I382" s="4"/>
      <c r="J382" s="4"/>
      <c r="K382" s="4"/>
      <c r="L382" s="4"/>
      <c r="V382" s="1332" t="s">
        <v>592</v>
      </c>
      <c r="W382" s="1332"/>
      <c r="Y382" s="4" t="s">
        <v>981</v>
      </c>
    </row>
    <row r="383" spans="1:34" ht="12.95" customHeight="1"/>
    <row r="384" spans="1:34" ht="12.95" customHeight="1">
      <c r="A384" s="2" t="s">
        <v>78</v>
      </c>
      <c r="B384" s="2"/>
    </row>
    <row r="385" spans="4:36" ht="12.95" customHeight="1">
      <c r="D385" t="s">
        <v>428</v>
      </c>
      <c r="J385" s="1372" t="s">
        <v>2689</v>
      </c>
      <c r="K385" s="1372"/>
      <c r="L385" s="1372"/>
      <c r="M385" s="1372"/>
      <c r="N385" s="1372"/>
      <c r="O385" s="1372"/>
      <c r="P385" s="1372"/>
      <c r="Q385" s="1372"/>
      <c r="R385" s="1372"/>
      <c r="S385" s="1372"/>
      <c r="T385" s="1372"/>
      <c r="U385" s="1372"/>
      <c r="V385" s="8" t="s">
        <v>83</v>
      </c>
      <c r="W385" s="8"/>
      <c r="X385" s="8"/>
      <c r="Y385" s="8"/>
      <c r="Z385" s="8"/>
      <c r="AA385" s="8"/>
      <c r="AB385" s="8"/>
      <c r="AC385" s="1372" t="s">
        <v>2692</v>
      </c>
      <c r="AD385" s="1372"/>
      <c r="AE385" s="1372"/>
      <c r="AF385" s="1372"/>
      <c r="AG385" s="1372"/>
      <c r="AH385" s="1372"/>
      <c r="AI385" s="1372"/>
      <c r="AJ385" s="1372"/>
    </row>
    <row r="386" spans="4:36" ht="12.95" customHeight="1">
      <c r="D386" s="3" t="s">
        <v>1181</v>
      </c>
      <c r="J386" s="1349" t="s">
        <v>2690</v>
      </c>
      <c r="K386" s="1349"/>
      <c r="L386" s="1349"/>
      <c r="M386" s="1349"/>
      <c r="N386" s="1349"/>
      <c r="O386" s="1349"/>
      <c r="P386" s="1349"/>
      <c r="Q386" s="1349"/>
      <c r="R386" s="1349"/>
      <c r="S386" s="1349"/>
      <c r="T386" s="1349"/>
      <c r="U386" s="1349"/>
      <c r="V386" s="3" t="s">
        <v>1181</v>
      </c>
      <c r="W386" s="8"/>
      <c r="X386" s="8"/>
      <c r="Y386" s="8"/>
      <c r="Z386" s="8"/>
      <c r="AA386" s="8"/>
      <c r="AB386" s="8"/>
      <c r="AC386" s="1372" t="s">
        <v>2692</v>
      </c>
      <c r="AD386" s="1372"/>
      <c r="AE386" s="1372"/>
      <c r="AF386" s="1372"/>
      <c r="AG386" s="1372"/>
      <c r="AH386" s="1372"/>
      <c r="AI386" s="1372"/>
      <c r="AJ386" s="1372"/>
    </row>
    <row r="387" spans="4:36" ht="12.95" customHeight="1">
      <c r="D387" s="3" t="s">
        <v>442</v>
      </c>
      <c r="J387" s="1349" t="s">
        <v>2691</v>
      </c>
      <c r="K387" s="1349"/>
      <c r="L387" s="1349"/>
      <c r="M387" s="1349"/>
      <c r="N387" s="1349"/>
      <c r="O387" s="1349"/>
      <c r="P387" s="1349"/>
      <c r="Q387" s="1349"/>
      <c r="R387" s="1349"/>
      <c r="S387" s="1349"/>
      <c r="T387" s="1349"/>
      <c r="U387" s="1349"/>
      <c r="V387" s="3" t="s">
        <v>442</v>
      </c>
      <c r="W387" s="8"/>
      <c r="X387" s="8"/>
      <c r="Y387" s="8"/>
      <c r="Z387" s="8"/>
      <c r="AA387" s="8"/>
      <c r="AB387" s="8"/>
      <c r="AC387" s="1372" t="s">
        <v>2693</v>
      </c>
      <c r="AD387" s="1372"/>
      <c r="AE387" s="1372"/>
      <c r="AF387" s="1372"/>
      <c r="AG387" s="1372"/>
      <c r="AH387" s="1372"/>
      <c r="AI387" s="1372"/>
      <c r="AJ387" s="1372"/>
    </row>
    <row r="388" spans="4:36" ht="12.95" customHeight="1">
      <c r="D388" t="s">
        <v>1177</v>
      </c>
      <c r="J388" s="1403" t="s">
        <v>2694</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v>45530</v>
      </c>
      <c r="R389" s="1752"/>
      <c r="S389" s="1752"/>
      <c r="T389" s="1752"/>
      <c r="U389" s="1752"/>
      <c r="V389" t="s">
        <v>309</v>
      </c>
      <c r="AI389" s="1332" t="s">
        <v>670</v>
      </c>
      <c r="AJ389" s="1332"/>
    </row>
    <row r="390" spans="4:36" ht="12.95" customHeight="1">
      <c r="D390" t="s">
        <v>5</v>
      </c>
      <c r="Q390" s="1535">
        <v>46203</v>
      </c>
      <c r="R390" s="1819"/>
      <c r="S390" s="1819"/>
      <c r="T390" s="1819"/>
      <c r="U390" s="1819"/>
      <c r="W390" s="21" t="s">
        <v>74</v>
      </c>
      <c r="AG390" s="1817"/>
      <c r="AH390" s="1817"/>
      <c r="AI390" s="1817"/>
      <c r="AJ390" s="1817"/>
    </row>
    <row r="391" spans="4:36" ht="12.95" customHeight="1">
      <c r="D391" t="s">
        <v>427</v>
      </c>
      <c r="Q391" s="1828">
        <v>1</v>
      </c>
      <c r="R391" s="1828"/>
      <c r="S391" s="1828"/>
      <c r="T391" s="1828"/>
      <c r="U391" s="1828"/>
      <c r="V391" s="3" t="s">
        <v>1180</v>
      </c>
      <c r="AG391" s="1818">
        <v>46143</v>
      </c>
      <c r="AH391" s="1818"/>
      <c r="AI391" s="1818"/>
      <c r="AJ391" s="1818"/>
    </row>
    <row r="392" spans="4:36" ht="12.95" customHeight="1">
      <c r="D392" t="s">
        <v>88</v>
      </c>
      <c r="I392" s="1424" t="s">
        <v>2695</v>
      </c>
      <c r="J392" s="1425"/>
      <c r="K392" s="1425"/>
      <c r="L392" s="1425"/>
      <c r="M392" s="1425"/>
      <c r="N392" s="1425"/>
      <c r="Q392" s="4" t="s">
        <v>206</v>
      </c>
      <c r="S392" s="1827"/>
      <c r="T392" s="1827"/>
      <c r="U392" s="1827"/>
      <c r="V392" t="s">
        <v>73</v>
      </c>
      <c r="AI392" s="1332" t="s">
        <v>670</v>
      </c>
      <c r="AJ392" s="1332"/>
    </row>
    <row r="393" spans="4:36" ht="12.95" customHeight="1">
      <c r="D393" t="s">
        <v>310</v>
      </c>
      <c r="Q393" s="1409">
        <f>AG393/12</f>
        <v>27500</v>
      </c>
      <c r="R393" s="1409"/>
      <c r="S393" s="1409"/>
      <c r="T393" s="1409"/>
      <c r="U393" s="1409"/>
      <c r="V393" t="s">
        <v>311</v>
      </c>
      <c r="AG393" s="1817">
        <f>'Sources and Uses Budget'!C13</f>
        <v>330000</v>
      </c>
      <c r="AH393" s="1817"/>
      <c r="AI393" s="1817"/>
      <c r="AJ393" s="1817"/>
    </row>
    <row r="394" spans="4:36" ht="12.95" customHeight="1">
      <c r="D394" t="s">
        <v>312</v>
      </c>
      <c r="Q394" s="1756">
        <v>1.1599999999999999E-2</v>
      </c>
      <c r="R394" s="1756"/>
      <c r="S394" s="1756"/>
      <c r="T394" s="1756"/>
      <c r="U394" s="1756"/>
      <c r="V394" t="s">
        <v>1162</v>
      </c>
      <c r="AG394" s="1817"/>
      <c r="AH394" s="1817"/>
      <c r="AI394" s="1817"/>
      <c r="AJ394" s="1817"/>
    </row>
    <row r="395" spans="4:36" ht="12.95" customHeight="1">
      <c r="D395" t="s">
        <v>1161</v>
      </c>
      <c r="AG395" s="1817"/>
      <c r="AH395" s="1817"/>
      <c r="AI395" s="1817"/>
      <c r="AJ395" s="1817"/>
    </row>
    <row r="396" spans="4:36" ht="12.95" customHeight="1">
      <c r="AG396" s="456"/>
      <c r="AH396" s="456"/>
      <c r="AI396" s="456"/>
      <c r="AJ396" s="456"/>
    </row>
    <row r="397" spans="4:36" ht="12.95" customHeight="1">
      <c r="D397" s="3" t="s">
        <v>2141</v>
      </c>
      <c r="AG397" s="456"/>
      <c r="AH397" s="456"/>
      <c r="AI397" s="1332" t="s">
        <v>546</v>
      </c>
      <c r="AJ397" s="1332"/>
    </row>
    <row r="398" spans="4:36" ht="12.95" customHeight="1">
      <c r="D398" s="3" t="s">
        <v>1666</v>
      </c>
      <c r="T398" s="1751" t="s">
        <v>2689</v>
      </c>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1665</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1659</v>
      </c>
      <c r="S401" s="1751" t="s">
        <v>670</v>
      </c>
      <c r="T401" s="1751"/>
      <c r="U401" s="1751"/>
      <c r="V401" t="s">
        <v>1660</v>
      </c>
      <c r="AG401" s="1821"/>
      <c r="AH401" s="1821"/>
      <c r="AI401" s="1821"/>
      <c r="AJ401" s="1821"/>
    </row>
    <row r="402" spans="1:36" ht="12.95" customHeight="1">
      <c r="D402" s="3" t="s">
        <v>1657</v>
      </c>
      <c r="S402" s="1751" t="s">
        <v>592</v>
      </c>
      <c r="T402" s="1751"/>
      <c r="U402" s="1751"/>
      <c r="V402" t="s">
        <v>1662</v>
      </c>
      <c r="AE402" s="1816"/>
      <c r="AF402" s="1816"/>
      <c r="AG402" s="1816"/>
      <c r="AH402" s="1816"/>
      <c r="AI402" s="1816"/>
      <c r="AJ402" s="1816"/>
    </row>
    <row r="403" spans="1:36" ht="12.95" customHeight="1">
      <c r="D403" s="3" t="s">
        <v>1658</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1661</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1664</v>
      </c>
      <c r="E405" s="477"/>
      <c r="F405" s="477"/>
      <c r="G405" s="477"/>
      <c r="H405" s="477"/>
      <c r="I405" s="477"/>
      <c r="J405" s="477"/>
      <c r="K405" s="477"/>
      <c r="L405" s="477"/>
      <c r="M405" s="477"/>
      <c r="N405" s="477"/>
      <c r="O405" s="477"/>
      <c r="P405" s="477"/>
      <c r="Q405" s="477"/>
      <c r="R405" s="477"/>
      <c r="S405" s="1826" t="s">
        <v>2696</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1203</v>
      </c>
      <c r="I410" s="1417" t="s">
        <v>2724</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546</v>
      </c>
      <c r="S411" s="1332"/>
      <c r="AC411" s="27" t="s">
        <v>571</v>
      </c>
      <c r="AD411" s="1664">
        <v>4</v>
      </c>
      <c r="AE411" s="1664"/>
    </row>
    <row r="412" spans="1:36" ht="12.95" customHeight="1">
      <c r="E412" t="s">
        <v>107</v>
      </c>
      <c r="R412" s="1332" t="s">
        <v>592</v>
      </c>
      <c r="S412" s="1332"/>
      <c r="AC412" s="27" t="s">
        <v>571</v>
      </c>
      <c r="AD412" s="1664"/>
      <c r="AE412" s="1664"/>
    </row>
    <row r="413" spans="1:36" ht="12.95" customHeight="1">
      <c r="E413" t="s">
        <v>108</v>
      </c>
      <c r="S413" s="1332" t="s">
        <v>592</v>
      </c>
      <c r="T413" s="1332"/>
    </row>
    <row r="414" spans="1:36" ht="12.95" customHeight="1">
      <c r="E414" t="s">
        <v>170</v>
      </c>
      <c r="H414" s="1757" t="s">
        <v>2725</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591</v>
      </c>
      <c r="B417" s="2"/>
      <c r="C417" s="2"/>
      <c r="D417" s="2" t="s">
        <v>114</v>
      </c>
      <c r="AF417" s="2" t="s">
        <v>957</v>
      </c>
    </row>
    <row r="418" spans="1:39" ht="12.95" customHeight="1">
      <c r="E418" s="1815"/>
      <c r="F418" s="1815"/>
      <c r="G418" s="1815"/>
      <c r="H418" s="13" t="s">
        <v>115</v>
      </c>
      <c r="I418" s="1815"/>
      <c r="J418" s="1815"/>
      <c r="K418" s="1815"/>
      <c r="L418" t="s">
        <v>116</v>
      </c>
      <c r="N418" s="27" t="s">
        <v>576</v>
      </c>
      <c r="P418" s="1760">
        <v>7.56</v>
      </c>
      <c r="Q418" s="1760"/>
      <c r="R418" s="1760"/>
      <c r="S418" t="s">
        <v>117</v>
      </c>
      <c r="W418" s="1825">
        <f>IF(E418&gt;0,(E418*I418),(P418*43560))</f>
        <v>329313.59999999998</v>
      </c>
      <c r="X418" s="1825"/>
      <c r="Y418" s="1825"/>
      <c r="Z418" t="s">
        <v>118</v>
      </c>
      <c r="AF418" s="1761">
        <f>IFERROR(IF(P418&gt;0,(AG437/P418),(AG437/(W418/43560))),0)</f>
        <v>35.714285714285715</v>
      </c>
      <c r="AG418" s="1761"/>
      <c r="AH418" s="1761"/>
      <c r="AM418" s="3"/>
    </row>
    <row r="419" spans="1:39" ht="12.95" customHeight="1">
      <c r="E419" t="s">
        <v>51</v>
      </c>
    </row>
    <row r="420" spans="1:39" ht="12.9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5" customHeight="1">
      <c r="E421" s="118" t="s">
        <v>1735</v>
      </c>
      <c r="F421" s="1013"/>
      <c r="G421" s="1013"/>
      <c r="H421" s="1013"/>
      <c r="I421" s="1759">
        <v>7.25</v>
      </c>
      <c r="J421" s="1759"/>
      <c r="K421" s="1759"/>
      <c r="L421" s="1013"/>
      <c r="M421" s="118"/>
      <c r="N421" s="1013"/>
      <c r="O421" s="1013"/>
      <c r="P421" s="1442">
        <f>(DU755+DU778+DU800)/I421</f>
        <v>67.448275862068968</v>
      </c>
      <c r="Q421" s="1442"/>
      <c r="R421" s="1442"/>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609</v>
      </c>
      <c r="P429" s="1"/>
      <c r="Q429" s="1332" t="s">
        <v>546</v>
      </c>
      <c r="R429" s="1332"/>
    </row>
    <row r="430" spans="1:39" ht="12.95" customHeight="1">
      <c r="F430" t="s">
        <v>610</v>
      </c>
      <c r="P430" s="1"/>
      <c r="Q430" s="1"/>
      <c r="AF430" s="1332" t="s">
        <v>592</v>
      </c>
      <c r="AG430" s="1823"/>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0">
        <v>270</v>
      </c>
      <c r="AH437" s="1820"/>
      <c r="AI437" s="1820"/>
      <c r="AJ437" s="1820"/>
    </row>
    <row r="438" spans="1:55" ht="12.95" customHeight="1">
      <c r="D438" s="1743" t="s">
        <v>1221</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4">
        <v>0</v>
      </c>
      <c r="AH438" s="1614"/>
      <c r="AI438" s="1614"/>
      <c r="AJ438" s="1614"/>
    </row>
    <row r="439" spans="1:55" ht="12.95" customHeight="1">
      <c r="D439" s="1743" t="s">
        <v>1030</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0">
        <v>267</v>
      </c>
      <c r="AH439" s="1820"/>
      <c r="AI439" s="1820"/>
      <c r="AJ439" s="1820"/>
    </row>
    <row r="440" spans="1:55" ht="12.95" customHeight="1">
      <c r="D440" s="1743" t="s">
        <v>1031</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0">
        <v>267</v>
      </c>
      <c r="AH440" s="1820"/>
      <c r="AI440" s="1820"/>
      <c r="AJ440" s="1820"/>
    </row>
    <row r="441" spans="1:55" ht="12.95" customHeight="1">
      <c r="D441" s="1743" t="s">
        <v>1033</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6">
        <f>IF(ISERROR(AG440/AG439),0,AG440/AG439)</f>
        <v>1</v>
      </c>
      <c r="AH441" s="1806"/>
      <c r="AI441" s="1806"/>
      <c r="AJ441" s="1806"/>
    </row>
    <row r="442" spans="1:55" ht="12.95" customHeight="1">
      <c r="D442" s="1743" t="s">
        <v>1032</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204048</v>
      </c>
      <c r="AH442" s="1696"/>
      <c r="AI442" s="1696"/>
      <c r="AJ442" s="1696"/>
    </row>
    <row r="443" spans="1:55" ht="12.95" customHeight="1">
      <c r="D443" s="1743" t="s">
        <v>1034</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204048</v>
      </c>
      <c r="AH443" s="1696"/>
      <c r="AI443" s="1696"/>
      <c r="AJ443" s="1696"/>
    </row>
    <row r="444" spans="1:55" ht="12.95" customHeight="1">
      <c r="D444" s="1743" t="s">
        <v>1035</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6">
        <f>IF(ISERROR(AG443/AG442),0,AG443/AG442)</f>
        <v>1</v>
      </c>
      <c r="AH444" s="1806"/>
      <c r="AI444" s="1806"/>
      <c r="AJ444" s="1806"/>
    </row>
    <row r="445" spans="1:55" ht="12.95" customHeight="1">
      <c r="D445" s="1743" t="s">
        <v>1036</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6">
        <f>MIN(IF(AG441&gt;AG444,AG444,AG441),1)</f>
        <v>1</v>
      </c>
      <c r="AH445" s="1806"/>
      <c r="AI445" s="1806"/>
      <c r="AJ445" s="1806"/>
    </row>
    <row r="446" spans="1:55" ht="12.95" customHeight="1">
      <c r="D446" s="1743" t="s">
        <v>2086</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v>4759</v>
      </c>
      <c r="AH446" s="1696"/>
      <c r="AI446" s="1696"/>
      <c r="AJ446" s="1696"/>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v>0</v>
      </c>
      <c r="AH447" s="1696"/>
      <c r="AI447" s="1696"/>
      <c r="AJ447" s="1696"/>
      <c r="AZ447" s="3"/>
      <c r="BA447" s="3"/>
      <c r="BB447" s="3"/>
      <c r="BC447" s="3"/>
    </row>
    <row r="448" spans="1:55" ht="12.95" customHeight="1">
      <c r="D448" s="1743" t="s">
        <v>1204</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v>73753</v>
      </c>
      <c r="AH448" s="1696"/>
      <c r="AI448" s="1696"/>
      <c r="AJ448" s="1696"/>
      <c r="AZ448" s="3"/>
      <c r="BA448" s="3"/>
      <c r="BB448" s="3"/>
      <c r="BC448" s="3"/>
    </row>
    <row r="449" spans="1:55" ht="12.95" customHeight="1">
      <c r="D449" s="1743" t="s">
        <v>1037</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v>0</v>
      </c>
      <c r="AH449" s="1696"/>
      <c r="AI449" s="1696"/>
      <c r="AJ449" s="1696"/>
      <c r="BB449" s="3"/>
      <c r="BC449" s="3"/>
    </row>
    <row r="450" spans="1:55" ht="12.95" customHeight="1">
      <c r="D450" s="1767" t="s">
        <v>1038</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4">
        <f>AG442+AG446+AG448+AG449</f>
        <v>282560</v>
      </c>
      <c r="AH450" s="1844"/>
      <c r="AI450" s="1844"/>
      <c r="AJ450" s="1844"/>
      <c r="AZ450" s="3"/>
      <c r="BA450" s="3"/>
      <c r="BB450" s="3"/>
      <c r="BC450" s="3"/>
    </row>
    <row r="451" spans="1:55" ht="12.95" customHeight="1">
      <c r="D451" s="1746" t="s">
        <v>1205</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487527.00740740739</v>
      </c>
      <c r="AD454" s="1812"/>
      <c r="AE454" s="1812"/>
      <c r="AF454" s="1812"/>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487527.00740740739</v>
      </c>
      <c r="AD455" s="1812"/>
      <c r="AE455" s="1812"/>
      <c r="AF455" s="1812"/>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455287.27777777775</v>
      </c>
      <c r="AD456" s="1812"/>
      <c r="AE456" s="1812"/>
      <c r="AF456" s="1812"/>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2098</v>
      </c>
      <c r="E465" s="1754"/>
      <c r="F465" s="1754"/>
      <c r="G465" s="1754"/>
      <c r="H465" s="1754"/>
      <c r="I465" s="1754"/>
      <c r="J465" s="1754"/>
      <c r="K465" s="1754"/>
      <c r="L465" s="1754"/>
      <c r="M465" s="1754"/>
      <c r="N465" s="1754"/>
      <c r="O465" s="1754"/>
      <c r="P465" s="1754"/>
      <c r="Q465" s="1754"/>
      <c r="R465" s="1754"/>
      <c r="S465" s="1754"/>
      <c r="T465" s="1754"/>
      <c r="U465" s="1754"/>
      <c r="V465" s="1755"/>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1011</v>
      </c>
      <c r="E471" s="1754"/>
      <c r="F471" s="1754"/>
      <c r="G471" s="1754"/>
      <c r="H471" s="1754"/>
      <c r="I471" s="1754"/>
      <c r="J471" s="1754"/>
      <c r="K471" s="1754"/>
      <c r="L471" s="1754"/>
      <c r="M471" s="1754"/>
      <c r="N471" s="1754"/>
      <c r="O471" s="1754"/>
      <c r="P471" s="1754"/>
      <c r="Q471" s="1754"/>
      <c r="R471" s="1754"/>
      <c r="S471" s="1754"/>
      <c r="T471" s="1754"/>
      <c r="U471" s="1754"/>
      <c r="V471" s="1755"/>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2189</v>
      </c>
      <c r="E472" s="1848"/>
      <c r="F472" s="1848"/>
      <c r="G472" s="1848"/>
      <c r="H472" s="1848"/>
      <c r="I472" s="1848"/>
      <c r="J472" s="1848"/>
      <c r="K472" s="1848"/>
      <c r="L472" s="1848"/>
      <c r="M472" s="1848"/>
      <c r="N472" s="1848"/>
      <c r="O472" s="1848"/>
      <c r="P472" s="1848"/>
      <c r="Q472" s="1848"/>
      <c r="R472" s="1848"/>
      <c r="S472" s="1848"/>
      <c r="T472" s="1848"/>
      <c r="U472" s="1848"/>
      <c r="V472" s="1849"/>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1653</v>
      </c>
      <c r="E473" s="1754"/>
      <c r="F473" s="1754"/>
      <c r="G473" s="1754"/>
      <c r="H473" s="1754"/>
      <c r="I473" s="1754"/>
      <c r="J473" s="1754"/>
      <c r="K473" s="1754"/>
      <c r="L473" s="1754"/>
      <c r="M473" s="1754"/>
      <c r="N473" s="1754"/>
      <c r="O473" s="1754"/>
      <c r="P473" s="1754"/>
      <c r="Q473" s="1754"/>
      <c r="R473" s="1754"/>
      <c r="S473" s="1754"/>
      <c r="T473" s="1754"/>
      <c r="U473" s="1754"/>
      <c r="V473" s="1755"/>
      <c r="W473" s="1666">
        <v>68</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394</v>
      </c>
      <c r="C486" s="5"/>
      <c r="D486" s="5"/>
      <c r="E486" s="5"/>
      <c r="F486" s="5"/>
      <c r="G486" s="5"/>
      <c r="H486" s="5"/>
      <c r="I486" s="5"/>
      <c r="J486" s="5"/>
      <c r="K486" s="5"/>
      <c r="L486" s="5"/>
      <c r="M486" s="5"/>
      <c r="N486" s="5"/>
      <c r="O486" s="5"/>
      <c r="P486" s="5"/>
      <c r="Q486" s="1578" t="s">
        <v>2697</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78" t="s">
        <v>2698</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78" t="s">
        <v>592</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2" t="s">
        <v>397</v>
      </c>
      <c r="C489" s="1833"/>
      <c r="D489" s="1833"/>
      <c r="E489" s="1833"/>
      <c r="F489" s="1833"/>
      <c r="G489" s="1833"/>
      <c r="H489" s="1833"/>
      <c r="I489" s="1833"/>
      <c r="J489" s="1833"/>
      <c r="K489" s="1833"/>
      <c r="L489" s="1833"/>
      <c r="M489" s="1833"/>
      <c r="N489" s="1833"/>
      <c r="O489" s="1833"/>
      <c r="P489" s="1834"/>
      <c r="Q489" s="1838" t="s">
        <v>670</v>
      </c>
      <c r="R489" s="1839"/>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45" t="s">
        <v>670</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8" t="s">
        <v>2699</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8" t="s">
        <v>2700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8">
        <v>417</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1668</v>
      </c>
      <c r="C495" s="5"/>
      <c r="D495" s="5"/>
      <c r="E495" s="5"/>
      <c r="F495" s="5"/>
      <c r="G495" s="5"/>
      <c r="H495" s="5"/>
      <c r="I495" s="5"/>
      <c r="J495" s="5"/>
      <c r="K495" s="5"/>
      <c r="L495" s="5"/>
      <c r="M495" s="1447"/>
      <c r="N495" s="1448"/>
      <c r="O495" s="1448"/>
      <c r="P495" s="1449"/>
      <c r="Q495" s="121" t="s">
        <v>1669</v>
      </c>
      <c r="R495" s="5"/>
      <c r="S495" s="5"/>
      <c r="T495" s="5"/>
      <c r="U495" s="5"/>
      <c r="V495" s="5"/>
      <c r="W495" s="5"/>
      <c r="X495" s="5"/>
      <c r="Y495" s="5"/>
      <c r="Z495" s="5"/>
      <c r="AA495" s="5"/>
      <c r="AB495" s="5"/>
      <c r="AC495" s="5"/>
      <c r="AD495" s="5"/>
      <c r="AE495" s="5"/>
      <c r="AF495" s="5"/>
      <c r="AG495" s="5"/>
      <c r="AH495" s="1447">
        <f>Q494</f>
        <v>417</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v>12</v>
      </c>
      <c r="AD501" s="1664"/>
      <c r="AE501" s="1664"/>
      <c r="AF501" s="1664"/>
      <c r="AG501" s="13" t="s">
        <v>403</v>
      </c>
      <c r="AH501" s="1403">
        <v>2014</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5</v>
      </c>
      <c r="AD502" s="1664"/>
      <c r="AE502" s="1664"/>
      <c r="AF502" s="1664"/>
      <c r="AG502" s="38" t="s">
        <v>403</v>
      </c>
      <c r="AH502" s="1403">
        <v>2026</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592</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v>1</v>
      </c>
      <c r="AD505" s="1664"/>
      <c r="AE505" s="1664"/>
      <c r="AF505" s="1664"/>
      <c r="AG505" s="13" t="s">
        <v>403</v>
      </c>
      <c r="AH505" s="1403">
        <v>2026</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v>4</v>
      </c>
      <c r="AD506" s="1664"/>
      <c r="AE506" s="1664"/>
      <c r="AF506" s="1664"/>
      <c r="AG506" s="13" t="s">
        <v>403</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7">
        <v>4</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3"/>
      <c r="AC508" s="1663" t="s">
        <v>592</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20" t="s">
        <v>670</v>
      </c>
      <c r="AD509" s="1820"/>
      <c r="AE509" s="1820"/>
      <c r="AF509" s="1820"/>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29">
        <v>0.25</v>
      </c>
      <c r="AD512" s="1830"/>
      <c r="AE512" s="1830"/>
      <c r="AF512" s="1831"/>
      <c r="AG512" s="38"/>
      <c r="AH512" s="1748"/>
      <c r="AI512" s="1748"/>
      <c r="AJ512" s="1748"/>
      <c r="AK512" s="1749"/>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2"/>
      <c r="AZ513" s="3"/>
      <c r="BA513" s="3"/>
      <c r="BB513" s="3"/>
      <c r="BC513" s="3"/>
      <c r="BD513" s="3"/>
      <c r="BE513" s="3"/>
      <c r="BF513" s="3"/>
      <c r="BG513" s="3"/>
      <c r="BH513" s="3"/>
      <c r="BI513" s="3"/>
      <c r="BJ513" s="3"/>
      <c r="BK513" s="3"/>
      <c r="BL513" s="3"/>
      <c r="BM513" s="3"/>
      <c r="BN513" s="3" t="s">
        <v>2103</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7</v>
      </c>
      <c r="AD514" s="1664"/>
      <c r="AE514" s="1664"/>
      <c r="AF514" s="1664"/>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2104</v>
      </c>
    </row>
    <row r="515" spans="2:66" ht="12.95" customHeight="1">
      <c r="B515" s="1674"/>
      <c r="C515" s="1434"/>
      <c r="D515" s="1434"/>
      <c r="E515" s="1434"/>
      <c r="F515" s="1434"/>
      <c r="G515" s="1434"/>
      <c r="H515" s="1435"/>
      <c r="I515" t="s">
        <v>416</v>
      </c>
      <c r="AC515" s="1663">
        <v>9</v>
      </c>
      <c r="AD515" s="1664"/>
      <c r="AE515" s="1664"/>
      <c r="AF515" s="1664"/>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2105</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5</v>
      </c>
      <c r="AD516" s="1664"/>
      <c r="AE516" s="1664"/>
      <c r="AF516" s="1664"/>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2106</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v>7</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2107</v>
      </c>
    </row>
    <row r="518" spans="2:66" ht="12.95" customHeight="1">
      <c r="B518" s="1674"/>
      <c r="C518" s="1434"/>
      <c r="D518" s="1434"/>
      <c r="E518" s="1434"/>
      <c r="F518" s="1434"/>
      <c r="G518" s="1434"/>
      <c r="H518" s="1435"/>
      <c r="I518" t="s">
        <v>416</v>
      </c>
      <c r="AC518" s="1663">
        <v>9</v>
      </c>
      <c r="AD518" s="1664"/>
      <c r="AE518" s="1664"/>
      <c r="AF518" s="1664"/>
      <c r="AG518" s="13" t="s">
        <v>403</v>
      </c>
      <c r="AH518" s="1403">
        <v>2025</v>
      </c>
      <c r="AI518" s="1403"/>
      <c r="AJ518" s="1403"/>
      <c r="AK518" s="1404"/>
      <c r="BB518" s="3"/>
      <c r="BC518" s="3"/>
      <c r="BD518" s="3"/>
      <c r="BE518" s="3"/>
      <c r="BF518" s="3"/>
      <c r="BG518" s="3"/>
      <c r="BH518" s="3"/>
      <c r="BI518" s="3"/>
      <c r="BJ518" s="3"/>
      <c r="BK518" s="3"/>
      <c r="BL518" s="3"/>
      <c r="BM518" s="3"/>
      <c r="BN518" s="3" t="s">
        <v>2108</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11</v>
      </c>
      <c r="AD519" s="1664"/>
      <c r="AE519" s="1664"/>
      <c r="AF519" s="1664"/>
      <c r="AG519" s="38" t="s">
        <v>403</v>
      </c>
      <c r="AH519" s="1403">
        <v>2029</v>
      </c>
      <c r="AI519" s="1403"/>
      <c r="AJ519" s="1403"/>
      <c r="AK519" s="1404"/>
      <c r="BB519" s="3"/>
      <c r="BC519" s="3"/>
      <c r="BD519" s="3"/>
      <c r="BE519" s="3"/>
      <c r="BF519" s="3"/>
      <c r="BG519" s="3"/>
      <c r="BH519" s="3"/>
      <c r="BI519" s="3"/>
      <c r="BJ519" s="3"/>
      <c r="BK519" s="3"/>
      <c r="BL519" s="3"/>
      <c r="BM519" s="3"/>
      <c r="BN519" s="3" t="s">
        <v>2109</v>
      </c>
    </row>
    <row r="520" spans="2:66" ht="12.95" customHeight="1">
      <c r="B520" s="1673" t="s">
        <v>419</v>
      </c>
      <c r="C520" s="1432"/>
      <c r="D520" s="1432"/>
      <c r="E520" s="1432"/>
      <c r="F520" s="1432"/>
      <c r="G520" s="1432"/>
      <c r="H520" s="1433"/>
      <c r="I520" s="41" t="s">
        <v>420</v>
      </c>
      <c r="J520" s="42"/>
      <c r="K520" s="42"/>
      <c r="L520" s="42"/>
      <c r="M520" s="42"/>
      <c r="N520" s="42"/>
      <c r="O520" s="1750" t="s">
        <v>334</v>
      </c>
      <c r="P520" s="1751"/>
      <c r="Q520" s="1751"/>
      <c r="R520" s="1751"/>
      <c r="S520" s="1751"/>
      <c r="T520" s="1751"/>
      <c r="U520" s="1751"/>
      <c r="V520" s="1751"/>
      <c r="W520" s="1751"/>
      <c r="X520" s="1751"/>
      <c r="Y520" s="1751"/>
      <c r="Z520" s="1751"/>
      <c r="AA520" s="1751"/>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2110</v>
      </c>
    </row>
    <row r="521" spans="2:66" ht="12.95" customHeight="1">
      <c r="B521" s="1674"/>
      <c r="C521" s="1434"/>
      <c r="D521" s="1434"/>
      <c r="E521" s="1434"/>
      <c r="F521" s="1434"/>
      <c r="G521" s="1434"/>
      <c r="H521" s="1435"/>
      <c r="I521" s="114" t="s">
        <v>421</v>
      </c>
      <c r="AB521" s="65"/>
      <c r="AC521" s="1663" t="s">
        <v>592</v>
      </c>
      <c r="AD521" s="1664"/>
      <c r="AE521" s="1664"/>
      <c r="AF521" s="1664"/>
      <c r="AG521" s="13" t="s">
        <v>403</v>
      </c>
      <c r="AH521" s="1403"/>
      <c r="AI521" s="1403"/>
      <c r="AJ521" s="1403"/>
      <c r="AK521" s="1404"/>
      <c r="AZ521" s="3"/>
      <c r="BB521" s="3"/>
      <c r="BC521" s="3"/>
      <c r="BD521" s="3"/>
      <c r="BE521" s="3"/>
      <c r="BF521" s="3"/>
      <c r="BG521" s="3"/>
      <c r="BH521" s="3"/>
      <c r="BI521" s="3"/>
      <c r="BJ521" s="3"/>
      <c r="BK521" s="3"/>
      <c r="BL521" s="3"/>
      <c r="BM521" s="3"/>
      <c r="BN521" s="3" t="s">
        <v>2111</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t="s">
        <v>592</v>
      </c>
      <c r="AD522" s="1664"/>
      <c r="AE522" s="1664"/>
      <c r="AF522" s="1664"/>
      <c r="AG522" s="38" t="s">
        <v>403</v>
      </c>
      <c r="AH522" s="1403"/>
      <c r="AI522" s="1403"/>
      <c r="AJ522" s="1403"/>
      <c r="AK522" s="1404"/>
      <c r="AZ522" s="3"/>
      <c r="BA522" s="3"/>
      <c r="BB522" s="3"/>
      <c r="BC522" s="3"/>
      <c r="BD522" s="3"/>
      <c r="BE522" s="3"/>
      <c r="BF522" s="3"/>
      <c r="BG522" s="3"/>
      <c r="BH522" s="3"/>
      <c r="BI522" s="3"/>
      <c r="BJ522" s="3"/>
      <c r="BK522" s="3"/>
      <c r="BL522" s="3"/>
      <c r="BM522" s="3"/>
      <c r="BN522" s="3" t="s">
        <v>2112</v>
      </c>
    </row>
    <row r="523" spans="2:66" ht="12.95" customHeight="1">
      <c r="B523" s="1674"/>
      <c r="C523" s="1434"/>
      <c r="D523" s="1434"/>
      <c r="E523" s="1434"/>
      <c r="F523" s="1434"/>
      <c r="G523" s="1434"/>
      <c r="H523" s="1435"/>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3" t="s">
        <v>592</v>
      </c>
      <c r="AD523" s="1664"/>
      <c r="AE523" s="1664"/>
      <c r="AF523" s="1664"/>
      <c r="AG523" s="13" t="s">
        <v>403</v>
      </c>
      <c r="AH523" s="1403"/>
      <c r="AI523" s="1403"/>
      <c r="AJ523" s="1403"/>
      <c r="AK523" s="1404"/>
      <c r="AZ523" s="3"/>
      <c r="BA523" s="3"/>
      <c r="BB523" s="3"/>
      <c r="BC523" s="3"/>
      <c r="BD523" s="3"/>
      <c r="BE523" s="3"/>
      <c r="BF523" s="3"/>
      <c r="BG523" s="3"/>
      <c r="BH523" s="3"/>
      <c r="BI523" s="3"/>
      <c r="BJ523" s="3"/>
      <c r="BK523" s="3"/>
      <c r="BL523" s="3"/>
      <c r="BM523" s="3"/>
      <c r="BN523" s="3" t="s">
        <v>2113</v>
      </c>
    </row>
    <row r="524" spans="2:66" ht="12.95" customHeight="1">
      <c r="B524" s="1674"/>
      <c r="C524" s="1434"/>
      <c r="D524" s="1434"/>
      <c r="E524" s="1434"/>
      <c r="F524" s="1434"/>
      <c r="G524" s="1434"/>
      <c r="H524" s="1435"/>
      <c r="I524" t="s">
        <v>421</v>
      </c>
      <c r="AC524" s="1663" t="s">
        <v>592</v>
      </c>
      <c r="AD524" s="1664"/>
      <c r="AE524" s="1664"/>
      <c r="AF524" s="1664"/>
      <c r="AG524" s="13" t="s">
        <v>403</v>
      </c>
      <c r="AH524" s="1403"/>
      <c r="AI524" s="1403"/>
      <c r="AJ524" s="1403"/>
      <c r="AK524" s="1404"/>
      <c r="AZ524" s="3"/>
      <c r="BA524" s="3"/>
      <c r="BB524" s="3"/>
      <c r="BC524" s="3"/>
      <c r="BD524" s="3"/>
      <c r="BE524" s="3"/>
      <c r="BF524" s="3"/>
      <c r="BG524" s="3"/>
      <c r="BH524" s="3"/>
      <c r="BI524" s="3"/>
      <c r="BJ524" s="3"/>
      <c r="BK524" s="3"/>
      <c r="BL524" s="3"/>
      <c r="BM524" s="3"/>
      <c r="BN524" s="3" t="s">
        <v>2114</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3"/>
      <c r="AI525" s="1403"/>
      <c r="AJ525" s="1403"/>
      <c r="AK525" s="1404"/>
      <c r="AZ525" s="3"/>
      <c r="BA525" s="3"/>
      <c r="BB525" s="3"/>
      <c r="BC525" s="3"/>
      <c r="BD525" s="3"/>
      <c r="BE525" s="3"/>
      <c r="BF525" s="3"/>
      <c r="BG525" s="3"/>
      <c r="BH525" s="3"/>
      <c r="BI525" s="3"/>
      <c r="BJ525" s="3"/>
      <c r="BK525" s="3"/>
      <c r="BL525" s="3"/>
      <c r="BM525" s="3"/>
      <c r="BN525" s="3" t="s">
        <v>2115</v>
      </c>
    </row>
    <row r="526" spans="2:66" ht="12.95" customHeight="1">
      <c r="B526" s="1674"/>
      <c r="C526" s="1434"/>
      <c r="D526" s="1434"/>
      <c r="E526" s="1434"/>
      <c r="F526" s="1434"/>
      <c r="G526" s="1434"/>
      <c r="H526" s="1435"/>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3" t="s">
        <v>592</v>
      </c>
      <c r="AD526" s="1664"/>
      <c r="AE526" s="1664"/>
      <c r="AF526" s="1664"/>
      <c r="AG526" s="13" t="s">
        <v>403</v>
      </c>
      <c r="AH526" s="1403"/>
      <c r="AI526" s="1403"/>
      <c r="AJ526" s="1403"/>
      <c r="AK526" s="1404"/>
      <c r="AZ526" s="3"/>
      <c r="BA526" s="3"/>
      <c r="BB526" s="3"/>
      <c r="BC526" s="3"/>
      <c r="BD526" s="3"/>
      <c r="BE526" s="3"/>
      <c r="BF526" s="3"/>
      <c r="BG526" s="3"/>
      <c r="BH526" s="3"/>
      <c r="BI526" s="3"/>
      <c r="BJ526" s="3"/>
      <c r="BK526" s="3"/>
      <c r="BL526" s="3"/>
      <c r="BM526" s="3"/>
      <c r="BN526" s="3" t="s">
        <v>2116</v>
      </c>
    </row>
    <row r="527" spans="2:66" ht="12.95" customHeight="1">
      <c r="B527" s="1674"/>
      <c r="C527" s="1434"/>
      <c r="D527" s="1434"/>
      <c r="E527" s="1434"/>
      <c r="F527" s="1434"/>
      <c r="G527" s="1434"/>
      <c r="H527" s="1435"/>
      <c r="I527" t="s">
        <v>421</v>
      </c>
      <c r="AC527" s="1663" t="s">
        <v>592</v>
      </c>
      <c r="AD527" s="1664"/>
      <c r="AE527" s="1664"/>
      <c r="AF527" s="1664"/>
      <c r="AG527" s="13" t="s">
        <v>403</v>
      </c>
      <c r="AH527" s="1403"/>
      <c r="AI527" s="1403"/>
      <c r="AJ527" s="1403"/>
      <c r="AK527" s="1404"/>
      <c r="AZ527" s="3"/>
      <c r="BA527" s="3"/>
      <c r="BB527" s="3"/>
      <c r="BC527" s="3"/>
      <c r="BD527" s="3"/>
      <c r="BE527" s="3"/>
      <c r="BF527" s="3"/>
      <c r="BG527" s="3"/>
      <c r="BH527" s="3"/>
      <c r="BI527" s="3"/>
      <c r="BJ527" s="3"/>
      <c r="BK527" s="3"/>
      <c r="BL527" s="3"/>
      <c r="BM527" s="3"/>
      <c r="BN527" s="3" t="s">
        <v>2117</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3"/>
      <c r="AI528" s="1403"/>
      <c r="AJ528" s="1403"/>
      <c r="AK528" s="1404"/>
      <c r="AZ528" s="3"/>
      <c r="BA528" s="3"/>
      <c r="BB528" s="3"/>
      <c r="BC528" s="3"/>
      <c r="BD528" s="3"/>
      <c r="BE528" s="3"/>
      <c r="BF528" s="3"/>
      <c r="BG528" s="3"/>
      <c r="BH528" s="3"/>
      <c r="BI528" s="3"/>
      <c r="BJ528" s="3"/>
      <c r="BK528" s="3"/>
      <c r="BL528" s="3"/>
      <c r="BM528" s="3"/>
      <c r="BN528" s="3" t="s">
        <v>2118</v>
      </c>
    </row>
    <row r="529" spans="1:66" ht="12.95" customHeight="1">
      <c r="B529" s="1674"/>
      <c r="C529" s="1434"/>
      <c r="D529" s="1434"/>
      <c r="E529" s="1434"/>
      <c r="F529" s="1434"/>
      <c r="G529" s="1434"/>
      <c r="H529" s="1435"/>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3" t="s">
        <v>592</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2119</v>
      </c>
    </row>
    <row r="530" spans="1:66" ht="12.95" customHeight="1">
      <c r="B530" s="1674"/>
      <c r="C530" s="1434"/>
      <c r="D530" s="1434"/>
      <c r="E530" s="1434"/>
      <c r="F530" s="1434"/>
      <c r="G530" s="1434"/>
      <c r="H530" s="1435"/>
      <c r="I530" t="s">
        <v>421</v>
      </c>
      <c r="AC530" s="1663" t="s">
        <v>592</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2120</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3"/>
      <c r="AI531" s="1403"/>
      <c r="AJ531" s="1403"/>
      <c r="AK531" s="1404"/>
      <c r="AZ531" s="3"/>
      <c r="BA531" s="3"/>
      <c r="BB531" s="3"/>
      <c r="BC531" s="3"/>
      <c r="BD531" s="3"/>
      <c r="BE531" s="3"/>
      <c r="BF531" s="3"/>
      <c r="BG531" s="3"/>
      <c r="BH531" s="3"/>
      <c r="BI531" s="3"/>
      <c r="BJ531" s="3"/>
      <c r="BK531" s="3"/>
      <c r="BL531" s="3"/>
      <c r="BM531" s="3"/>
      <c r="BN531" s="3" t="s">
        <v>2121</v>
      </c>
    </row>
    <row r="532" spans="1:66" ht="12.95" customHeight="1">
      <c r="B532" s="1674"/>
      <c r="C532" s="1434"/>
      <c r="D532" s="1434"/>
      <c r="E532" s="1434"/>
      <c r="F532" s="1434"/>
      <c r="G532" s="1434"/>
      <c r="H532" s="1435"/>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3" t="s">
        <v>592</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2122</v>
      </c>
    </row>
    <row r="533" spans="1:66" ht="12.95" customHeight="1">
      <c r="B533" s="1674"/>
      <c r="C533" s="1434"/>
      <c r="D533" s="1434"/>
      <c r="E533" s="1434"/>
      <c r="F533" s="1434"/>
      <c r="G533" s="1434"/>
      <c r="H533" s="1435"/>
      <c r="I533" t="s">
        <v>421</v>
      </c>
      <c r="AC533" s="1663" t="s">
        <v>592</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2123</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2124</v>
      </c>
    </row>
    <row r="535" spans="1:66" ht="12.95" customHeight="1">
      <c r="B535" s="1674"/>
      <c r="C535" s="1434"/>
      <c r="D535" s="1434"/>
      <c r="E535" s="1434"/>
      <c r="F535" s="1434"/>
      <c r="G535" s="1434"/>
      <c r="H535" s="1435"/>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3" t="s">
        <v>592</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2125</v>
      </c>
    </row>
    <row r="536" spans="1:66" ht="12.95" customHeight="1">
      <c r="B536" s="1674"/>
      <c r="C536" s="1434"/>
      <c r="D536" s="1434"/>
      <c r="E536" s="1434"/>
      <c r="F536" s="1434"/>
      <c r="G536" s="1434"/>
      <c r="H536" s="1435"/>
      <c r="I536" t="s">
        <v>421</v>
      </c>
      <c r="AC536" s="1663" t="s">
        <v>592</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2126</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2127</v>
      </c>
    </row>
    <row r="538" spans="1:66" ht="12.95"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12</v>
      </c>
      <c r="AD538" s="1664"/>
      <c r="AE538" s="1664"/>
      <c r="AF538" s="1664"/>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564</v>
      </c>
      <c r="AC539" s="1663">
        <v>5</v>
      </c>
      <c r="AD539" s="1664"/>
      <c r="AE539" s="1664"/>
      <c r="AF539" s="1664"/>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565</v>
      </c>
      <c r="AC540" s="1663">
        <v>9</v>
      </c>
      <c r="AD540" s="1664"/>
      <c r="AE540" s="1664"/>
      <c r="AF540" s="1664"/>
      <c r="AG540" s="38" t="s">
        <v>403</v>
      </c>
      <c r="AH540" s="1403">
        <v>2028</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566</v>
      </c>
      <c r="AC541" s="1663">
        <v>9</v>
      </c>
      <c r="AD541" s="1664"/>
      <c r="AE541" s="1664"/>
      <c r="AF541" s="1664"/>
      <c r="AG541" s="38" t="s">
        <v>403</v>
      </c>
      <c r="AH541" s="1403">
        <v>2028</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6</v>
      </c>
      <c r="AD542" s="1664"/>
      <c r="AE542" s="1664"/>
      <c r="AF542" s="1664"/>
      <c r="AG542" s="38" t="s">
        <v>403</v>
      </c>
      <c r="AH542" s="1403">
        <v>2029</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2101</v>
      </c>
      <c r="C551" s="1432"/>
      <c r="D551" s="1432"/>
      <c r="E551" s="1432"/>
      <c r="F551" s="1432"/>
      <c r="G551" s="1432"/>
      <c r="H551" s="1432"/>
      <c r="I551" s="1432"/>
      <c r="J551" s="1432"/>
      <c r="K551" s="1432"/>
      <c r="L551" s="1433"/>
      <c r="M551" s="1673" t="s">
        <v>2102</v>
      </c>
      <c r="N551" s="1432"/>
      <c r="O551" s="1432"/>
      <c r="P551" s="1433"/>
      <c r="Q551" s="1673" t="s">
        <v>2128</v>
      </c>
      <c r="R551" s="1432"/>
      <c r="S551" s="1433"/>
      <c r="T551" s="1673" t="s">
        <v>2129</v>
      </c>
      <c r="U551" s="1432"/>
      <c r="V551" s="1433"/>
      <c r="W551" s="1673" t="s">
        <v>454</v>
      </c>
      <c r="X551" s="1432"/>
      <c r="Y551" s="1433"/>
      <c r="Z551" s="1673" t="s">
        <v>1850</v>
      </c>
      <c r="AA551" s="1432"/>
      <c r="AB551" s="1432"/>
      <c r="AC551" s="1432"/>
      <c r="AD551" s="1433"/>
      <c r="AE551" s="1673" t="s">
        <v>1675</v>
      </c>
      <c r="AF551" s="1432"/>
      <c r="AG551" s="1432"/>
      <c r="AH551" s="1433"/>
      <c r="AI551" s="1673" t="s">
        <v>1676</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No</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
        <v>2726</v>
      </c>
      <c r="D554" s="1694"/>
      <c r="E554" s="1694"/>
      <c r="F554" s="1694"/>
      <c r="G554" s="1694"/>
      <c r="H554" s="1694"/>
      <c r="I554" s="1694"/>
      <c r="J554" s="1694"/>
      <c r="K554" s="1694"/>
      <c r="L554" s="1694"/>
      <c r="M554" s="1694" t="s">
        <v>2118</v>
      </c>
      <c r="N554" s="1694"/>
      <c r="O554" s="1694"/>
      <c r="P554" s="1694"/>
      <c r="Q554" s="1454">
        <v>42</v>
      </c>
      <c r="R554" s="1454"/>
      <c r="S554" s="1455"/>
      <c r="T554" s="1453"/>
      <c r="U554" s="1454"/>
      <c r="V554" s="1455"/>
      <c r="W554" s="1456">
        <v>5.5E-2</v>
      </c>
      <c r="X554" s="1457"/>
      <c r="Y554" s="1458"/>
      <c r="Z554" s="1695" t="s">
        <v>2732</v>
      </c>
      <c r="AA554" s="1695"/>
      <c r="AB554" s="1695"/>
      <c r="AC554" s="1695"/>
      <c r="AD554" s="1695"/>
      <c r="AE554" s="1676">
        <v>1</v>
      </c>
      <c r="AF554" s="1677"/>
      <c r="AG554" s="1677"/>
      <c r="AH554" s="1678"/>
      <c r="AI554" s="1679"/>
      <c r="AJ554" s="1680"/>
      <c r="AK554" s="1680"/>
      <c r="AL554" s="1681"/>
      <c r="AM554" s="1669">
        <v>31220000</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2727</v>
      </c>
      <c r="D555" s="1682"/>
      <c r="E555" s="1682"/>
      <c r="F555" s="1682"/>
      <c r="G555" s="1682"/>
      <c r="H555" s="1682"/>
      <c r="I555" s="1682"/>
      <c r="J555" s="1682"/>
      <c r="K555" s="1682"/>
      <c r="L555" s="1682"/>
      <c r="M555" s="1694" t="s">
        <v>2117</v>
      </c>
      <c r="N555" s="1694"/>
      <c r="O555" s="1694"/>
      <c r="P555" s="1694"/>
      <c r="Q555" s="1453">
        <v>42</v>
      </c>
      <c r="R555" s="1454"/>
      <c r="S555" s="1455"/>
      <c r="T555" s="1453"/>
      <c r="U555" s="1454"/>
      <c r="V555" s="1455"/>
      <c r="W555" s="1456">
        <v>5.5E-2</v>
      </c>
      <c r="X555" s="1457"/>
      <c r="Y555" s="1458"/>
      <c r="Z555" s="1695" t="s">
        <v>2732</v>
      </c>
      <c r="AA555" s="1695"/>
      <c r="AB555" s="1695"/>
      <c r="AC555" s="1695"/>
      <c r="AD555" s="1695"/>
      <c r="AE555" s="1676">
        <v>2</v>
      </c>
      <c r="AF555" s="1677"/>
      <c r="AG555" s="1677"/>
      <c r="AH555" s="1678"/>
      <c r="AI555" s="1679"/>
      <c r="AJ555" s="1680"/>
      <c r="AK555" s="1680"/>
      <c r="AL555" s="1681"/>
      <c r="AM555" s="1669">
        <v>58300000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2728</v>
      </c>
      <c r="D556" s="1682"/>
      <c r="E556" s="1682"/>
      <c r="F556" s="1682"/>
      <c r="G556" s="1682"/>
      <c r="H556" s="1682"/>
      <c r="I556" s="1682"/>
      <c r="J556" s="1682"/>
      <c r="K556" s="1682"/>
      <c r="L556" s="1682"/>
      <c r="M556" s="1694" t="s">
        <v>2119</v>
      </c>
      <c r="N556" s="1694"/>
      <c r="O556" s="1694"/>
      <c r="P556" s="1694"/>
      <c r="Q556" s="1453">
        <v>42</v>
      </c>
      <c r="R556" s="1454"/>
      <c r="S556" s="1455"/>
      <c r="T556" s="1453"/>
      <c r="U556" s="1454"/>
      <c r="V556" s="1455"/>
      <c r="W556" s="1456">
        <v>5.5E-2</v>
      </c>
      <c r="X556" s="1457"/>
      <c r="Y556" s="1458"/>
      <c r="Z556" s="1695" t="s">
        <v>2732</v>
      </c>
      <c r="AA556" s="1695"/>
      <c r="AB556" s="1695"/>
      <c r="AC556" s="1695"/>
      <c r="AD556" s="1695"/>
      <c r="AE556" s="1676">
        <v>3</v>
      </c>
      <c r="AF556" s="1677"/>
      <c r="AG556" s="1677"/>
      <c r="AH556" s="1678"/>
      <c r="AI556" s="1679"/>
      <c r="AJ556" s="1680"/>
      <c r="AK556" s="1680"/>
      <c r="AL556" s="1681"/>
      <c r="AM556" s="1669">
        <v>10675000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582</v>
      </c>
      <c r="C557" s="1682" t="s">
        <v>2729</v>
      </c>
      <c r="D557" s="1682"/>
      <c r="E557" s="1682"/>
      <c r="F557" s="1682"/>
      <c r="G557" s="1682"/>
      <c r="H557" s="1682"/>
      <c r="I557" s="1682"/>
      <c r="J557" s="1682"/>
      <c r="K557" s="1682"/>
      <c r="L557" s="1682"/>
      <c r="M557" s="1694" t="s">
        <v>2114</v>
      </c>
      <c r="N557" s="1694"/>
      <c r="O557" s="1694"/>
      <c r="P557" s="1694"/>
      <c r="Q557" s="1453">
        <v>660</v>
      </c>
      <c r="R557" s="1454"/>
      <c r="S557" s="1455"/>
      <c r="T557" s="1453"/>
      <c r="U557" s="1454"/>
      <c r="V557" s="1455"/>
      <c r="W557" s="1456"/>
      <c r="X557" s="1457"/>
      <c r="Y557" s="1458"/>
      <c r="Z557" s="1695" t="s">
        <v>1183</v>
      </c>
      <c r="AA557" s="1695"/>
      <c r="AB557" s="1695"/>
      <c r="AC557" s="1695"/>
      <c r="AD557" s="1695"/>
      <c r="AE557" s="1676">
        <v>4</v>
      </c>
      <c r="AF557" s="1677"/>
      <c r="AG557" s="1677"/>
      <c r="AH557" s="1678"/>
      <c r="AI557" s="1679"/>
      <c r="AJ557" s="1680"/>
      <c r="AK557" s="1680"/>
      <c r="AL557" s="1681"/>
      <c r="AM557" s="1669">
        <v>5780000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2" t="s">
        <v>2730</v>
      </c>
      <c r="D558" s="1682"/>
      <c r="E558" s="1682"/>
      <c r="F558" s="1682"/>
      <c r="G558" s="1682"/>
      <c r="H558" s="1682"/>
      <c r="I558" s="1682"/>
      <c r="J558" s="1682"/>
      <c r="K558" s="1682"/>
      <c r="L558" s="1682"/>
      <c r="M558" s="1694" t="s">
        <v>2109</v>
      </c>
      <c r="N558" s="1694"/>
      <c r="O558" s="1694"/>
      <c r="P558" s="1694"/>
      <c r="Q558" s="1453"/>
      <c r="R558" s="1454"/>
      <c r="S558" s="1455"/>
      <c r="T558" s="1453"/>
      <c r="U558" s="1454"/>
      <c r="V558" s="1455"/>
      <c r="W558" s="1456"/>
      <c r="X558" s="1457"/>
      <c r="Y558" s="1458"/>
      <c r="Z558" s="1695" t="s">
        <v>1183</v>
      </c>
      <c r="AA558" s="1695"/>
      <c r="AB558" s="1695"/>
      <c r="AC558" s="1695"/>
      <c r="AD558" s="1695"/>
      <c r="AE558" s="1676"/>
      <c r="AF558" s="1677"/>
      <c r="AG558" s="1677"/>
      <c r="AH558" s="1678"/>
      <c r="AI558" s="1679"/>
      <c r="AJ558" s="1680"/>
      <c r="AK558" s="1680"/>
      <c r="AL558" s="1681"/>
      <c r="AM558" s="1669">
        <v>8245981</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2" t="s">
        <v>2715</v>
      </c>
      <c r="D559" s="1682"/>
      <c r="E559" s="1682"/>
      <c r="F559" s="1682"/>
      <c r="G559" s="1682"/>
      <c r="H559" s="1682"/>
      <c r="I559" s="1682"/>
      <c r="J559" s="1682"/>
      <c r="K559" s="1682"/>
      <c r="L559" s="1682"/>
      <c r="M559" s="1694" t="s">
        <v>2104</v>
      </c>
      <c r="N559" s="1694"/>
      <c r="O559" s="1694"/>
      <c r="P559" s="1694"/>
      <c r="Q559" s="1453"/>
      <c r="R559" s="1454"/>
      <c r="S559" s="1455"/>
      <c r="T559" s="1453"/>
      <c r="U559" s="1454"/>
      <c r="V559" s="1455"/>
      <c r="W559" s="1456"/>
      <c r="X559" s="1457"/>
      <c r="Y559" s="1458"/>
      <c r="Z559" s="1695" t="s">
        <v>1183</v>
      </c>
      <c r="AA559" s="1695"/>
      <c r="AB559" s="1695"/>
      <c r="AC559" s="1695"/>
      <c r="AD559" s="1695"/>
      <c r="AE559" s="1676"/>
      <c r="AF559" s="1677"/>
      <c r="AG559" s="1677"/>
      <c r="AH559" s="1678"/>
      <c r="AI559" s="1679"/>
      <c r="AJ559" s="1680"/>
      <c r="AK559" s="1680"/>
      <c r="AL559" s="1681"/>
      <c r="AM559" s="1669">
        <v>1459860</v>
      </c>
      <c r="AN559" s="1670"/>
      <c r="AO559" s="1670"/>
      <c r="AP559" s="1670"/>
      <c r="AQ559" s="1670"/>
      <c r="AR559" s="1670"/>
      <c r="AS559" s="1671"/>
      <c r="AT559" s="1148" t="str">
        <f t="shared" si="0"/>
        <v/>
      </c>
      <c r="AU559" s="1147"/>
      <c r="BB559" s="3"/>
      <c r="BC559" s="3"/>
      <c r="BD559" s="3"/>
      <c r="BE559" s="3"/>
      <c r="BF559" s="3"/>
      <c r="BG559" s="3"/>
      <c r="BH559" s="3" t="s">
        <v>585</v>
      </c>
      <c r="BI559" s="3" t="str">
        <f>AG665</f>
        <v>No</v>
      </c>
    </row>
    <row r="560" spans="1:61" ht="12.95" customHeight="1">
      <c r="B560" s="52" t="s">
        <v>456</v>
      </c>
      <c r="C560" s="1682" t="s">
        <v>2731</v>
      </c>
      <c r="D560" s="1682"/>
      <c r="E560" s="1682"/>
      <c r="F560" s="1682"/>
      <c r="G560" s="1682"/>
      <c r="H560" s="1682"/>
      <c r="I560" s="1682"/>
      <c r="J560" s="1682"/>
      <c r="K560" s="1682"/>
      <c r="L560" s="1682"/>
      <c r="M560" s="1694" t="s">
        <v>2105</v>
      </c>
      <c r="N560" s="1694"/>
      <c r="O560" s="1694"/>
      <c r="P560" s="1694"/>
      <c r="Q560" s="1453"/>
      <c r="R560" s="1454"/>
      <c r="S560" s="1455"/>
      <c r="T560" s="1453"/>
      <c r="U560" s="1454"/>
      <c r="V560" s="1455"/>
      <c r="W560" s="1456"/>
      <c r="X560" s="1457"/>
      <c r="Y560" s="1458"/>
      <c r="Z560" s="1695" t="s">
        <v>1183</v>
      </c>
      <c r="AA560" s="1695"/>
      <c r="AB560" s="1695"/>
      <c r="AC560" s="1695"/>
      <c r="AD560" s="1695"/>
      <c r="AE560" s="1676"/>
      <c r="AF560" s="1677"/>
      <c r="AG560" s="1677"/>
      <c r="AH560" s="1678"/>
      <c r="AI560" s="1679"/>
      <c r="AJ560" s="1680"/>
      <c r="AK560" s="1680"/>
      <c r="AL560" s="1681"/>
      <c r="AM560" s="1669">
        <v>15951451</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2"/>
      <c r="D561" s="1682"/>
      <c r="E561" s="1682"/>
      <c r="F561" s="1682"/>
      <c r="G561" s="1682"/>
      <c r="H561" s="1682"/>
      <c r="I561" s="1682"/>
      <c r="J561" s="1682"/>
      <c r="K561" s="1682"/>
      <c r="L561" s="1682"/>
      <c r="M561" s="1694" t="s">
        <v>1183</v>
      </c>
      <c r="N561" s="1694"/>
      <c r="O561" s="1694"/>
      <c r="P561" s="1694"/>
      <c r="Q561" s="1453"/>
      <c r="R561" s="1454"/>
      <c r="S561" s="1455"/>
      <c r="T561" s="1453"/>
      <c r="U561" s="1454"/>
      <c r="V561" s="1455"/>
      <c r="W561" s="1456"/>
      <c r="X561" s="1457"/>
      <c r="Y561" s="1458"/>
      <c r="Z561" s="1695" t="s">
        <v>1183</v>
      </c>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2"/>
      <c r="D562" s="1682"/>
      <c r="E562" s="1682"/>
      <c r="F562" s="1682"/>
      <c r="G562" s="1682"/>
      <c r="H562" s="1682"/>
      <c r="I562" s="1682"/>
      <c r="J562" s="1682"/>
      <c r="K562" s="1682"/>
      <c r="L562" s="1682"/>
      <c r="M562" s="1694" t="s">
        <v>1183</v>
      </c>
      <c r="N562" s="1694"/>
      <c r="O562" s="1694"/>
      <c r="P562" s="1694"/>
      <c r="Q562" s="1453"/>
      <c r="R562" s="1454"/>
      <c r="S562" s="1455"/>
      <c r="T562" s="1453"/>
      <c r="U562" s="1454"/>
      <c r="V562" s="1455"/>
      <c r="W562" s="1456"/>
      <c r="X562" s="1457"/>
      <c r="Y562" s="1458"/>
      <c r="Z562" s="1695" t="s">
        <v>1183</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2"/>
      <c r="D563" s="1682"/>
      <c r="E563" s="1682"/>
      <c r="F563" s="1682"/>
      <c r="G563" s="1682"/>
      <c r="H563" s="1682"/>
      <c r="I563" s="1682"/>
      <c r="J563" s="1682"/>
      <c r="K563" s="1682"/>
      <c r="L563" s="1682"/>
      <c r="M563" s="1694" t="s">
        <v>1183</v>
      </c>
      <c r="N563" s="1694"/>
      <c r="O563" s="1694"/>
      <c r="P563" s="1694"/>
      <c r="Q563" s="1453"/>
      <c r="R563" s="1454"/>
      <c r="S563" s="1455"/>
      <c r="T563" s="1453"/>
      <c r="U563" s="1454"/>
      <c r="V563" s="1455"/>
      <c r="W563" s="1456"/>
      <c r="X563" s="1457"/>
      <c r="Y563" s="1458"/>
      <c r="Z563" s="1695" t="s">
        <v>1183</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t="s">
        <v>1183</v>
      </c>
      <c r="N564" s="1694"/>
      <c r="O564" s="1694"/>
      <c r="P564" s="1694"/>
      <c r="Q564" s="1453"/>
      <c r="R564" s="1454"/>
      <c r="S564" s="1455"/>
      <c r="T564" s="1453"/>
      <c r="U564" s="1454"/>
      <c r="V564" s="1455"/>
      <c r="W564" s="1456"/>
      <c r="X564" s="1457"/>
      <c r="Y564" s="1458"/>
      <c r="Z564" s="1695" t="s">
        <v>1183</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1183</v>
      </c>
      <c r="N565" s="1694"/>
      <c r="O565" s="1694"/>
      <c r="P565" s="1694"/>
      <c r="Q565" s="1453"/>
      <c r="R565" s="1454"/>
      <c r="S565" s="1455"/>
      <c r="T565" s="1453"/>
      <c r="U565" s="1454"/>
      <c r="V565" s="1455"/>
      <c r="W565" s="1456"/>
      <c r="X565" s="1457"/>
      <c r="Y565" s="1458"/>
      <c r="Z565" s="1695" t="s">
        <v>1183</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131632292</v>
      </c>
      <c r="AN566" s="1617"/>
      <c r="AO566" s="1617"/>
      <c r="AP566" s="1617"/>
      <c r="AQ566" s="1617"/>
      <c r="AR566" s="1617"/>
      <c r="AS566" s="1618"/>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9" t="str">
        <f>C554</f>
        <v>Citibank Tax Exempt Loan</v>
      </c>
      <c r="H568" s="1359"/>
      <c r="I568" s="1359"/>
      <c r="J568" s="1359"/>
      <c r="K568" s="1359"/>
      <c r="L568" s="1359"/>
      <c r="M568" s="1359"/>
      <c r="N568" s="1359"/>
      <c r="O568" s="1359"/>
      <c r="P568" s="1359"/>
      <c r="Q568" s="1359"/>
      <c r="R568" s="1359"/>
      <c r="S568" s="8"/>
      <c r="T568" s="55" t="s">
        <v>113</v>
      </c>
      <c r="U568" t="s">
        <v>464</v>
      </c>
      <c r="Z568" s="1359" t="str">
        <f>C555</f>
        <v>Citibank Taxable Loan</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2701</v>
      </c>
      <c r="H569" s="1372"/>
      <c r="I569" s="1372"/>
      <c r="J569" s="1372"/>
      <c r="K569" s="1372"/>
      <c r="L569" s="1372"/>
      <c r="M569" s="1372"/>
      <c r="N569" s="1372"/>
      <c r="O569" s="1372"/>
      <c r="P569" s="1372"/>
      <c r="Q569" s="1372"/>
      <c r="R569" s="1372"/>
      <c r="S569" s="8"/>
      <c r="T569" s="22"/>
      <c r="U569" t="s">
        <v>85</v>
      </c>
      <c r="Z569" s="1372" t="s">
        <v>2701</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372" t="s">
        <v>495</v>
      </c>
      <c r="H570" s="1372"/>
      <c r="I570" s="1372"/>
      <c r="J570" s="1372"/>
      <c r="K570" s="1372"/>
      <c r="L570" s="1372"/>
      <c r="M570" s="1372"/>
      <c r="N570" s="1372"/>
      <c r="O570" s="1372"/>
      <c r="P570" s="1372"/>
      <c r="Q570" s="1372"/>
      <c r="R570" s="1372"/>
      <c r="T570" s="22"/>
      <c r="U570" t="s">
        <v>581</v>
      </c>
      <c r="Z570" s="1349" t="s">
        <v>495</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2702</v>
      </c>
      <c r="H571" s="1372"/>
      <c r="I571" s="1372"/>
      <c r="J571" s="1372"/>
      <c r="K571" s="1372"/>
      <c r="L571" s="1372"/>
      <c r="M571" s="1372"/>
      <c r="N571" s="1372"/>
      <c r="O571" s="1372"/>
      <c r="P571" s="1372"/>
      <c r="Q571" s="1372"/>
      <c r="R571" s="1372"/>
      <c r="S571" s="8"/>
      <c r="T571" s="22"/>
      <c r="U571" t="s">
        <v>17</v>
      </c>
      <c r="Z571" s="1349" t="s">
        <v>2702</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2703</v>
      </c>
      <c r="H572" s="1347"/>
      <c r="I572" s="1347"/>
      <c r="J572" s="1347"/>
      <c r="K572" s="1347"/>
      <c r="L572" s="1347"/>
      <c r="O572" s="33" t="s">
        <v>206</v>
      </c>
      <c r="P572" s="1438"/>
      <c r="Q572" s="1438"/>
      <c r="R572" s="1438"/>
      <c r="S572" s="10"/>
      <c r="T572" s="22"/>
      <c r="U572" t="s">
        <v>316</v>
      </c>
      <c r="Z572" s="1346" t="s">
        <v>2703</v>
      </c>
      <c r="AA572" s="1347"/>
      <c r="AB572" s="1347"/>
      <c r="AC572" s="1347"/>
      <c r="AD572" s="1347"/>
      <c r="AE572" s="1347"/>
      <c r="AH572" s="33" t="s">
        <v>206</v>
      </c>
      <c r="AI572" s="1438"/>
      <c r="AJ572" s="1438"/>
      <c r="AK572" s="1438"/>
      <c r="BB572" s="3"/>
      <c r="BC572" s="3"/>
      <c r="BD572" s="3"/>
      <c r="BE572" s="3"/>
      <c r="BF572" s="3"/>
      <c r="BG572" s="3"/>
      <c r="BH572" s="3"/>
      <c r="BI572" s="3"/>
    </row>
    <row r="573" spans="1:61" ht="12.95" customHeight="1">
      <c r="A573" s="22"/>
      <c r="B573" t="s">
        <v>18</v>
      </c>
      <c r="H573" s="1372" t="s">
        <v>2704</v>
      </c>
      <c r="I573" s="1372"/>
      <c r="J573" s="1372"/>
      <c r="K573" s="1372"/>
      <c r="L573" s="1372"/>
      <c r="M573" s="1372"/>
      <c r="N573" s="1372"/>
      <c r="O573" s="1372"/>
      <c r="P573" s="1372"/>
      <c r="Q573" s="1372"/>
      <c r="R573" s="1372"/>
      <c r="S573" s="8"/>
      <c r="T573" s="22"/>
      <c r="U573" t="s">
        <v>18</v>
      </c>
      <c r="AA573" s="1372" t="s">
        <v>2705</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1184</v>
      </c>
      <c r="H574" s="8"/>
      <c r="I574" s="8"/>
      <c r="J574" s="8"/>
      <c r="K574" s="8"/>
      <c r="L574" s="8"/>
      <c r="M574" s="1697" t="s">
        <v>2706</v>
      </c>
      <c r="N574" s="1697"/>
      <c r="O574" s="1697"/>
      <c r="P574" s="1697"/>
      <c r="Q574" s="1697"/>
      <c r="R574" s="1697"/>
      <c r="S574" s="8"/>
      <c r="T574" s="22"/>
      <c r="U574" s="320" t="s">
        <v>1184</v>
      </c>
      <c r="AA574" s="8"/>
      <c r="AB574" s="8"/>
      <c r="AC574" s="8"/>
      <c r="AD574" s="8"/>
      <c r="AE574" s="8"/>
      <c r="AF574" s="1697" t="s">
        <v>2706</v>
      </c>
      <c r="AG574" s="1697"/>
      <c r="AH574" s="1697"/>
      <c r="AI574" s="1697"/>
      <c r="AJ574" s="1697"/>
      <c r="AK574" s="1697"/>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Citibank Recycled Tax Exempt Loan</v>
      </c>
      <c r="H577" s="1359"/>
      <c r="I577" s="1359"/>
      <c r="J577" s="1359"/>
      <c r="K577" s="1359"/>
      <c r="L577" s="1359"/>
      <c r="M577" s="1359"/>
      <c r="N577" s="1359"/>
      <c r="O577" s="1359"/>
      <c r="P577" s="1359"/>
      <c r="Q577" s="1359"/>
      <c r="R577" s="1359"/>
      <c r="T577" s="55" t="s">
        <v>582</v>
      </c>
      <c r="U577" t="s">
        <v>464</v>
      </c>
      <c r="Z577" s="1359" t="str">
        <f>C557</f>
        <v>HomeFed - Site Work Loan</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2701</v>
      </c>
      <c r="H578" s="1372"/>
      <c r="I578" s="1372"/>
      <c r="J578" s="1372"/>
      <c r="K578" s="1372"/>
      <c r="L578" s="1372"/>
      <c r="M578" s="1372"/>
      <c r="N578" s="1372"/>
      <c r="O578" s="1372"/>
      <c r="P578" s="1372"/>
      <c r="Q578" s="1372"/>
      <c r="R578" s="1372"/>
      <c r="T578" s="22"/>
      <c r="U578" t="s">
        <v>85</v>
      </c>
      <c r="Z578" s="1372" t="s">
        <v>2694</v>
      </c>
      <c r="AA578" s="1372"/>
      <c r="AB578" s="1372"/>
      <c r="AC578" s="1372"/>
      <c r="AD578" s="1372"/>
      <c r="AE578" s="1372"/>
      <c r="AF578" s="1372"/>
      <c r="AG578" s="1372"/>
      <c r="AH578" s="1372"/>
      <c r="AI578" s="1372"/>
      <c r="AJ578" s="1372"/>
      <c r="AK578" s="1372"/>
      <c r="BB578" s="3"/>
      <c r="BC578" s="3"/>
    </row>
    <row r="579" spans="1:55" ht="12.95" customHeight="1">
      <c r="A579" s="22"/>
      <c r="B579" t="s">
        <v>581</v>
      </c>
      <c r="G579" s="1349" t="s">
        <v>495</v>
      </c>
      <c r="H579" s="1349"/>
      <c r="I579" s="1349"/>
      <c r="J579" s="1349"/>
      <c r="K579" s="1349"/>
      <c r="L579" s="1349"/>
      <c r="M579" s="1349"/>
      <c r="N579" s="1349"/>
      <c r="O579" s="1349"/>
      <c r="P579" s="1349"/>
      <c r="Q579" s="1349"/>
      <c r="R579" s="1349"/>
      <c r="T579" s="22"/>
      <c r="U579" t="s">
        <v>581</v>
      </c>
      <c r="Z579" s="1349" t="s">
        <v>2708</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2702</v>
      </c>
      <c r="H580" s="1349"/>
      <c r="I580" s="1349"/>
      <c r="J580" s="1349"/>
      <c r="K580" s="1349"/>
      <c r="L580" s="1349"/>
      <c r="M580" s="1349"/>
      <c r="N580" s="1349"/>
      <c r="O580" s="1349"/>
      <c r="P580" s="1349"/>
      <c r="Q580" s="1349"/>
      <c r="R580" s="1349"/>
      <c r="T580" s="22"/>
      <c r="U580" t="s">
        <v>17</v>
      </c>
      <c r="Z580" s="1349" t="s">
        <v>2709</v>
      </c>
      <c r="AA580" s="1349"/>
      <c r="AB580" s="1349"/>
      <c r="AC580" s="1349"/>
      <c r="AD580" s="1349"/>
      <c r="AE580" s="1349"/>
      <c r="AF580" s="1349"/>
      <c r="AG580" s="1349"/>
      <c r="AH580" s="1349"/>
      <c r="AI580" s="1349"/>
      <c r="AJ580" s="1349"/>
      <c r="AK580" s="1349"/>
      <c r="BB580" s="3"/>
      <c r="BC580" s="3"/>
    </row>
    <row r="581" spans="1:55" ht="12.95" customHeight="1">
      <c r="A581" s="22"/>
      <c r="B581" t="s">
        <v>316</v>
      </c>
      <c r="G581" s="1347" t="s">
        <v>2703</v>
      </c>
      <c r="H581" s="1347"/>
      <c r="I581" s="1347"/>
      <c r="J581" s="1347"/>
      <c r="K581" s="1347"/>
      <c r="L581" s="1347"/>
      <c r="O581" s="33" t="s">
        <v>206</v>
      </c>
      <c r="P581" s="1438"/>
      <c r="Q581" s="1438"/>
      <c r="R581" s="1438"/>
      <c r="T581" s="22"/>
      <c r="U581" t="s">
        <v>316</v>
      </c>
      <c r="Z581" s="1347" t="s">
        <v>2695</v>
      </c>
      <c r="AA581" s="1347"/>
      <c r="AB581" s="1347"/>
      <c r="AC581" s="1347"/>
      <c r="AD581" s="1347"/>
      <c r="AE581" s="1347"/>
      <c r="AH581" s="33" t="s">
        <v>206</v>
      </c>
      <c r="AI581" s="1438"/>
      <c r="AJ581" s="1438"/>
      <c r="AK581" s="1438"/>
      <c r="BB581" s="3"/>
      <c r="BC581" s="3"/>
    </row>
    <row r="582" spans="1:55" ht="12.95" customHeight="1">
      <c r="A582" s="22"/>
      <c r="B582" t="s">
        <v>18</v>
      </c>
      <c r="H582" s="1372" t="s">
        <v>2707</v>
      </c>
      <c r="I582" s="1372"/>
      <c r="J582" s="1372"/>
      <c r="K582" s="1372"/>
      <c r="L582" s="1372"/>
      <c r="M582" s="1372"/>
      <c r="N582" s="1372"/>
      <c r="O582" s="1372"/>
      <c r="P582" s="1372"/>
      <c r="Q582" s="1372"/>
      <c r="R582" s="1372"/>
      <c r="T582" s="22"/>
      <c r="U582" t="s">
        <v>18</v>
      </c>
      <c r="AA582" s="1372" t="s">
        <v>2710</v>
      </c>
      <c r="AB582" s="1372"/>
      <c r="AC582" s="1372"/>
      <c r="AD582" s="1372"/>
      <c r="AE582" s="1372"/>
      <c r="AF582" s="1372"/>
      <c r="AG582" s="1372"/>
      <c r="AH582" s="1372"/>
      <c r="AI582" s="1372"/>
      <c r="AJ582" s="1372"/>
      <c r="AK582" s="1372"/>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9" t="str">
        <f>C558</f>
        <v>Tax Credit Equity - Federal</v>
      </c>
      <c r="H585" s="1359"/>
      <c r="I585" s="1359"/>
      <c r="J585" s="1359"/>
      <c r="K585" s="1359"/>
      <c r="L585" s="1359"/>
      <c r="M585" s="1359"/>
      <c r="N585" s="1359"/>
      <c r="O585" s="1359"/>
      <c r="P585" s="1359"/>
      <c r="Q585" s="1359"/>
      <c r="R585" s="1359"/>
      <c r="T585" s="55" t="s">
        <v>585</v>
      </c>
      <c r="U585" t="s">
        <v>464</v>
      </c>
      <c r="Z585" s="1359" t="str">
        <f>C559</f>
        <v>Deferred Operating Reserve</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2711</v>
      </c>
      <c r="H586" s="1372"/>
      <c r="I586" s="1372"/>
      <c r="J586" s="1372"/>
      <c r="K586" s="1372"/>
      <c r="L586" s="1372"/>
      <c r="M586" s="1372"/>
      <c r="N586" s="1372"/>
      <c r="O586" s="1372"/>
      <c r="P586" s="1372"/>
      <c r="Q586" s="1372"/>
      <c r="R586" s="1372"/>
      <c r="T586" s="22"/>
      <c r="U586" t="s">
        <v>85</v>
      </c>
      <c r="Z586" s="1372" t="s">
        <v>2628</v>
      </c>
      <c r="AA586" s="1372"/>
      <c r="AB586" s="1372"/>
      <c r="AC586" s="1372"/>
      <c r="AD586" s="1372"/>
      <c r="AE586" s="1372"/>
      <c r="AF586" s="1372"/>
      <c r="AG586" s="1372"/>
      <c r="AH586" s="1372"/>
      <c r="AI586" s="1372"/>
      <c r="AJ586" s="1372"/>
      <c r="AK586" s="1372"/>
      <c r="BB586" s="3"/>
      <c r="BC586" s="3"/>
    </row>
    <row r="587" spans="1:55" ht="12.95" customHeight="1">
      <c r="A587" s="22"/>
      <c r="B587" t="s">
        <v>581</v>
      </c>
      <c r="G587" s="1372" t="s">
        <v>2712</v>
      </c>
      <c r="H587" s="1372"/>
      <c r="I587" s="1372"/>
      <c r="J587" s="1372"/>
      <c r="K587" s="1372"/>
      <c r="L587" s="1372"/>
      <c r="M587" s="1372"/>
      <c r="N587" s="1372"/>
      <c r="O587" s="1372"/>
      <c r="P587" s="1372"/>
      <c r="Q587" s="1372"/>
      <c r="R587" s="1372"/>
      <c r="T587" s="22"/>
      <c r="U587" t="s">
        <v>581</v>
      </c>
      <c r="Z587" s="1349" t="s">
        <v>495</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2665</v>
      </c>
      <c r="H588" s="1372"/>
      <c r="I588" s="1372"/>
      <c r="J588" s="1372"/>
      <c r="K588" s="1372"/>
      <c r="L588" s="1372"/>
      <c r="M588" s="1372"/>
      <c r="N588" s="1372"/>
      <c r="O588" s="1372"/>
      <c r="P588" s="1372"/>
      <c r="Q588" s="1372"/>
      <c r="R588" s="1372"/>
      <c r="T588" s="22"/>
      <c r="U588" t="s">
        <v>17</v>
      </c>
      <c r="Z588" s="1349" t="s">
        <v>2714</v>
      </c>
      <c r="AA588" s="1349"/>
      <c r="AB588" s="1349"/>
      <c r="AC588" s="1349"/>
      <c r="AD588" s="1349"/>
      <c r="AE588" s="1349"/>
      <c r="AF588" s="1349"/>
      <c r="AG588" s="1349"/>
      <c r="AH588" s="1349"/>
      <c r="AI588" s="1349"/>
      <c r="AJ588" s="1349"/>
      <c r="AK588" s="1349"/>
    </row>
    <row r="589" spans="1:55" ht="12.95" customHeight="1">
      <c r="A589" s="22"/>
      <c r="B589" t="s">
        <v>316</v>
      </c>
      <c r="G589" s="1346" t="s">
        <v>2666</v>
      </c>
      <c r="H589" s="1347"/>
      <c r="I589" s="1347"/>
      <c r="J589" s="1347"/>
      <c r="K589" s="1347"/>
      <c r="L589" s="1347"/>
      <c r="O589" s="33" t="s">
        <v>206</v>
      </c>
      <c r="P589" s="1438"/>
      <c r="Q589" s="1438"/>
      <c r="R589" s="1438"/>
      <c r="T589" s="22"/>
      <c r="U589" t="s">
        <v>316</v>
      </c>
      <c r="Z589" s="1346" t="s">
        <v>2624</v>
      </c>
      <c r="AA589" s="1347"/>
      <c r="AB589" s="1347"/>
      <c r="AC589" s="1347"/>
      <c r="AD589" s="1347"/>
      <c r="AE589" s="1347"/>
      <c r="AH589" s="33" t="s">
        <v>206</v>
      </c>
      <c r="AI589" s="1438">
        <v>106</v>
      </c>
      <c r="AJ589" s="1438"/>
      <c r="AK589" s="1438"/>
      <c r="AZ589" s="3"/>
      <c r="BA589" s="3"/>
      <c r="BB589" s="3"/>
      <c r="BC589" s="3"/>
    </row>
    <row r="590" spans="1:55" ht="12.95" customHeight="1">
      <c r="A590" s="22"/>
      <c r="B590" t="s">
        <v>18</v>
      </c>
      <c r="H590" s="1372" t="s">
        <v>2713</v>
      </c>
      <c r="I590" s="1372"/>
      <c r="J590" s="1372"/>
      <c r="K590" s="1372"/>
      <c r="L590" s="1372"/>
      <c r="M590" s="1372"/>
      <c r="N590" s="1372"/>
      <c r="O590" s="1372"/>
      <c r="P590" s="1372"/>
      <c r="Q590" s="1372"/>
      <c r="R590" s="1372"/>
      <c r="T590" s="22"/>
      <c r="U590" t="s">
        <v>18</v>
      </c>
      <c r="AA590" s="1372" t="s">
        <v>2715</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9" t="str">
        <f>C560</f>
        <v>Deferred Fee + Costs During Construction</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2628</v>
      </c>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t="s">
        <v>495</v>
      </c>
      <c r="H595" s="1372"/>
      <c r="I595" s="1372"/>
      <c r="J595" s="1372"/>
      <c r="K595" s="1372"/>
      <c r="L595" s="1372"/>
      <c r="M595" s="1372"/>
      <c r="N595" s="1372"/>
      <c r="O595" s="1372"/>
      <c r="P595" s="1372"/>
      <c r="Q595" s="1372"/>
      <c r="R595" s="1372"/>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2714</v>
      </c>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t="s">
        <v>2624</v>
      </c>
      <c r="H597" s="1347"/>
      <c r="I597" s="1347"/>
      <c r="J597" s="1347"/>
      <c r="K597" s="1347"/>
      <c r="L597" s="1347"/>
      <c r="M597"/>
      <c r="N597"/>
      <c r="O597" s="33" t="s">
        <v>206</v>
      </c>
      <c r="P597" s="1438">
        <v>106</v>
      </c>
      <c r="Q597" s="1438"/>
      <c r="R597" s="1438"/>
      <c r="S597"/>
      <c r="T597" s="22"/>
      <c r="U597" t="s">
        <v>316</v>
      </c>
      <c r="V597"/>
      <c r="W597"/>
      <c r="X597"/>
      <c r="Y597"/>
      <c r="Z597" s="1347"/>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2716</v>
      </c>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12"/>
      <c r="C623" s="2"/>
      <c r="AU623" s="3"/>
      <c r="AZ623" s="3"/>
      <c r="BA623" s="3"/>
      <c r="BB623" s="3"/>
      <c r="BC623" s="3"/>
    </row>
    <row r="624" spans="1:55" ht="12.95" customHeight="1">
      <c r="B624" s="1701" t="s">
        <v>2101</v>
      </c>
      <c r="C624" s="1701"/>
      <c r="D624" s="1701"/>
      <c r="E624" s="1701"/>
      <c r="F624" s="1701"/>
      <c r="G624" s="1701"/>
      <c r="H624" s="1701"/>
      <c r="I624" s="1701"/>
      <c r="J624" s="1701"/>
      <c r="K624" s="1701"/>
      <c r="L624" s="1701"/>
      <c r="M624" s="1443" t="s">
        <v>2102</v>
      </c>
      <c r="N624" s="1443"/>
      <c r="O624" s="1443"/>
      <c r="P624" s="1443"/>
      <c r="Q624" s="1443" t="s">
        <v>1851</v>
      </c>
      <c r="R624" s="1443"/>
      <c r="S624" s="1443"/>
      <c r="T624" s="1443" t="s">
        <v>1849</v>
      </c>
      <c r="U624" s="1443"/>
      <c r="V624" s="1443"/>
      <c r="W624" s="1702" t="s">
        <v>454</v>
      </c>
      <c r="X624" s="1702"/>
      <c r="Y624" s="1702"/>
      <c r="Z624" s="1432" t="s">
        <v>2131</v>
      </c>
      <c r="AA624" s="1432"/>
      <c r="AB624" s="1433"/>
      <c r="AC624" s="1683" t="s">
        <v>1675</v>
      </c>
      <c r="AD624" s="1684"/>
      <c r="AE624" s="1685"/>
      <c r="AF624" s="1673" t="s">
        <v>1929</v>
      </c>
      <c r="AG624" s="1432"/>
      <c r="AH624" s="1432"/>
      <c r="AI624" s="1432"/>
      <c r="AJ624" s="1433"/>
      <c r="AK624" s="1734" t="s">
        <v>1930</v>
      </c>
      <c r="AL624" s="1735"/>
      <c r="AM624" s="1735"/>
      <c r="AN624" s="1736"/>
      <c r="AO624" s="1443" t="s">
        <v>455</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
        <v>2733</v>
      </c>
      <c r="D627" s="1693"/>
      <c r="E627" s="1693"/>
      <c r="F627" s="1693"/>
      <c r="G627" s="1693"/>
      <c r="H627" s="1693"/>
      <c r="I627" s="1693"/>
      <c r="J627" s="1693"/>
      <c r="K627" s="1693"/>
      <c r="L627" s="1693"/>
      <c r="M627" s="1619" t="s">
        <v>2118</v>
      </c>
      <c r="N627" s="1619"/>
      <c r="O627" s="1619"/>
      <c r="P627" s="1619"/>
      <c r="Q627" s="1427">
        <f>17*12</f>
        <v>204</v>
      </c>
      <c r="R627" s="1427"/>
      <c r="S627" s="1428"/>
      <c r="T627" s="1426">
        <f>40*12</f>
        <v>480</v>
      </c>
      <c r="U627" s="1427"/>
      <c r="V627" s="1428"/>
      <c r="W627" s="1439">
        <v>0.06</v>
      </c>
      <c r="X627" s="1440"/>
      <c r="Y627" s="1441"/>
      <c r="Z627" s="1479" t="s">
        <v>2130</v>
      </c>
      <c r="AA627" s="1480"/>
      <c r="AB627" s="1481"/>
      <c r="AC627" s="1447">
        <v>1</v>
      </c>
      <c r="AD627" s="1448"/>
      <c r="AE627" s="1449"/>
      <c r="AF627" s="1476">
        <v>2766144.056772803</v>
      </c>
      <c r="AG627" s="1477"/>
      <c r="AH627" s="1477"/>
      <c r="AI627" s="1477"/>
      <c r="AJ627" s="1478"/>
      <c r="AK627" s="1429"/>
      <c r="AL627" s="1430"/>
      <c r="AM627" s="1430"/>
      <c r="AN627" s="1431"/>
      <c r="AO627" s="1482">
        <v>41895000</v>
      </c>
      <c r="AP627" s="1482"/>
      <c r="AQ627" s="1482"/>
      <c r="AR627" s="1482"/>
      <c r="AS627" s="1482"/>
      <c r="AT627" s="3"/>
      <c r="AU627" s="3"/>
      <c r="AZ627" s="3"/>
      <c r="BA627" s="3"/>
      <c r="BB627" s="3"/>
      <c r="BC627" s="3"/>
      <c r="BD627" s="3"/>
    </row>
    <row r="628" spans="2:157" ht="12.95" customHeight="1">
      <c r="B628" s="52" t="s">
        <v>113</v>
      </c>
      <c r="C628" s="1693" t="s">
        <v>2734</v>
      </c>
      <c r="D628" s="1693"/>
      <c r="E628" s="1693"/>
      <c r="F628" s="1693"/>
      <c r="G628" s="1693"/>
      <c r="H628" s="1693"/>
      <c r="I628" s="1693"/>
      <c r="J628" s="1693"/>
      <c r="K628" s="1693"/>
      <c r="L628" s="1693"/>
      <c r="M628" s="1619" t="s">
        <v>2117</v>
      </c>
      <c r="N628" s="1619"/>
      <c r="O628" s="1619"/>
      <c r="P628" s="1619"/>
      <c r="Q628" s="1426">
        <f>17*12</f>
        <v>204</v>
      </c>
      <c r="R628" s="1427"/>
      <c r="S628" s="1428"/>
      <c r="T628" s="1426">
        <f>40*12</f>
        <v>480</v>
      </c>
      <c r="U628" s="1427"/>
      <c r="V628" s="1428"/>
      <c r="W628" s="1439">
        <v>6.7500000000000004E-2</v>
      </c>
      <c r="X628" s="1440"/>
      <c r="Y628" s="1441"/>
      <c r="Z628" s="1479" t="s">
        <v>2130</v>
      </c>
      <c r="AA628" s="1480"/>
      <c r="AB628" s="1481"/>
      <c r="AC628" s="1447">
        <v>2</v>
      </c>
      <c r="AD628" s="1448"/>
      <c r="AE628" s="1449"/>
      <c r="AF628" s="1476">
        <v>1222128.3957266817</v>
      </c>
      <c r="AG628" s="1477"/>
      <c r="AH628" s="1477"/>
      <c r="AI628" s="1477"/>
      <c r="AJ628" s="1478"/>
      <c r="AK628" s="1429"/>
      <c r="AL628" s="1430"/>
      <c r="AM628" s="1430"/>
      <c r="AN628" s="1431"/>
      <c r="AO628" s="1467">
        <v>16880000</v>
      </c>
      <c r="AP628" s="1468"/>
      <c r="AQ628" s="1468"/>
      <c r="AR628" s="1468"/>
      <c r="AS628" s="1469"/>
      <c r="AT628" s="1148" t="str">
        <f>IF(AND(NOT(C627=""),C628="",NOT(C629="")),"!","")</f>
        <v/>
      </c>
      <c r="AU628" s="3"/>
      <c r="AZ628" s="3"/>
      <c r="BA628" s="3"/>
      <c r="BB628" s="3"/>
      <c r="BC628" s="3"/>
      <c r="BD628" s="3"/>
    </row>
    <row r="629" spans="2:157" ht="12.95" customHeight="1">
      <c r="B629" s="52" t="s">
        <v>119</v>
      </c>
      <c r="C629" s="1693" t="s">
        <v>2735</v>
      </c>
      <c r="D629" s="1693"/>
      <c r="E629" s="1693"/>
      <c r="F629" s="1693"/>
      <c r="G629" s="1693"/>
      <c r="H629" s="1693"/>
      <c r="I629" s="1693"/>
      <c r="J629" s="1693"/>
      <c r="K629" s="1693"/>
      <c r="L629" s="1693"/>
      <c r="M629" s="1619" t="s">
        <v>2114</v>
      </c>
      <c r="N629" s="1619"/>
      <c r="O629" s="1619"/>
      <c r="P629" s="1619"/>
      <c r="Q629" s="1426">
        <v>660</v>
      </c>
      <c r="R629" s="1427"/>
      <c r="S629" s="1428"/>
      <c r="T629" s="1426"/>
      <c r="U629" s="1427"/>
      <c r="V629" s="1428"/>
      <c r="W629" s="1439"/>
      <c r="X629" s="1440"/>
      <c r="Y629" s="1441"/>
      <c r="Z629" s="1479" t="s">
        <v>458</v>
      </c>
      <c r="AA629" s="1480"/>
      <c r="AB629" s="1481"/>
      <c r="AC629" s="1447">
        <v>3</v>
      </c>
      <c r="AD629" s="1448"/>
      <c r="AE629" s="1449"/>
      <c r="AF629" s="1476"/>
      <c r="AG629" s="1477"/>
      <c r="AH629" s="1477"/>
      <c r="AI629" s="1477"/>
      <c r="AJ629" s="1478"/>
      <c r="AK629" s="1429"/>
      <c r="AL629" s="1430"/>
      <c r="AM629" s="1430"/>
      <c r="AN629" s="1431"/>
      <c r="AO629" s="1467">
        <v>5780000</v>
      </c>
      <c r="AP629" s="1468"/>
      <c r="AQ629" s="1468"/>
      <c r="AR629" s="1468"/>
      <c r="AS629" s="1469"/>
      <c r="AT629" s="1148" t="str">
        <f t="shared" ref="AT629:AT638" si="1">IF(AND(NOT(C628=""),C629="",NOT(C630="")),"!","")</f>
        <v/>
      </c>
      <c r="AU629" s="3"/>
      <c r="AZ629" s="3"/>
      <c r="BA629" s="3"/>
      <c r="BB629" s="3"/>
      <c r="BC629" s="3"/>
      <c r="BD629" s="3"/>
    </row>
    <row r="630" spans="2:157" ht="12.95" customHeight="1">
      <c r="B630" s="52" t="s">
        <v>582</v>
      </c>
      <c r="C630" s="1693" t="s">
        <v>2319</v>
      </c>
      <c r="D630" s="1348"/>
      <c r="E630" s="1348"/>
      <c r="F630" s="1348"/>
      <c r="G630" s="1348"/>
      <c r="H630" s="1348"/>
      <c r="I630" s="1348"/>
      <c r="J630" s="1348"/>
      <c r="K630" s="1348"/>
      <c r="L630" s="1348"/>
      <c r="M630" s="1619" t="s">
        <v>2105</v>
      </c>
      <c r="N630" s="1619"/>
      <c r="O630" s="1619"/>
      <c r="P630" s="1619"/>
      <c r="Q630" s="1426"/>
      <c r="R630" s="1427"/>
      <c r="S630" s="1428"/>
      <c r="T630" s="1426"/>
      <c r="U630" s="1427"/>
      <c r="V630" s="1428"/>
      <c r="W630" s="1439"/>
      <c r="X630" s="1440"/>
      <c r="Y630" s="1441"/>
      <c r="Z630" s="1479" t="s">
        <v>1183</v>
      </c>
      <c r="AA630" s="1480"/>
      <c r="AB630" s="1481"/>
      <c r="AC630" s="1447"/>
      <c r="AD630" s="1448"/>
      <c r="AE630" s="1449"/>
      <c r="AF630" s="1476"/>
      <c r="AG630" s="1477"/>
      <c r="AH630" s="1477"/>
      <c r="AI630" s="1477"/>
      <c r="AJ630" s="1478"/>
      <c r="AK630" s="1429"/>
      <c r="AL630" s="1430"/>
      <c r="AM630" s="1430"/>
      <c r="AN630" s="1431"/>
      <c r="AO630" s="1467">
        <v>12104088</v>
      </c>
      <c r="AP630" s="1468"/>
      <c r="AQ630" s="1468"/>
      <c r="AR630" s="1468"/>
      <c r="AS630" s="1469"/>
      <c r="AT630" s="1148" t="str">
        <f t="shared" si="1"/>
        <v/>
      </c>
      <c r="AU630" s="3"/>
      <c r="AZ630" s="3"/>
      <c r="BA630" s="3"/>
      <c r="BB630" s="3"/>
      <c r="BC630" s="3"/>
      <c r="BD630" s="3"/>
    </row>
    <row r="631" spans="2:157" ht="12.95" customHeight="1">
      <c r="B631" s="52" t="s">
        <v>764</v>
      </c>
      <c r="C631" s="1348"/>
      <c r="D631" s="1348"/>
      <c r="E631" s="1348"/>
      <c r="F631" s="1348"/>
      <c r="G631" s="1348"/>
      <c r="H631" s="1348"/>
      <c r="I631" s="1348"/>
      <c r="J631" s="1348"/>
      <c r="K631" s="1348"/>
      <c r="L631" s="1348"/>
      <c r="M631" s="1619" t="s">
        <v>1183</v>
      </c>
      <c r="N631" s="1619"/>
      <c r="O631" s="1619"/>
      <c r="P631" s="1619"/>
      <c r="Q631" s="1426"/>
      <c r="R631" s="1427"/>
      <c r="S631" s="1428"/>
      <c r="T631" s="1426"/>
      <c r="U631" s="1427"/>
      <c r="V631" s="1428"/>
      <c r="W631" s="1439"/>
      <c r="X631" s="1440"/>
      <c r="Y631" s="1441"/>
      <c r="Z631" s="1479" t="s">
        <v>1183</v>
      </c>
      <c r="AA631" s="1480"/>
      <c r="AB631" s="1481"/>
      <c r="AC631" s="1447"/>
      <c r="AD631" s="1448"/>
      <c r="AE631" s="1449"/>
      <c r="AF631" s="1476"/>
      <c r="AG631" s="1477"/>
      <c r="AH631" s="1477"/>
      <c r="AI631" s="1477"/>
      <c r="AJ631" s="1478"/>
      <c r="AK631" s="1429"/>
      <c r="AL631" s="1430"/>
      <c r="AM631" s="1430"/>
      <c r="AN631" s="1431"/>
      <c r="AO631" s="1467"/>
      <c r="AP631" s="1468"/>
      <c r="AQ631" s="1468"/>
      <c r="AR631" s="1468"/>
      <c r="AS631" s="1469"/>
      <c r="AT631" s="1148" t="str">
        <f t="shared" si="1"/>
        <v/>
      </c>
      <c r="AU631" s="3"/>
      <c r="AZ631" s="3"/>
      <c r="BA631" s="3"/>
      <c r="BB631" s="3"/>
      <c r="BC631" s="3"/>
      <c r="BD631" s="3"/>
    </row>
    <row r="632" spans="2:157" ht="12.95" customHeight="1">
      <c r="B632" s="52" t="s">
        <v>585</v>
      </c>
      <c r="C632" s="1348"/>
      <c r="D632" s="1348"/>
      <c r="E632" s="1348"/>
      <c r="F632" s="1348"/>
      <c r="G632" s="1348"/>
      <c r="H632" s="1348"/>
      <c r="I632" s="1348"/>
      <c r="J632" s="1348"/>
      <c r="K632" s="1348"/>
      <c r="L632" s="1348"/>
      <c r="M632" s="1619" t="s">
        <v>1183</v>
      </c>
      <c r="N632" s="1619"/>
      <c r="O632" s="1619"/>
      <c r="P632" s="1619"/>
      <c r="Q632" s="1426"/>
      <c r="R632" s="1427"/>
      <c r="S632" s="1428"/>
      <c r="T632" s="1426"/>
      <c r="U632" s="1427"/>
      <c r="V632" s="1428"/>
      <c r="W632" s="1439"/>
      <c r="X632" s="1440"/>
      <c r="Y632" s="1441"/>
      <c r="Z632" s="1479" t="s">
        <v>1183</v>
      </c>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1"/>
        <v/>
      </c>
      <c r="AU632" s="3"/>
      <c r="AZ632" s="3"/>
      <c r="BA632" s="3"/>
      <c r="BB632" s="3"/>
      <c r="BC632" s="3"/>
      <c r="BD632" s="3"/>
    </row>
    <row r="633" spans="2:157" ht="12.95" customHeight="1">
      <c r="B633" s="52" t="s">
        <v>456</v>
      </c>
      <c r="C633" s="1348"/>
      <c r="D633" s="1348"/>
      <c r="E633" s="1348"/>
      <c r="F633" s="1348"/>
      <c r="G633" s="1348"/>
      <c r="H633" s="1348"/>
      <c r="I633" s="1348"/>
      <c r="J633" s="1348"/>
      <c r="K633" s="1348"/>
      <c r="L633" s="1348"/>
      <c r="M633" s="1619" t="s">
        <v>1183</v>
      </c>
      <c r="N633" s="1619"/>
      <c r="O633" s="1619"/>
      <c r="P633" s="1619"/>
      <c r="Q633" s="1426"/>
      <c r="R633" s="1427"/>
      <c r="S633" s="1428"/>
      <c r="T633" s="1426"/>
      <c r="U633" s="1427"/>
      <c r="V633" s="1428"/>
      <c r="W633" s="1439"/>
      <c r="X633" s="1440"/>
      <c r="Y633" s="1441"/>
      <c r="Z633" s="1479" t="s">
        <v>1183</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457</v>
      </c>
      <c r="C634" s="1348"/>
      <c r="D634" s="1348"/>
      <c r="E634" s="1348"/>
      <c r="F634" s="1348"/>
      <c r="G634" s="1348"/>
      <c r="H634" s="1348"/>
      <c r="I634" s="1348"/>
      <c r="J634" s="1348"/>
      <c r="K634" s="1348"/>
      <c r="L634" s="1348"/>
      <c r="M634" s="1619" t="s">
        <v>1183</v>
      </c>
      <c r="N634" s="1619"/>
      <c r="O634" s="1619"/>
      <c r="P634" s="1619"/>
      <c r="Q634" s="1426"/>
      <c r="R634" s="1427"/>
      <c r="S634" s="1428"/>
      <c r="T634" s="1426"/>
      <c r="U634" s="1427"/>
      <c r="V634" s="1428"/>
      <c r="W634" s="1439"/>
      <c r="X634" s="1440"/>
      <c r="Y634" s="1441"/>
      <c r="Z634" s="1479" t="s">
        <v>1183</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1183</v>
      </c>
      <c r="BB634" s="3"/>
      <c r="BC634" s="3"/>
      <c r="BD634" s="3"/>
    </row>
    <row r="635" spans="2:157" ht="12.95" customHeight="1">
      <c r="B635" s="52" t="s">
        <v>462</v>
      </c>
      <c r="C635" s="1348"/>
      <c r="D635" s="1348"/>
      <c r="E635" s="1348"/>
      <c r="F635" s="1348"/>
      <c r="G635" s="1348"/>
      <c r="H635" s="1348"/>
      <c r="I635" s="1348"/>
      <c r="J635" s="1348"/>
      <c r="K635" s="1348"/>
      <c r="L635" s="1348"/>
      <c r="M635" s="1619" t="s">
        <v>1183</v>
      </c>
      <c r="N635" s="1619"/>
      <c r="O635" s="1619"/>
      <c r="P635" s="1619"/>
      <c r="Q635" s="1426"/>
      <c r="R635" s="1427"/>
      <c r="S635" s="1428"/>
      <c r="T635" s="1426"/>
      <c r="U635" s="1427"/>
      <c r="V635" s="1428"/>
      <c r="W635" s="1439"/>
      <c r="X635" s="1440"/>
      <c r="Y635" s="1441"/>
      <c r="Z635" s="1479" t="s">
        <v>1183</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188.32500000000002</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647</v>
      </c>
      <c r="C636" s="1348"/>
      <c r="D636" s="1348"/>
      <c r="E636" s="1348"/>
      <c r="F636" s="1348"/>
      <c r="G636" s="1348"/>
      <c r="H636" s="1348"/>
      <c r="I636" s="1348"/>
      <c r="J636" s="1348"/>
      <c r="K636" s="1348"/>
      <c r="L636" s="1348"/>
      <c r="M636" s="1619" t="s">
        <v>1183</v>
      </c>
      <c r="N636" s="1619"/>
      <c r="O636" s="1619"/>
      <c r="P636" s="1619"/>
      <c r="Q636" s="1426"/>
      <c r="R636" s="1427"/>
      <c r="S636" s="1428"/>
      <c r="T636" s="1426"/>
      <c r="U636" s="1427"/>
      <c r="V636" s="1428"/>
      <c r="W636" s="1439"/>
      <c r="X636" s="1440"/>
      <c r="Y636" s="1441"/>
      <c r="Z636" s="1479" t="s">
        <v>1183</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145.70000000000002</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8"/>
      <c r="D637" s="1348"/>
      <c r="E637" s="1348"/>
      <c r="F637" s="1348"/>
      <c r="G637" s="1348"/>
      <c r="H637" s="1348"/>
      <c r="I637" s="1348"/>
      <c r="J637" s="1348"/>
      <c r="K637" s="1348"/>
      <c r="L637" s="1348"/>
      <c r="M637" s="1619" t="s">
        <v>1183</v>
      </c>
      <c r="N637" s="1619"/>
      <c r="O637" s="1619"/>
      <c r="P637" s="1619"/>
      <c r="Q637" s="1426"/>
      <c r="R637" s="1427"/>
      <c r="S637" s="1428"/>
      <c r="T637" s="1426"/>
      <c r="U637" s="1427"/>
      <c r="V637" s="1428"/>
      <c r="W637" s="1439"/>
      <c r="X637" s="1440"/>
      <c r="Y637" s="1441"/>
      <c r="Z637" s="1479" t="s">
        <v>1183</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1192.7250000000001</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8"/>
      <c r="D638" s="1348"/>
      <c r="E638" s="1348"/>
      <c r="F638" s="1348"/>
      <c r="G638" s="1348"/>
      <c r="H638" s="1348"/>
      <c r="I638" s="1348"/>
      <c r="J638" s="1348"/>
      <c r="K638" s="1348"/>
      <c r="L638" s="1348"/>
      <c r="M638" s="1619" t="s">
        <v>1183</v>
      </c>
      <c r="N638" s="1619"/>
      <c r="O638" s="1619"/>
      <c r="P638" s="1619"/>
      <c r="Q638" s="1426"/>
      <c r="R638" s="1427"/>
      <c r="S638" s="1428"/>
      <c r="T638" s="1426"/>
      <c r="U638" s="1427"/>
      <c r="V638" s="1428"/>
      <c r="W638" s="1439"/>
      <c r="X638" s="1440"/>
      <c r="Y638" s="1441"/>
      <c r="Z638" s="1479" t="s">
        <v>1183</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f t="shared" si="4"/>
        <v>177.23076923076923</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76659088</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269.25641025641022</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54973204</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1901.8461538461536</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131632292</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f t="shared" si="5"/>
        <v>113.21739130434783</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f t="shared" si="5"/>
        <v>2548.2898550724635</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464</v>
      </c>
      <c r="G643" s="1359" t="str">
        <f>C627</f>
        <v>Citibank Tax Exempt Permanent Loan</v>
      </c>
      <c r="H643" s="1359"/>
      <c r="I643" s="1359"/>
      <c r="J643" s="1359"/>
      <c r="K643" s="1359"/>
      <c r="L643" s="1359"/>
      <c r="M643" s="1359"/>
      <c r="N643" s="1359"/>
      <c r="O643" s="1359"/>
      <c r="P643" s="1359"/>
      <c r="Q643" s="1359"/>
      <c r="R643" s="1359"/>
      <c r="S643" s="8"/>
      <c r="T643" s="55" t="s">
        <v>113</v>
      </c>
      <c r="U643" t="s">
        <v>464</v>
      </c>
      <c r="Z643" s="1359" t="str">
        <f>C628</f>
        <v>Citibank Taxable Permanent Loan</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2" t="s">
        <v>2717</v>
      </c>
      <c r="H644" s="1372"/>
      <c r="I644" s="1372"/>
      <c r="J644" s="1372"/>
      <c r="K644" s="1372"/>
      <c r="L644" s="1372"/>
      <c r="M644" s="1372"/>
      <c r="N644" s="1372"/>
      <c r="O644" s="1372"/>
      <c r="P644" s="1372"/>
      <c r="Q644" s="1372"/>
      <c r="R644" s="1372"/>
      <c r="S644" s="8"/>
      <c r="T644" s="22"/>
      <c r="U644" t="s">
        <v>85</v>
      </c>
      <c r="Z644" s="1372" t="s">
        <v>2717</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581</v>
      </c>
      <c r="G645" s="1372" t="s">
        <v>495</v>
      </c>
      <c r="H645" s="1372"/>
      <c r="I645" s="1372"/>
      <c r="J645" s="1372"/>
      <c r="K645" s="1372"/>
      <c r="L645" s="1372"/>
      <c r="M645" s="1372"/>
      <c r="N645" s="1372"/>
      <c r="O645" s="1372"/>
      <c r="P645" s="1372"/>
      <c r="Q645" s="1372"/>
      <c r="R645" s="1372"/>
      <c r="T645" s="22"/>
      <c r="U645" t="s">
        <v>581</v>
      </c>
      <c r="Z645" s="1349" t="s">
        <v>495</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2" t="s">
        <v>2702</v>
      </c>
      <c r="H646" s="1372"/>
      <c r="I646" s="1372"/>
      <c r="J646" s="1372"/>
      <c r="K646" s="1372"/>
      <c r="L646" s="1372"/>
      <c r="M646" s="1372"/>
      <c r="N646" s="1372"/>
      <c r="O646" s="1372"/>
      <c r="P646" s="1372"/>
      <c r="Q646" s="1372"/>
      <c r="R646" s="1372"/>
      <c r="S646" s="8"/>
      <c r="T646" s="22"/>
      <c r="U646" t="s">
        <v>17</v>
      </c>
      <c r="Z646" s="1349" t="s">
        <v>2702</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
        <v>2703</v>
      </c>
      <c r="H647" s="1347"/>
      <c r="I647" s="1347"/>
      <c r="J647" s="1347"/>
      <c r="K647" s="1347"/>
      <c r="L647" s="1347"/>
      <c r="O647" s="33" t="s">
        <v>206</v>
      </c>
      <c r="P647" s="1438"/>
      <c r="Q647" s="1438"/>
      <c r="R647" s="1438"/>
      <c r="S647" s="10"/>
      <c r="T647" s="22"/>
      <c r="U647" t="s">
        <v>316</v>
      </c>
      <c r="Z647" s="1346" t="s">
        <v>2703</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
        <v>2718</v>
      </c>
      <c r="I648" s="1372"/>
      <c r="J648" s="1372"/>
      <c r="K648" s="1372"/>
      <c r="L648" s="1372"/>
      <c r="M648" s="1372"/>
      <c r="N648" s="1372"/>
      <c r="O648" s="1372"/>
      <c r="P648" s="1372"/>
      <c r="Q648" s="1372"/>
      <c r="R648" s="1372"/>
      <c r="S648" s="8"/>
      <c r="T648" s="22"/>
      <c r="U648" t="s">
        <v>18</v>
      </c>
      <c r="AA648" s="1417" t="s">
        <v>2736</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464</v>
      </c>
      <c r="G651" s="1359" t="str">
        <f>C629</f>
        <v>HomeFed Site Work Loan</v>
      </c>
      <c r="H651" s="1359"/>
      <c r="I651" s="1359"/>
      <c r="J651" s="1359"/>
      <c r="K651" s="1359"/>
      <c r="L651" s="1359"/>
      <c r="M651" s="1359"/>
      <c r="N651" s="1359"/>
      <c r="O651" s="1359"/>
      <c r="P651" s="1359"/>
      <c r="Q651" s="1359"/>
      <c r="R651" s="1359"/>
      <c r="T651" s="55" t="s">
        <v>582</v>
      </c>
      <c r="U651" t="s">
        <v>464</v>
      </c>
      <c r="Z651" s="1359" t="str">
        <f>C630</f>
        <v>Deferred Developer Fee</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t="s">
        <v>2694</v>
      </c>
      <c r="H652" s="1372"/>
      <c r="I652" s="1372"/>
      <c r="J652" s="1372"/>
      <c r="K652" s="1372"/>
      <c r="L652" s="1372"/>
      <c r="M652" s="1372"/>
      <c r="N652" s="1372"/>
      <c r="O652" s="1372"/>
      <c r="P652" s="1372"/>
      <c r="Q652" s="1372"/>
      <c r="R652" s="1372"/>
      <c r="T652" s="22"/>
      <c r="U652" t="s">
        <v>85</v>
      </c>
      <c r="Z652" s="1372" t="s">
        <v>2628</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581</v>
      </c>
      <c r="G653" s="1349" t="s">
        <v>2708</v>
      </c>
      <c r="H653" s="1349"/>
      <c r="I653" s="1349"/>
      <c r="J653" s="1349"/>
      <c r="K653" s="1349"/>
      <c r="L653" s="1349"/>
      <c r="M653" s="1349"/>
      <c r="N653" s="1349"/>
      <c r="O653" s="1349"/>
      <c r="P653" s="1349"/>
      <c r="Q653" s="1349"/>
      <c r="R653" s="1349"/>
      <c r="T653" s="22"/>
      <c r="U653" t="s">
        <v>581</v>
      </c>
      <c r="Z653" s="1349" t="s">
        <v>495</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t="s">
        <v>2709</v>
      </c>
      <c r="H654" s="1349"/>
      <c r="I654" s="1349"/>
      <c r="J654" s="1349"/>
      <c r="K654" s="1349"/>
      <c r="L654" s="1349"/>
      <c r="M654" s="1349"/>
      <c r="N654" s="1349"/>
      <c r="O654" s="1349"/>
      <c r="P654" s="1349"/>
      <c r="Q654" s="1349"/>
      <c r="R654" s="1349"/>
      <c r="T654" s="22"/>
      <c r="U654" t="s">
        <v>17</v>
      </c>
      <c r="Z654" s="1349" t="s">
        <v>2714</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6" t="s">
        <v>2695</v>
      </c>
      <c r="H655" s="1347"/>
      <c r="I655" s="1347"/>
      <c r="J655" s="1347"/>
      <c r="K655" s="1347"/>
      <c r="L655" s="1347"/>
      <c r="O655" s="33" t="s">
        <v>206</v>
      </c>
      <c r="P655" s="1438">
        <v>106</v>
      </c>
      <c r="Q655" s="1438"/>
      <c r="R655" s="1438"/>
      <c r="T655" s="22"/>
      <c r="U655" t="s">
        <v>316</v>
      </c>
      <c r="Z655" s="1347" t="s">
        <v>2624</v>
      </c>
      <c r="AA655" s="1347"/>
      <c r="AB655" s="1347"/>
      <c r="AC655" s="1347"/>
      <c r="AD655" s="1347"/>
      <c r="AE655" s="1347"/>
      <c r="AH655" s="33" t="s">
        <v>206</v>
      </c>
      <c r="AI655" s="1438">
        <v>106</v>
      </c>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t="s">
        <v>2710</v>
      </c>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
        <v>546</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764</v>
      </c>
      <c r="B659" t="s">
        <v>464</v>
      </c>
      <c r="G659" s="1359">
        <f>C631</f>
        <v>0</v>
      </c>
      <c r="H659" s="1359"/>
      <c r="I659" s="1359"/>
      <c r="J659" s="1359"/>
      <c r="K659" s="1359"/>
      <c r="L659" s="1359"/>
      <c r="M659" s="1359"/>
      <c r="N659" s="1359"/>
      <c r="O659" s="1359"/>
      <c r="P659" s="1359"/>
      <c r="Q659" s="1359"/>
      <c r="R659" s="1359"/>
      <c r="T659" s="55" t="s">
        <v>585</v>
      </c>
      <c r="U659" t="s">
        <v>464</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581</v>
      </c>
      <c r="G661" s="1372"/>
      <c r="H661" s="1372"/>
      <c r="I661" s="1372"/>
      <c r="J661" s="1372"/>
      <c r="K661" s="1372"/>
      <c r="L661" s="1372"/>
      <c r="M661" s="1372"/>
      <c r="N661" s="1372"/>
      <c r="O661" s="1372"/>
      <c r="P661" s="1372"/>
      <c r="Q661" s="1372"/>
      <c r="R661" s="1372"/>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7"/>
      <c r="H663" s="1347"/>
      <c r="I663" s="1347"/>
      <c r="J663" s="1347"/>
      <c r="K663" s="1347"/>
      <c r="L663" s="1347"/>
      <c r="O663" s="33" t="s">
        <v>206</v>
      </c>
      <c r="P663" s="1438"/>
      <c r="Q663" s="1438"/>
      <c r="R663" s="1438"/>
      <c r="T663" s="22"/>
      <c r="U663" t="s">
        <v>316</v>
      </c>
      <c r="Z663" s="1347"/>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581</v>
      </c>
      <c r="G669" s="1372"/>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1526.7500000000002</v>
      </c>
      <c r="ED670" s="1446"/>
      <c r="EE670" s="1446"/>
      <c r="EF670" s="1446"/>
      <c r="EG670" s="1446"/>
      <c r="EH670" s="1446">
        <f>SUMIF(EH635:EL669,"&gt;0")</f>
        <v>2348.333333333333</v>
      </c>
      <c r="EI670" s="1446"/>
      <c r="EJ670" s="1446"/>
      <c r="EK670" s="1446"/>
      <c r="EL670" s="1446"/>
      <c r="EM670" s="1446">
        <f>SUMIF(EM635:EQ669,"&gt;0")</f>
        <v>2661.5072463768115</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7"/>
      <c r="H671" s="1347"/>
      <c r="I671" s="1347"/>
      <c r="J671" s="1347"/>
      <c r="K671" s="1347"/>
      <c r="L671" s="1347"/>
      <c r="O671" s="33" t="s">
        <v>206</v>
      </c>
      <c r="P671" s="1438"/>
      <c r="Q671" s="1438"/>
      <c r="R671" s="1438"/>
      <c r="T671" s="22"/>
      <c r="U671" t="s">
        <v>316</v>
      </c>
      <c r="Z671" s="1347"/>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670</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92">
        <v>45909</v>
      </c>
      <c r="AF695" s="1692"/>
      <c r="AG695" s="1692"/>
      <c r="AH695" s="1692"/>
      <c r="AI695" s="1692"/>
    </row>
    <row r="696" spans="1:67" ht="12.95" customHeight="1">
      <c r="B696" s="135"/>
      <c r="C696" s="135"/>
      <c r="D696" s="317" t="s">
        <v>982</v>
      </c>
      <c r="E696" s="135"/>
      <c r="F696" s="135"/>
      <c r="G696" s="135"/>
      <c r="H696" s="135"/>
      <c r="AE696" s="1703">
        <v>45979</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2">
        <v>46143</v>
      </c>
      <c r="AF698" s="1692"/>
      <c r="AG698" s="1692"/>
      <c r="AH698" s="1692"/>
      <c r="AI698" s="1692"/>
    </row>
    <row r="699" spans="1:67" ht="12.95" customHeight="1">
      <c r="B699" s="135"/>
      <c r="C699" s="135"/>
      <c r="D699" s="136" t="s">
        <v>436</v>
      </c>
      <c r="E699" s="135"/>
      <c r="F699" s="135"/>
      <c r="G699" s="135"/>
      <c r="H699" s="135"/>
      <c r="AE699" s="1662">
        <v>0.2525</v>
      </c>
      <c r="AF699" s="1662"/>
      <c r="AG699" s="1662"/>
      <c r="AH699" s="1662"/>
      <c r="AI699" s="1662"/>
    </row>
    <row r="700" spans="1:67" ht="12.95" customHeight="1">
      <c r="B700" s="135"/>
      <c r="C700" s="135"/>
      <c r="D700" s="136" t="s">
        <v>437</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0" t="s">
        <v>1678</v>
      </c>
      <c r="L714" s="1721"/>
      <c r="M714" s="1721"/>
      <c r="N714" s="1722"/>
      <c r="O714" s="1363" t="s">
        <v>448</v>
      </c>
      <c r="P714" s="1364"/>
      <c r="Q714" s="1364"/>
      <c r="R714" s="1364"/>
      <c r="S714" s="1365"/>
      <c r="T714" s="1660" t="s">
        <v>1948</v>
      </c>
      <c r="U714" s="1364"/>
      <c r="V714" s="1364"/>
      <c r="W714" s="1365"/>
      <c r="X714" s="1660" t="s">
        <v>1950</v>
      </c>
      <c r="Y714" s="1364"/>
      <c r="Z714" s="1364"/>
      <c r="AA714" s="1364"/>
      <c r="AB714" s="1365"/>
      <c r="AC714" s="1660" t="s">
        <v>1949</v>
      </c>
      <c r="AD714" s="1364"/>
      <c r="AE714" s="1364"/>
      <c r="AF714" s="1364"/>
      <c r="AG714" s="1365"/>
      <c r="AH714" s="1660" t="s">
        <v>1951</v>
      </c>
      <c r="AI714" s="1364"/>
      <c r="AJ714" s="1365"/>
      <c r="AK714" s="1660" t="s">
        <v>1978</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7" t="s">
        <v>634</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7" t="s">
        <v>325</v>
      </c>
      <c r="C718" s="1338"/>
      <c r="D718" s="1338"/>
      <c r="E718" s="1338"/>
      <c r="F718" s="1339"/>
      <c r="G718" s="1350">
        <v>27</v>
      </c>
      <c r="H718" s="1351"/>
      <c r="I718" s="1351"/>
      <c r="J718" s="1352"/>
      <c r="K718" s="1343">
        <v>580</v>
      </c>
      <c r="L718" s="1344"/>
      <c r="M718" s="1344"/>
      <c r="N718" s="1345"/>
      <c r="O718" s="1340">
        <v>837</v>
      </c>
      <c r="P718" s="1341"/>
      <c r="Q718" s="1341"/>
      <c r="R718" s="1341"/>
      <c r="S718" s="1342"/>
      <c r="T718" s="1340">
        <v>93</v>
      </c>
      <c r="U718" s="1341"/>
      <c r="V718" s="1341"/>
      <c r="W718" s="1342"/>
      <c r="X718" s="1353">
        <f t="shared" ref="X718:X741" si="8">O718+T718</f>
        <v>930</v>
      </c>
      <c r="Y718" s="1354"/>
      <c r="Z718" s="1354"/>
      <c r="AA718" s="1354"/>
      <c r="AB718" s="1355"/>
      <c r="AC718" s="1360">
        <v>0.3</v>
      </c>
      <c r="AD718" s="1361"/>
      <c r="AE718" s="1361"/>
      <c r="AF718" s="1361"/>
      <c r="AG718" s="1362"/>
      <c r="AH718" s="1356">
        <f>IF($AC718&gt;0,($X718/$AZ718), "")</f>
        <v>0.3</v>
      </c>
      <c r="AI718" s="1357"/>
      <c r="AJ718" s="1358"/>
      <c r="AK718" s="1337" t="s">
        <v>592</v>
      </c>
      <c r="AL718" s="1338"/>
      <c r="AM718" s="1338"/>
      <c r="AN718" s="1338"/>
      <c r="AO718" s="1339"/>
      <c r="AP718" s="3"/>
      <c r="AQ718" s="3"/>
      <c r="AR718" s="3"/>
      <c r="AS718" s="3"/>
      <c r="AZ718" s="118">
        <f t="shared" ref="AZ718:AZ752" si="9">IF($G718=0,"N/A",VLOOKUP($T$189,TC_Rent,(MATCH($B718,bedrooms,FALSE)),FALSE))</f>
        <v>3100</v>
      </c>
      <c r="BA718" s="3"/>
      <c r="BB718" s="3"/>
      <c r="BC718" s="3"/>
      <c r="BD718" s="3"/>
      <c r="BE718" s="204"/>
      <c r="BF718" s="293">
        <f t="shared" ref="BF718:BF752" si="10">G718</f>
        <v>27</v>
      </c>
      <c r="BG718" s="297">
        <f t="shared" ref="BG718:BG752" si="11">IF($BF$753=0,0,BF718/$BF$753)</f>
        <v>0.10112359550561797</v>
      </c>
      <c r="BH718" s="298">
        <f t="shared" ref="BH718:BH752" si="12">IF(BG718=0,"",BG718*AC718)</f>
        <v>3.033707865168539E-2</v>
      </c>
      <c r="BI718" s="3"/>
      <c r="BJ718" s="3"/>
      <c r="BK718" s="3"/>
      <c r="BL718" s="3"/>
      <c r="BM718" s="3"/>
      <c r="BN718" s="3"/>
      <c r="BS718" s="293">
        <f t="shared" ref="BS718:BS752" si="13">G718</f>
        <v>27</v>
      </c>
      <c r="BT718" s="297">
        <f t="shared" ref="BT718:BT752" si="14">IF($BS$753=0,0,BS718/$BS$753)</f>
        <v>0.10112359550561797</v>
      </c>
      <c r="BU718" s="298">
        <f t="shared" ref="BU718:BU752" si="15">IF(BT718=0,"",BT718*AH718)</f>
        <v>3.033707865168539E-2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27</v>
      </c>
      <c r="CN718" s="1471"/>
      <c r="CO718" s="3"/>
      <c r="CP718" s="1459">
        <f t="shared" ref="CP718:CP752" si="18">IF(B718="SRO/Studio",G718,0)</f>
        <v>0</v>
      </c>
      <c r="CQ718" s="1460"/>
      <c r="CR718" s="1460"/>
      <c r="CS718" s="1460"/>
      <c r="CT718" s="1461"/>
      <c r="CU718" s="1444">
        <f t="shared" ref="CU718:CU752" si="19">IF(B718="1 Bedroom",G718,0)</f>
        <v>27</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27</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837</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325</v>
      </c>
      <c r="C719" s="1338"/>
      <c r="D719" s="1338"/>
      <c r="E719" s="1338"/>
      <c r="F719" s="1339"/>
      <c r="G719" s="1350">
        <v>12</v>
      </c>
      <c r="H719" s="1351"/>
      <c r="I719" s="1351"/>
      <c r="J719" s="1352"/>
      <c r="K719" s="1343">
        <v>580</v>
      </c>
      <c r="L719" s="1344"/>
      <c r="M719" s="1344"/>
      <c r="N719" s="1345"/>
      <c r="O719" s="1340">
        <v>1457</v>
      </c>
      <c r="P719" s="1341"/>
      <c r="Q719" s="1341"/>
      <c r="R719" s="1341"/>
      <c r="S719" s="1342"/>
      <c r="T719" s="1340">
        <v>93</v>
      </c>
      <c r="U719" s="1341"/>
      <c r="V719" s="1341"/>
      <c r="W719" s="1342"/>
      <c r="X719" s="1353">
        <f t="shared" si="8"/>
        <v>1550</v>
      </c>
      <c r="Y719" s="1354"/>
      <c r="Z719" s="1354"/>
      <c r="AA719" s="1354"/>
      <c r="AB719" s="1355"/>
      <c r="AC719" s="1360">
        <v>0.5</v>
      </c>
      <c r="AD719" s="1361"/>
      <c r="AE719" s="1361"/>
      <c r="AF719" s="1361"/>
      <c r="AG719" s="1362"/>
      <c r="AH719" s="1356">
        <f t="shared" ref="AH719:AH752" si="36">IF($AC719&gt;0,($X719/$AZ719), "")</f>
        <v>0.5</v>
      </c>
      <c r="AI719" s="1357"/>
      <c r="AJ719" s="1358"/>
      <c r="AK719" s="1337" t="s">
        <v>592</v>
      </c>
      <c r="AL719" s="1338"/>
      <c r="AM719" s="1338"/>
      <c r="AN719" s="1338"/>
      <c r="AO719" s="1339"/>
      <c r="AP719" s="3"/>
      <c r="AQ719" s="3"/>
      <c r="AR719" s="3"/>
      <c r="AS719" s="3"/>
      <c r="AZ719" s="118">
        <f t="shared" si="9"/>
        <v>3100</v>
      </c>
      <c r="BA719" s="3"/>
      <c r="BB719" s="3"/>
      <c r="BC719" s="3"/>
      <c r="BD719" s="3"/>
      <c r="BE719" s="204"/>
      <c r="BF719" s="294">
        <f t="shared" si="10"/>
        <v>12</v>
      </c>
      <c r="BG719" s="297">
        <f t="shared" si="11"/>
        <v>4.49438202247191E-2</v>
      </c>
      <c r="BH719" s="298">
        <f t="shared" si="12"/>
        <v>2.247191011235955E-2</v>
      </c>
      <c r="BI719" s="3"/>
      <c r="BJ719" s="3"/>
      <c r="BK719" s="3"/>
      <c r="BL719" s="3"/>
      <c r="BM719" s="3"/>
      <c r="BN719" s="3"/>
      <c r="BS719" s="294">
        <f t="shared" si="13"/>
        <v>12</v>
      </c>
      <c r="BT719" s="297">
        <f t="shared" si="14"/>
        <v>4.49438202247191E-2</v>
      </c>
      <c r="BU719" s="298">
        <f t="shared" si="15"/>
        <v>2.247191011235955E-2</v>
      </c>
      <c r="CC719" s="3"/>
      <c r="CD719" s="3"/>
      <c r="CE719" s="3"/>
      <c r="CF719" s="3"/>
      <c r="CG719" s="1464">
        <f t="shared" ref="CG719:CG752" si="37">IF(AND(AC719&lt;=0.5,AC719&gt;=0.36),1,0)</f>
        <v>1</v>
      </c>
      <c r="CH719" s="1465"/>
      <c r="CI719" s="1470">
        <f t="shared" ref="CI719:CI752" si="38">IF(CG719=1,G719,0)</f>
        <v>12</v>
      </c>
      <c r="CJ719" s="1471"/>
      <c r="CK719" s="1464">
        <f t="shared" si="16"/>
        <v>0</v>
      </c>
      <c r="CL719" s="1465"/>
      <c r="CM719" s="1470">
        <f t="shared" si="17"/>
        <v>0</v>
      </c>
      <c r="CN719" s="1471"/>
      <c r="CO719" s="3"/>
      <c r="CP719" s="1459">
        <f t="shared" si="18"/>
        <v>0</v>
      </c>
      <c r="CQ719" s="1460"/>
      <c r="CR719" s="1460"/>
      <c r="CS719" s="1460"/>
      <c r="CT719" s="1461"/>
      <c r="CU719" s="1444">
        <f t="shared" si="19"/>
        <v>12</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f t="shared" si="31"/>
        <v>1457</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325</v>
      </c>
      <c r="C720" s="1338"/>
      <c r="D720" s="1338"/>
      <c r="E720" s="1338"/>
      <c r="F720" s="1339"/>
      <c r="G720" s="1350">
        <v>81</v>
      </c>
      <c r="H720" s="1351"/>
      <c r="I720" s="1351"/>
      <c r="J720" s="1352"/>
      <c r="K720" s="1343">
        <v>580</v>
      </c>
      <c r="L720" s="1344"/>
      <c r="M720" s="1344"/>
      <c r="N720" s="1345"/>
      <c r="O720" s="1340">
        <v>1767</v>
      </c>
      <c r="P720" s="1341"/>
      <c r="Q720" s="1341"/>
      <c r="R720" s="1341"/>
      <c r="S720" s="1342"/>
      <c r="T720" s="1340">
        <v>93</v>
      </c>
      <c r="U720" s="1341"/>
      <c r="V720" s="1341"/>
      <c r="W720" s="1342"/>
      <c r="X720" s="1353">
        <f t="shared" si="8"/>
        <v>1860</v>
      </c>
      <c r="Y720" s="1354"/>
      <c r="Z720" s="1354"/>
      <c r="AA720" s="1354"/>
      <c r="AB720" s="1355"/>
      <c r="AC720" s="1360">
        <v>0.6</v>
      </c>
      <c r="AD720" s="1361"/>
      <c r="AE720" s="1361"/>
      <c r="AF720" s="1361"/>
      <c r="AG720" s="1362"/>
      <c r="AH720" s="1356">
        <f t="shared" si="36"/>
        <v>0.6</v>
      </c>
      <c r="AI720" s="1357"/>
      <c r="AJ720" s="1358"/>
      <c r="AK720" s="1337" t="s">
        <v>592</v>
      </c>
      <c r="AL720" s="1338"/>
      <c r="AM720" s="1338"/>
      <c r="AN720" s="1338"/>
      <c r="AO720" s="1339"/>
      <c r="AP720" s="3"/>
      <c r="AQ720" s="3"/>
      <c r="AR720" s="3"/>
      <c r="AS720" s="3"/>
      <c r="AZ720" s="118">
        <f t="shared" si="9"/>
        <v>3100</v>
      </c>
      <c r="BA720" s="3"/>
      <c r="BB720" s="3"/>
      <c r="BC720" s="3"/>
      <c r="BD720" s="3"/>
      <c r="BE720" s="204"/>
      <c r="BF720" s="294">
        <f t="shared" si="10"/>
        <v>81</v>
      </c>
      <c r="BG720" s="297">
        <f t="shared" si="11"/>
        <v>0.30337078651685395</v>
      </c>
      <c r="BH720" s="298">
        <f t="shared" si="12"/>
        <v>0.18202247191011237</v>
      </c>
      <c r="BI720" s="3"/>
      <c r="BJ720" s="3"/>
      <c r="BK720" s="3"/>
      <c r="BL720" s="3"/>
      <c r="BM720" s="3"/>
      <c r="BN720" s="3"/>
      <c r="BS720" s="294">
        <f t="shared" si="13"/>
        <v>81</v>
      </c>
      <c r="BT720" s="297">
        <f t="shared" si="14"/>
        <v>0.30337078651685395</v>
      </c>
      <c r="BU720" s="298">
        <f t="shared" si="15"/>
        <v>0.18202247191011237</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4">
        <f t="shared" si="19"/>
        <v>81</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f t="shared" si="31"/>
        <v>1767</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163</v>
      </c>
      <c r="C721" s="1338"/>
      <c r="D721" s="1338"/>
      <c r="E721" s="1338"/>
      <c r="F721" s="1339"/>
      <c r="G721" s="1350">
        <v>8</v>
      </c>
      <c r="H721" s="1351"/>
      <c r="I721" s="1351"/>
      <c r="J721" s="1352"/>
      <c r="K721" s="1343">
        <v>796</v>
      </c>
      <c r="L721" s="1344"/>
      <c r="M721" s="1344"/>
      <c r="N721" s="1345"/>
      <c r="O721" s="1340">
        <v>1728</v>
      </c>
      <c r="P721" s="1341"/>
      <c r="Q721" s="1341"/>
      <c r="R721" s="1341"/>
      <c r="S721" s="1342"/>
      <c r="T721" s="1340">
        <v>133</v>
      </c>
      <c r="U721" s="1341"/>
      <c r="V721" s="1341"/>
      <c r="W721" s="1342"/>
      <c r="X721" s="1353">
        <f t="shared" si="8"/>
        <v>1861</v>
      </c>
      <c r="Y721" s="1354"/>
      <c r="Z721" s="1354"/>
      <c r="AA721" s="1354"/>
      <c r="AB721" s="1355"/>
      <c r="AC721" s="1360">
        <v>0.5</v>
      </c>
      <c r="AD721" s="1361"/>
      <c r="AE721" s="1361"/>
      <c r="AF721" s="1361"/>
      <c r="AG721" s="1362"/>
      <c r="AH721" s="1356">
        <f t="shared" si="36"/>
        <v>0.5</v>
      </c>
      <c r="AI721" s="1357"/>
      <c r="AJ721" s="1358"/>
      <c r="AK721" s="1337" t="s">
        <v>592</v>
      </c>
      <c r="AL721" s="1338"/>
      <c r="AM721" s="1338"/>
      <c r="AN721" s="1338"/>
      <c r="AO721" s="1339"/>
      <c r="AP721" s="3"/>
      <c r="AQ721" s="3"/>
      <c r="AR721" s="3"/>
      <c r="AS721" s="3"/>
      <c r="AY721" s="116"/>
      <c r="AZ721" s="118">
        <f t="shared" si="9"/>
        <v>3722</v>
      </c>
      <c r="BA721" s="3"/>
      <c r="BB721" s="3"/>
      <c r="BC721" s="3"/>
      <c r="BD721" s="3"/>
      <c r="BE721" s="204"/>
      <c r="BF721" s="294">
        <f t="shared" si="10"/>
        <v>8</v>
      </c>
      <c r="BG721" s="297">
        <f t="shared" si="11"/>
        <v>2.9962546816479401E-2</v>
      </c>
      <c r="BH721" s="298">
        <f t="shared" si="12"/>
        <v>1.4981273408239701E-2</v>
      </c>
      <c r="BI721" s="3"/>
      <c r="BJ721" s="3"/>
      <c r="BK721" s="3"/>
      <c r="BL721" s="3"/>
      <c r="BM721" s="3"/>
      <c r="BN721" s="3"/>
      <c r="BS721" s="294">
        <f t="shared" si="13"/>
        <v>8</v>
      </c>
      <c r="BT721" s="297">
        <f t="shared" si="14"/>
        <v>2.9962546816479401E-2</v>
      </c>
      <c r="BU721" s="298">
        <f t="shared" si="15"/>
        <v>1.4981273408239701E-2</v>
      </c>
      <c r="CC721" s="3"/>
      <c r="CD721" s="3"/>
      <c r="CE721" s="3"/>
      <c r="CF721" s="3"/>
      <c r="CG721" s="1464">
        <f t="shared" si="37"/>
        <v>1</v>
      </c>
      <c r="CH721" s="1465"/>
      <c r="CI721" s="1470">
        <f t="shared" si="38"/>
        <v>8</v>
      </c>
      <c r="CJ721" s="1471"/>
      <c r="CK721" s="1464">
        <f t="shared" si="16"/>
        <v>0</v>
      </c>
      <c r="CL721" s="1465"/>
      <c r="CM721" s="1470">
        <f t="shared" si="17"/>
        <v>0</v>
      </c>
      <c r="CN721" s="1471"/>
      <c r="CO721" s="3"/>
      <c r="CP721" s="1459">
        <f t="shared" si="18"/>
        <v>0</v>
      </c>
      <c r="CQ721" s="1460"/>
      <c r="CR721" s="1460"/>
      <c r="CS721" s="1460"/>
      <c r="CT721" s="1461"/>
      <c r="CU721" s="1444">
        <f t="shared" si="19"/>
        <v>0</v>
      </c>
      <c r="CV721" s="1444"/>
      <c r="CW721" s="1444"/>
      <c r="CX721" s="1444"/>
      <c r="CY721" s="1444"/>
      <c r="CZ721" s="1444">
        <f t="shared" si="20"/>
        <v>8</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f t="shared" si="32"/>
        <v>1728</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t="s">
        <v>163</v>
      </c>
      <c r="C722" s="1338"/>
      <c r="D722" s="1338"/>
      <c r="E722" s="1338"/>
      <c r="F722" s="1339"/>
      <c r="G722" s="1350">
        <v>10</v>
      </c>
      <c r="H722" s="1351"/>
      <c r="I722" s="1351"/>
      <c r="J722" s="1352"/>
      <c r="K722" s="1343">
        <v>796</v>
      </c>
      <c r="L722" s="1344"/>
      <c r="M722" s="1344"/>
      <c r="N722" s="1345"/>
      <c r="O722" s="1340">
        <v>2100.1999999999998</v>
      </c>
      <c r="P722" s="1341"/>
      <c r="Q722" s="1341"/>
      <c r="R722" s="1341"/>
      <c r="S722" s="1342"/>
      <c r="T722" s="1340">
        <v>133</v>
      </c>
      <c r="U722" s="1341"/>
      <c r="V722" s="1341"/>
      <c r="W722" s="1342"/>
      <c r="X722" s="1353">
        <f t="shared" si="8"/>
        <v>2233.1999999999998</v>
      </c>
      <c r="Y722" s="1354"/>
      <c r="Z722" s="1354"/>
      <c r="AA722" s="1354"/>
      <c r="AB722" s="1355"/>
      <c r="AC722" s="1360">
        <v>0.6</v>
      </c>
      <c r="AD722" s="1361"/>
      <c r="AE722" s="1361"/>
      <c r="AF722" s="1361"/>
      <c r="AG722" s="1362"/>
      <c r="AH722" s="1356">
        <f t="shared" si="36"/>
        <v>0.6</v>
      </c>
      <c r="AI722" s="1357"/>
      <c r="AJ722" s="1358"/>
      <c r="AK722" s="1337" t="s">
        <v>592</v>
      </c>
      <c r="AL722" s="1338"/>
      <c r="AM722" s="1338"/>
      <c r="AN722" s="1338"/>
      <c r="AO722" s="1339"/>
      <c r="AP722" s="3"/>
      <c r="AQ722" s="3"/>
      <c r="AR722" s="3"/>
      <c r="AS722" s="3"/>
      <c r="AY722" s="116"/>
      <c r="AZ722" s="118">
        <f t="shared" si="9"/>
        <v>3722</v>
      </c>
      <c r="BA722" s="3"/>
      <c r="BB722" s="3"/>
      <c r="BC722" s="3"/>
      <c r="BD722" s="3"/>
      <c r="BE722" s="204"/>
      <c r="BF722" s="294">
        <f t="shared" si="10"/>
        <v>10</v>
      </c>
      <c r="BG722" s="297">
        <f t="shared" si="11"/>
        <v>3.7453183520599252E-2</v>
      </c>
      <c r="BH722" s="298">
        <f t="shared" si="12"/>
        <v>2.247191011235955E-2</v>
      </c>
      <c r="BI722" s="3"/>
      <c r="BJ722" s="3"/>
      <c r="BK722" s="3"/>
      <c r="BL722" s="3"/>
      <c r="BM722" s="3"/>
      <c r="BN722" s="3"/>
      <c r="BS722" s="294">
        <f t="shared" si="13"/>
        <v>10</v>
      </c>
      <c r="BT722" s="297">
        <f t="shared" si="14"/>
        <v>3.7453183520599252E-2</v>
      </c>
      <c r="BU722" s="298">
        <f t="shared" si="15"/>
        <v>2.247191011235955E-2</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10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f t="shared" si="32"/>
        <v>2100.1999999999998</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t="s">
        <v>163</v>
      </c>
      <c r="C723" s="1338"/>
      <c r="D723" s="1338"/>
      <c r="E723" s="1338"/>
      <c r="F723" s="1339"/>
      <c r="G723" s="1350">
        <v>60</v>
      </c>
      <c r="H723" s="1351"/>
      <c r="I723" s="1351"/>
      <c r="J723" s="1352"/>
      <c r="K723" s="1343">
        <v>796</v>
      </c>
      <c r="L723" s="1344"/>
      <c r="M723" s="1344"/>
      <c r="N723" s="1345"/>
      <c r="O723" s="1340">
        <v>2472.3999999999996</v>
      </c>
      <c r="P723" s="1341"/>
      <c r="Q723" s="1341"/>
      <c r="R723" s="1341"/>
      <c r="S723" s="1342"/>
      <c r="T723" s="1340">
        <v>133</v>
      </c>
      <c r="U723" s="1341"/>
      <c r="V723" s="1341"/>
      <c r="W723" s="1342"/>
      <c r="X723" s="1353">
        <f t="shared" si="8"/>
        <v>2605.3999999999996</v>
      </c>
      <c r="Y723" s="1354"/>
      <c r="Z723" s="1354"/>
      <c r="AA723" s="1354"/>
      <c r="AB723" s="1355"/>
      <c r="AC723" s="1360">
        <v>0.7</v>
      </c>
      <c r="AD723" s="1361"/>
      <c r="AE723" s="1361"/>
      <c r="AF723" s="1361"/>
      <c r="AG723" s="1362"/>
      <c r="AH723" s="1356">
        <f t="shared" si="36"/>
        <v>0.7</v>
      </c>
      <c r="AI723" s="1357"/>
      <c r="AJ723" s="1358"/>
      <c r="AK723" s="1337" t="s">
        <v>592</v>
      </c>
      <c r="AL723" s="1338"/>
      <c r="AM723" s="1338"/>
      <c r="AN723" s="1338"/>
      <c r="AO723" s="1339"/>
      <c r="AP723" s="3"/>
      <c r="AQ723" s="3"/>
      <c r="AR723" s="3"/>
      <c r="AS723" s="3"/>
      <c r="AY723" s="116"/>
      <c r="AZ723" s="118">
        <f t="shared" si="9"/>
        <v>3722</v>
      </c>
      <c r="BA723" s="3"/>
      <c r="BB723" s="3"/>
      <c r="BC723" s="3"/>
      <c r="BD723" s="3"/>
      <c r="BE723" s="204"/>
      <c r="BF723" s="294">
        <f t="shared" si="10"/>
        <v>60</v>
      </c>
      <c r="BG723" s="297">
        <f t="shared" si="11"/>
        <v>0.2247191011235955</v>
      </c>
      <c r="BH723" s="298">
        <f t="shared" si="12"/>
        <v>0.15730337078651685</v>
      </c>
      <c r="BI723" s="3"/>
      <c r="BJ723" s="3"/>
      <c r="BK723" s="3"/>
      <c r="BL723" s="3"/>
      <c r="BM723" s="3"/>
      <c r="BN723" s="3"/>
      <c r="BS723" s="294">
        <f t="shared" si="13"/>
        <v>60</v>
      </c>
      <c r="BT723" s="297">
        <f t="shared" si="14"/>
        <v>0.2247191011235955</v>
      </c>
      <c r="BU723" s="298">
        <f t="shared" si="15"/>
        <v>0.15730337078651685</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60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f t="shared" si="32"/>
        <v>2472.3999999999996</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t="s">
        <v>164</v>
      </c>
      <c r="C724" s="1338"/>
      <c r="D724" s="1338"/>
      <c r="E724" s="1338"/>
      <c r="F724" s="1339"/>
      <c r="G724" s="1350">
        <v>7</v>
      </c>
      <c r="H724" s="1351"/>
      <c r="I724" s="1351"/>
      <c r="J724" s="1352"/>
      <c r="K724" s="1343">
        <v>1039</v>
      </c>
      <c r="L724" s="1344"/>
      <c r="M724" s="1344"/>
      <c r="N724" s="1345"/>
      <c r="O724" s="1340">
        <v>1116</v>
      </c>
      <c r="P724" s="1341"/>
      <c r="Q724" s="1341"/>
      <c r="R724" s="1341"/>
      <c r="S724" s="1342"/>
      <c r="T724" s="1340">
        <v>174</v>
      </c>
      <c r="U724" s="1341"/>
      <c r="V724" s="1341"/>
      <c r="W724" s="1342"/>
      <c r="X724" s="1353">
        <f t="shared" si="8"/>
        <v>1290</v>
      </c>
      <c r="Y724" s="1354"/>
      <c r="Z724" s="1354"/>
      <c r="AA724" s="1354"/>
      <c r="AB724" s="1355"/>
      <c r="AC724" s="1360">
        <v>0.3</v>
      </c>
      <c r="AD724" s="1361"/>
      <c r="AE724" s="1361"/>
      <c r="AF724" s="1361"/>
      <c r="AG724" s="1362"/>
      <c r="AH724" s="1356">
        <f t="shared" si="36"/>
        <v>0.3</v>
      </c>
      <c r="AI724" s="1357"/>
      <c r="AJ724" s="1358"/>
      <c r="AK724" s="1337" t="s">
        <v>592</v>
      </c>
      <c r="AL724" s="1338"/>
      <c r="AM724" s="1338"/>
      <c r="AN724" s="1338"/>
      <c r="AO724" s="1339"/>
      <c r="AP724" s="3"/>
      <c r="AQ724" s="3"/>
      <c r="AR724" s="3"/>
      <c r="AS724" s="3"/>
      <c r="AY724" s="116"/>
      <c r="AZ724" s="118">
        <f t="shared" si="9"/>
        <v>4300</v>
      </c>
      <c r="BA724" s="3"/>
      <c r="BB724" s="3"/>
      <c r="BC724" s="3"/>
      <c r="BD724" s="3"/>
      <c r="BE724" s="204"/>
      <c r="BF724" s="294">
        <f t="shared" si="10"/>
        <v>7</v>
      </c>
      <c r="BG724" s="297">
        <f t="shared" si="11"/>
        <v>2.6217228464419477E-2</v>
      </c>
      <c r="BH724" s="298">
        <f t="shared" si="12"/>
        <v>7.8651685393258432E-3</v>
      </c>
      <c r="BI724" s="3"/>
      <c r="BJ724" s="3"/>
      <c r="BK724" s="3"/>
      <c r="BL724" s="3"/>
      <c r="BM724" s="3"/>
      <c r="BN724" s="3"/>
      <c r="BS724" s="294">
        <f t="shared" si="13"/>
        <v>7</v>
      </c>
      <c r="BT724" s="297">
        <f t="shared" si="14"/>
        <v>2.6217228464419477E-2</v>
      </c>
      <c r="BU724" s="298">
        <f t="shared" si="15"/>
        <v>7.8651685393258432E-3</v>
      </c>
      <c r="CC724" s="3"/>
      <c r="CE724" s="3"/>
      <c r="CF724" s="3"/>
      <c r="CG724" s="1464">
        <f t="shared" si="37"/>
        <v>0</v>
      </c>
      <c r="CH724" s="1465"/>
      <c r="CI724" s="1470">
        <f t="shared" si="38"/>
        <v>0</v>
      </c>
      <c r="CJ724" s="1471"/>
      <c r="CK724" s="1464">
        <f t="shared" si="16"/>
        <v>1</v>
      </c>
      <c r="CL724" s="1465"/>
      <c r="CM724" s="1470">
        <f t="shared" si="17"/>
        <v>7</v>
      </c>
      <c r="CN724" s="1471"/>
      <c r="CO724" s="3"/>
      <c r="CP724" s="1459">
        <f t="shared" si="18"/>
        <v>0</v>
      </c>
      <c r="CQ724" s="1460"/>
      <c r="CR724" s="1460"/>
      <c r="CS724" s="1460"/>
      <c r="CT724" s="1461"/>
      <c r="CU724" s="1444">
        <f t="shared" si="19"/>
        <v>0</v>
      </c>
      <c r="CV724" s="1444"/>
      <c r="CW724" s="1444"/>
      <c r="CX724" s="1444"/>
      <c r="CY724" s="1444"/>
      <c r="CZ724" s="1444">
        <f t="shared" si="20"/>
        <v>0</v>
      </c>
      <c r="DA724" s="1444"/>
      <c r="DB724" s="1444"/>
      <c r="DC724" s="1444"/>
      <c r="DD724" s="1444"/>
      <c r="DE724" s="1444">
        <f t="shared" si="21"/>
        <v>7</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7</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f t="shared" si="33"/>
        <v>1116</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t="s">
        <v>164</v>
      </c>
      <c r="C725" s="1338"/>
      <c r="D725" s="1338"/>
      <c r="E725" s="1338"/>
      <c r="F725" s="1339"/>
      <c r="G725" s="1350">
        <v>62</v>
      </c>
      <c r="H725" s="1351"/>
      <c r="I725" s="1351"/>
      <c r="J725" s="1352"/>
      <c r="K725" s="1343">
        <v>1039</v>
      </c>
      <c r="L725" s="1344"/>
      <c r="M725" s="1344"/>
      <c r="N725" s="1345"/>
      <c r="O725" s="1340">
        <v>2836</v>
      </c>
      <c r="P725" s="1341"/>
      <c r="Q725" s="1341"/>
      <c r="R725" s="1341"/>
      <c r="S725" s="1342"/>
      <c r="T725" s="1340">
        <v>174</v>
      </c>
      <c r="U725" s="1341"/>
      <c r="V725" s="1341"/>
      <c r="W725" s="1342"/>
      <c r="X725" s="1353">
        <f t="shared" si="8"/>
        <v>3010</v>
      </c>
      <c r="Y725" s="1354"/>
      <c r="Z725" s="1354"/>
      <c r="AA725" s="1354"/>
      <c r="AB725" s="1355"/>
      <c r="AC725" s="1360">
        <v>0.7</v>
      </c>
      <c r="AD725" s="1361"/>
      <c r="AE725" s="1361"/>
      <c r="AF725" s="1361"/>
      <c r="AG725" s="1362"/>
      <c r="AH725" s="1356">
        <f t="shared" si="36"/>
        <v>0.7</v>
      </c>
      <c r="AI725" s="1357"/>
      <c r="AJ725" s="1358"/>
      <c r="AK725" s="1337" t="s">
        <v>592</v>
      </c>
      <c r="AL725" s="1338"/>
      <c r="AM725" s="1338"/>
      <c r="AN725" s="1338"/>
      <c r="AO725" s="1339"/>
      <c r="AP725" s="3"/>
      <c r="AQ725" s="3"/>
      <c r="AR725" s="3"/>
      <c r="AS725" s="3"/>
      <c r="AY725" s="1085"/>
      <c r="AZ725" s="118">
        <f t="shared" si="9"/>
        <v>4300</v>
      </c>
      <c r="BA725" s="3"/>
      <c r="BB725" s="3"/>
      <c r="BC725" s="3"/>
      <c r="BD725" s="3"/>
      <c r="BE725" s="204"/>
      <c r="BF725" s="294">
        <f t="shared" si="10"/>
        <v>62</v>
      </c>
      <c r="BG725" s="297">
        <f t="shared" si="11"/>
        <v>0.23220973782771537</v>
      </c>
      <c r="BH725" s="298">
        <f t="shared" si="12"/>
        <v>0.16254681647940075</v>
      </c>
      <c r="BI725" s="3"/>
      <c r="BJ725" s="3"/>
      <c r="BK725" s="3"/>
      <c r="BL725" s="3"/>
      <c r="BM725" s="3"/>
      <c r="BN725" s="3"/>
      <c r="BS725" s="294">
        <f t="shared" si="13"/>
        <v>62</v>
      </c>
      <c r="BT725" s="297">
        <f t="shared" si="14"/>
        <v>0.23220973782771537</v>
      </c>
      <c r="BU725" s="298">
        <f t="shared" si="15"/>
        <v>0.16254681647940075</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0</v>
      </c>
      <c r="DA725" s="1444"/>
      <c r="DB725" s="1444"/>
      <c r="DC725" s="1444"/>
      <c r="DD725" s="1444"/>
      <c r="DE725" s="1444">
        <f t="shared" si="21"/>
        <v>62</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f t="shared" si="33"/>
        <v>2836</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SUM(G718:G752)</f>
        <v>267</v>
      </c>
      <c r="H753" s="1623"/>
      <c r="I753" s="1623"/>
      <c r="J753" s="1624"/>
      <c r="K753" s="902" t="s">
        <v>124</v>
      </c>
      <c r="L753" s="5"/>
      <c r="M753" s="5"/>
      <c r="N753" s="46"/>
      <c r="O753" s="1353">
        <f>SUMPRODUCT(G718:G752,O718:O752)</f>
        <v>550024</v>
      </c>
      <c r="P753" s="1354"/>
      <c r="Q753" s="1354"/>
      <c r="R753" s="1354"/>
      <c r="S753" s="1355"/>
      <c r="T753"/>
      <c r="U753"/>
      <c r="V753"/>
      <c r="W753"/>
      <c r="X753" s="904" t="s">
        <v>901</v>
      </c>
      <c r="Y753" s="903"/>
      <c r="Z753" s="903"/>
      <c r="AA753" s="903"/>
      <c r="AB753" s="905"/>
      <c r="AC753" s="1605">
        <f>BH753</f>
        <v>0.6</v>
      </c>
      <c r="AD753" s="1606"/>
      <c r="AE753" s="1606"/>
      <c r="AF753" s="1606"/>
      <c r="AG753" s="1607"/>
      <c r="AH753" s="1605">
        <f>IFERROR(BU753,"")</f>
        <v>0.6</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267</v>
      </c>
      <c r="BG753" s="300">
        <f>SUM(BG718:BG752)</f>
        <v>1</v>
      </c>
      <c r="BH753" s="300">
        <f>SUM(BH718:BH752)</f>
        <v>0.6</v>
      </c>
      <c r="BI753"/>
      <c r="BJ753"/>
      <c r="BK753"/>
      <c r="BL753"/>
      <c r="BO753"/>
      <c r="BP753"/>
      <c r="BQ753"/>
      <c r="BR753"/>
      <c r="BS753" s="859">
        <f>SUM(BS718:BS752)</f>
        <v>267</v>
      </c>
      <c r="BT753" s="300">
        <f>SUM(BT718:BT752)</f>
        <v>1</v>
      </c>
      <c r="BU753" s="300">
        <f>SUM(BU718:BU752)</f>
        <v>0.6</v>
      </c>
      <c r="CI753" s="1464">
        <f>SUM(CI718:CJ752)</f>
        <v>20</v>
      </c>
      <c r="CJ753" s="1465"/>
      <c r="CM753" s="1464">
        <f>SUM(CM718:CN752)</f>
        <v>34</v>
      </c>
      <c r="CN753" s="1465"/>
      <c r="CP753" s="1464">
        <f>SUM(CP718:CT752)</f>
        <v>0</v>
      </c>
      <c r="CQ753" s="1466"/>
      <c r="CR753" s="1466"/>
      <c r="CS753" s="1466"/>
      <c r="CT753" s="1465"/>
      <c r="CU753" s="1462">
        <f>SUM(CU718:CY752)</f>
        <v>120</v>
      </c>
      <c r="CV753" s="1462"/>
      <c r="CW753" s="1462"/>
      <c r="CX753" s="1462"/>
      <c r="CY753" s="1462"/>
      <c r="CZ753" s="1462">
        <f>SUM(CZ718:DD752)</f>
        <v>78</v>
      </c>
      <c r="DA753" s="1462"/>
      <c r="DB753" s="1462"/>
      <c r="DC753" s="1462"/>
      <c r="DD753" s="1462"/>
      <c r="DE753" s="1462">
        <f>SUM(DE718:DI752)</f>
        <v>69</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27</v>
      </c>
      <c r="EA753" s="1462"/>
      <c r="EB753" s="1462"/>
      <c r="EC753" s="1462"/>
      <c r="ED753" s="1462"/>
      <c r="EE753" s="1462">
        <f>SUM(EE718:EI752)</f>
        <v>0</v>
      </c>
      <c r="EF753" s="1462"/>
      <c r="EG753" s="1462"/>
      <c r="EH753" s="1462"/>
      <c r="EI753" s="1462"/>
      <c r="EJ753" s="1462">
        <f>SUM(EJ718:EN752)</f>
        <v>7</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4061</v>
      </c>
      <c r="FF753" s="1462"/>
      <c r="FG753" s="1462"/>
      <c r="FH753" s="1462"/>
      <c r="FI753" s="1462"/>
      <c r="FJ753" s="1462">
        <f>SUM(FJ718:FN752)</f>
        <v>6300.5999999999995</v>
      </c>
      <c r="FK753" s="1462"/>
      <c r="FL753" s="1462"/>
      <c r="FM753" s="1462"/>
      <c r="FN753" s="1462"/>
      <c r="FO753" s="1462">
        <f>SUM(FO718:FS752)</f>
        <v>3952</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1892</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1859</v>
      </c>
      <c r="DO754" s="1464">
        <f>CP753+CU753+CZ753+DE753+DJ753+DO753</f>
        <v>267</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120</v>
      </c>
      <c r="CZ755" s="3"/>
      <c r="DA755" s="3"/>
      <c r="DB755" s="3"/>
      <c r="DC755" s="3"/>
      <c r="DD755" s="861">
        <f>CZ753*2</f>
        <v>156</v>
      </c>
      <c r="DE755" s="3"/>
      <c r="DF755" s="3"/>
      <c r="DG755" s="3"/>
      <c r="DH755" s="3"/>
      <c r="DI755" s="861">
        <f>DE753*3</f>
        <v>207</v>
      </c>
      <c r="DJ755" s="3"/>
      <c r="DK755" s="3"/>
      <c r="DL755" s="3"/>
      <c r="DM755" s="3"/>
      <c r="DN755" s="861">
        <f>DJ753*4</f>
        <v>0</v>
      </c>
      <c r="DO755" s="3"/>
      <c r="DP755" s="3"/>
      <c r="DQ755" s="3"/>
      <c r="DR755" s="3"/>
      <c r="DS755" s="861">
        <f>DO753*5</f>
        <v>0</v>
      </c>
      <c r="DU755" s="861">
        <f>CT755+CY755+DD755+DI755+DN755+DS755</f>
        <v>483</v>
      </c>
      <c r="DV755" s="57" t="s">
        <v>1861</v>
      </c>
      <c r="DW755" s="3"/>
      <c r="DX755" s="3"/>
      <c r="DY755" s="3"/>
      <c r="DZ755" s="3"/>
      <c r="EA755" s="3"/>
      <c r="EB755" s="3"/>
      <c r="EC755" s="3"/>
      <c r="ED755" s="3"/>
      <c r="EE755" s="3"/>
      <c r="EF755" s="3"/>
      <c r="EG755" s="3"/>
      <c r="EH755" s="3"/>
    </row>
    <row r="756" spans="1:185" ht="12.95" customHeight="1">
      <c r="A756" s="3"/>
      <c r="B756" s="3"/>
      <c r="C756" s="118" t="s">
        <v>1890</v>
      </c>
      <c r="D756" s="1032"/>
      <c r="E756" s="1032"/>
      <c r="F756" s="1032"/>
      <c r="G756" s="1033"/>
      <c r="H756" s="1033"/>
      <c r="I756" s="1033"/>
      <c r="J756" s="1033"/>
      <c r="K756" s="1032"/>
      <c r="L756" s="1032"/>
      <c r="M756" s="1032"/>
      <c r="N756" s="1032"/>
      <c r="O756" s="1462">
        <f>DU755</f>
        <v>483</v>
      </c>
      <c r="P756" s="1462"/>
      <c r="Q756" s="1462"/>
      <c r="R756" s="1462"/>
      <c r="S756" s="969"/>
      <c r="T756" s="969"/>
      <c r="U756" s="118" t="s">
        <v>1891</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2088</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2089</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20" t="s">
        <v>285</v>
      </c>
      <c r="P769" s="1620"/>
      <c r="Q769" s="1620"/>
      <c r="R769" s="1620"/>
      <c r="S769" s="1620"/>
      <c r="T769" s="1720" t="s">
        <v>1678</v>
      </c>
      <c r="U769" s="1721"/>
      <c r="V769" s="1721"/>
      <c r="W769" s="1722"/>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4">
        <v>3</v>
      </c>
      <c r="P773" s="1614"/>
      <c r="Q773" s="1614"/>
      <c r="R773" s="1614"/>
      <c r="S773" s="1614"/>
      <c r="T773" s="1343">
        <v>796</v>
      </c>
      <c r="U773" s="1344"/>
      <c r="V773" s="1344"/>
      <c r="W773" s="1345"/>
      <c r="X773" s="1340">
        <v>0</v>
      </c>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3</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3</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3</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3</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6</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6</v>
      </c>
      <c r="DV778" s="57" t="s">
        <v>1860</v>
      </c>
    </row>
    <row r="779" spans="1:126" ht="12.95" customHeight="1">
      <c r="B779" s="56"/>
      <c r="C779" s="56"/>
      <c r="D779" s="56"/>
      <c r="E779" s="56"/>
      <c r="F779" s="56"/>
      <c r="G779" s="6"/>
      <c r="H779" s="6"/>
      <c r="I779" s="6"/>
      <c r="J779" s="1664" t="s">
        <v>670</v>
      </c>
      <c r="K779" s="1664"/>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20" t="s">
        <v>285</v>
      </c>
      <c r="P783" s="1620"/>
      <c r="Q783" s="1620"/>
      <c r="R783" s="1620"/>
      <c r="S783" s="1620"/>
      <c r="T783" s="1720" t="s">
        <v>1678</v>
      </c>
      <c r="U783" s="1721"/>
      <c r="V783" s="1721"/>
      <c r="W783" s="1722"/>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550024</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6600288</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120</v>
      </c>
      <c r="CV802" s="1474"/>
      <c r="CW802" s="1474"/>
      <c r="CX802" s="1474"/>
      <c r="CY802" s="1475"/>
      <c r="CZ802" s="1473">
        <f>CZ753+CZ777+CZ797</f>
        <v>81</v>
      </c>
      <c r="DA802" s="1474"/>
      <c r="DB802" s="1474"/>
      <c r="DC802" s="1474"/>
      <c r="DD802" s="1475"/>
      <c r="DE802" s="1473">
        <f>DE753+DE777+DE797</f>
        <v>69</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483</v>
      </c>
      <c r="DV802" s="57" t="s">
        <v>1862</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160200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v>16020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c r="Q816" s="1595"/>
      <c r="R816" s="1595"/>
      <c r="S816" s="1595"/>
      <c r="T816" s="1595"/>
      <c r="U816" s="1595"/>
      <c r="V816" s="1595"/>
      <c r="W816" s="1595"/>
      <c r="X816" s="1595"/>
      <c r="Y816" s="1596"/>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176220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6776508</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c r="N825" s="1643"/>
      <c r="O825" s="1643"/>
      <c r="P825" s="1643"/>
      <c r="Q825" s="1643">
        <v>21</v>
      </c>
      <c r="R825" s="1643"/>
      <c r="S825" s="1643"/>
      <c r="T825" s="1643"/>
      <c r="U825" s="1643">
        <v>27</v>
      </c>
      <c r="V825" s="1643"/>
      <c r="W825" s="1643"/>
      <c r="X825" s="1643"/>
      <c r="Y825" s="1643">
        <v>37</v>
      </c>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v>13</v>
      </c>
      <c r="R827" s="1643"/>
      <c r="S827" s="1643"/>
      <c r="T827" s="1643"/>
      <c r="U827" s="1643">
        <v>18</v>
      </c>
      <c r="V827" s="1643"/>
      <c r="W827" s="1643"/>
      <c r="X827" s="1643"/>
      <c r="Y827" s="1643">
        <v>24</v>
      </c>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v>48</v>
      </c>
      <c r="R829" s="1643"/>
      <c r="S829" s="1643"/>
      <c r="T829" s="1643"/>
      <c r="U829" s="1643">
        <v>67</v>
      </c>
      <c r="V829" s="1643"/>
      <c r="W829" s="1643"/>
      <c r="X829" s="1643"/>
      <c r="Y829" s="1643">
        <v>86</v>
      </c>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2737</v>
      </c>
      <c r="G831" s="1595"/>
      <c r="H831" s="1595"/>
      <c r="I831" s="1595"/>
      <c r="J831" s="1595"/>
      <c r="K831" s="1595"/>
      <c r="L831" s="1595"/>
      <c r="M831" s="1643"/>
      <c r="N831" s="1643"/>
      <c r="O831" s="1643"/>
      <c r="P831" s="1643"/>
      <c r="Q831" s="1643">
        <v>11</v>
      </c>
      <c r="R831" s="1643"/>
      <c r="S831" s="1643"/>
      <c r="T831" s="1643"/>
      <c r="U831" s="1643">
        <v>21</v>
      </c>
      <c r="V831" s="1643"/>
      <c r="W831" s="1643"/>
      <c r="X831" s="1643"/>
      <c r="Y831" s="1643">
        <v>27</v>
      </c>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93</v>
      </c>
      <c r="R832" s="1637"/>
      <c r="S832" s="1637"/>
      <c r="T832" s="1637"/>
      <c r="U832" s="1637">
        <f>SUM(U825:X831)</f>
        <v>133</v>
      </c>
      <c r="V832" s="1637"/>
      <c r="W832" s="1637"/>
      <c r="X832" s="1637"/>
      <c r="Y832" s="1637">
        <f>SUM(Y825:AB831)</f>
        <v>174</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2738</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v>8500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15000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v>12000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
        <v>2743</v>
      </c>
      <c r="N846" s="1595"/>
      <c r="O846" s="1595"/>
      <c r="P846" s="1595"/>
      <c r="Q846" s="1595"/>
      <c r="R846" s="1595"/>
      <c r="S846" s="1595"/>
      <c r="T846" s="1595"/>
      <c r="U846" s="1595"/>
      <c r="V846" s="1596"/>
      <c r="W846" s="1482">
        <v>55000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90500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v>225318.891</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v>54000</v>
      </c>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135000</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221033.38862559243</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410033.38862559246</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160000</v>
      </c>
      <c r="X857" s="1632"/>
      <c r="Y857" s="1632"/>
      <c r="Z857" s="1632"/>
      <c r="AA857" s="1632"/>
      <c r="AB857" s="1632"/>
      <c r="AC857" s="1633"/>
      <c r="AD857" s="528"/>
      <c r="AZ857" s="34"/>
      <c r="BA857" s="34"/>
      <c r="BB857" s="34"/>
      <c r="BC857" s="34"/>
    </row>
    <row r="858" spans="3:55" ht="12.95" customHeight="1">
      <c r="C858" s="2" t="s">
        <v>347</v>
      </c>
      <c r="J858" s="121" t="s">
        <v>1654</v>
      </c>
      <c r="K858" s="5"/>
      <c r="L858" s="5"/>
      <c r="M858" s="5"/>
      <c r="N858" s="5"/>
      <c r="O858" s="5"/>
      <c r="P858" s="5"/>
      <c r="Q858" s="5"/>
      <c r="R858" s="5"/>
      <c r="S858" s="5"/>
      <c r="T858" s="1710">
        <v>3</v>
      </c>
      <c r="U858" s="1697"/>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v>105000</v>
      </c>
      <c r="X859" s="1632"/>
      <c r="Y859" s="1632"/>
      <c r="Z859" s="1632"/>
      <c r="AA859" s="1632"/>
      <c r="AB859" s="1632"/>
      <c r="AC859" s="1633"/>
      <c r="AD859" s="533"/>
      <c r="AZ859" s="34"/>
      <c r="BA859" s="34"/>
      <c r="BB859" s="34"/>
      <c r="BC859" s="34"/>
    </row>
    <row r="860" spans="3:55" ht="12.95" customHeight="1">
      <c r="C860" s="2"/>
      <c r="J860" s="121" t="s">
        <v>1655</v>
      </c>
      <c r="K860" s="5"/>
      <c r="L860" s="5"/>
      <c r="M860" s="5"/>
      <c r="N860" s="5"/>
      <c r="O860" s="5"/>
      <c r="P860" s="5"/>
      <c r="Q860" s="5"/>
      <c r="R860" s="5"/>
      <c r="S860" s="5"/>
      <c r="T860" s="1710">
        <v>3</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
        <v>2739</v>
      </c>
      <c r="N861" s="1595"/>
      <c r="O861" s="1595"/>
      <c r="P861" s="1595"/>
      <c r="Q861" s="1595"/>
      <c r="R861" s="1595"/>
      <c r="S861" s="1595"/>
      <c r="T861" s="1595"/>
      <c r="U861" s="1595"/>
      <c r="V861" s="1596"/>
      <c r="W861" s="1631">
        <v>95400</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360400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297000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2">
        <v>67500</v>
      </c>
      <c r="X865" s="1482"/>
      <c r="Y865" s="1482"/>
      <c r="Z865" s="1482"/>
      <c r="AA865" s="1482"/>
      <c r="AB865" s="1482"/>
      <c r="AC865" s="1482"/>
      <c r="AU865" s="14"/>
      <c r="AZ865" s="34"/>
      <c r="BA865" s="34"/>
      <c r="BB865" s="34"/>
      <c r="BC865" s="34"/>
    </row>
    <row r="866" spans="3:55" ht="12.95" customHeight="1">
      <c r="J866" s="45" t="s">
        <v>523</v>
      </c>
      <c r="K866" s="5"/>
      <c r="L866" s="5"/>
      <c r="M866" s="5"/>
      <c r="N866" s="5"/>
      <c r="O866" s="5"/>
      <c r="P866" s="5"/>
      <c r="Q866" s="5"/>
      <c r="R866" s="5"/>
      <c r="S866" s="5"/>
      <c r="T866" s="5"/>
      <c r="U866" s="5"/>
      <c r="V866" s="46"/>
      <c r="W866" s="1482">
        <v>74250</v>
      </c>
      <c r="X866" s="1482"/>
      <c r="Y866" s="1482"/>
      <c r="Z866" s="1482"/>
      <c r="AA866" s="1482"/>
      <c r="AB866" s="1482"/>
      <c r="AC866" s="1482"/>
      <c r="AU866" s="4"/>
      <c r="AZ866" s="34"/>
      <c r="BA866" s="34"/>
      <c r="BB866" s="34"/>
      <c r="BC866" s="34"/>
    </row>
    <row r="867" spans="3:55" ht="12.95" customHeight="1">
      <c r="J867" s="45" t="s">
        <v>522</v>
      </c>
      <c r="K867" s="5"/>
      <c r="L867" s="5"/>
      <c r="M867" s="5"/>
      <c r="N867" s="5"/>
      <c r="O867" s="5"/>
      <c r="P867" s="5"/>
      <c r="Q867" s="5"/>
      <c r="R867" s="5"/>
      <c r="S867" s="5"/>
      <c r="T867" s="5"/>
      <c r="U867" s="5"/>
      <c r="V867" s="46"/>
      <c r="W867" s="1482">
        <v>106920</v>
      </c>
      <c r="X867" s="1482"/>
      <c r="Y867" s="1482"/>
      <c r="Z867" s="1482"/>
      <c r="AA867" s="1482"/>
      <c r="AB867" s="1482"/>
      <c r="AC867" s="1482"/>
      <c r="AU867" s="4"/>
      <c r="AZ867" s="34"/>
      <c r="BA867" s="34"/>
      <c r="BB867" s="34"/>
      <c r="BC867" s="34"/>
    </row>
    <row r="868" spans="3:55" ht="12.95" customHeight="1">
      <c r="J868" s="45" t="s">
        <v>521</v>
      </c>
      <c r="K868" s="5"/>
      <c r="L868" s="5"/>
      <c r="M868" s="5"/>
      <c r="N868" s="5"/>
      <c r="O868" s="5"/>
      <c r="P868" s="5"/>
      <c r="Q868" s="5"/>
      <c r="R868" s="5"/>
      <c r="S868" s="5"/>
      <c r="T868" s="5"/>
      <c r="U868" s="5"/>
      <c r="V868" s="46"/>
      <c r="W868" s="1482">
        <v>6000</v>
      </c>
      <c r="X868" s="1482"/>
      <c r="Y868" s="1482"/>
      <c r="Z868" s="1482"/>
      <c r="AA868" s="1482"/>
      <c r="AB868" s="1482"/>
      <c r="AC868" s="1482"/>
      <c r="AU868" s="4"/>
      <c r="AZ868" s="34"/>
      <c r="BA868" s="34"/>
      <c r="BB868" s="34"/>
      <c r="BC868" s="34"/>
    </row>
    <row r="869" spans="3:55" ht="12.95" customHeight="1">
      <c r="J869" s="45" t="s">
        <v>520</v>
      </c>
      <c r="K869" s="5"/>
      <c r="L869" s="5"/>
      <c r="M869" s="5"/>
      <c r="N869" s="5"/>
      <c r="O869" s="5"/>
      <c r="P869" s="5"/>
      <c r="Q869" s="5"/>
      <c r="R869" s="5"/>
      <c r="S869" s="5"/>
      <c r="T869" s="5"/>
      <c r="U869" s="5"/>
      <c r="V869" s="46"/>
      <c r="W869" s="1482">
        <v>36000</v>
      </c>
      <c r="X869" s="1482"/>
      <c r="Y869" s="1482"/>
      <c r="Z869" s="1482"/>
      <c r="AA869" s="1482"/>
      <c r="AB869" s="1482"/>
      <c r="AC869" s="1482"/>
      <c r="AU869" s="4"/>
      <c r="AZ869" s="34"/>
      <c r="BA869" s="34"/>
      <c r="BB869" s="34"/>
      <c r="BC869" s="34"/>
    </row>
    <row r="870" spans="3:55" ht="12.95" customHeight="1">
      <c r="J870" s="45" t="s">
        <v>519</v>
      </c>
      <c r="K870" s="5"/>
      <c r="L870" s="5"/>
      <c r="M870" s="5"/>
      <c r="N870" s="5"/>
      <c r="O870" s="5"/>
      <c r="P870" s="5"/>
      <c r="Q870" s="5"/>
      <c r="R870" s="5"/>
      <c r="S870" s="5"/>
      <c r="T870" s="5"/>
      <c r="U870" s="5"/>
      <c r="V870" s="46"/>
      <c r="W870" s="1482">
        <v>20000</v>
      </c>
      <c r="X870" s="1482"/>
      <c r="Y870" s="1482"/>
      <c r="Z870" s="1482"/>
      <c r="AA870" s="1482"/>
      <c r="AB870" s="1482"/>
      <c r="AC870" s="1482"/>
      <c r="AU870" s="4"/>
      <c r="AZ870" s="34"/>
      <c r="BA870" s="34"/>
      <c r="BB870" s="34"/>
      <c r="BC870" s="34"/>
    </row>
    <row r="871" spans="3:55" ht="12.95" customHeight="1">
      <c r="J871" s="45" t="s">
        <v>170</v>
      </c>
      <c r="K871" s="5"/>
      <c r="L871" s="5"/>
      <c r="M871" s="1594" t="s">
        <v>2740</v>
      </c>
      <c r="N871" s="1595"/>
      <c r="O871" s="1595"/>
      <c r="P871" s="1595"/>
      <c r="Q871" s="1595"/>
      <c r="R871" s="1595"/>
      <c r="S871" s="1595"/>
      <c r="T871" s="1595"/>
      <c r="U871" s="1595"/>
      <c r="V871" s="1596"/>
      <c r="W871" s="1482">
        <v>15000</v>
      </c>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325670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594" t="s">
        <v>2744</v>
      </c>
      <c r="N874" s="1595"/>
      <c r="O874" s="1595"/>
      <c r="P874" s="1595"/>
      <c r="Q874" s="1595"/>
      <c r="R874" s="1595"/>
      <c r="S874" s="1595"/>
      <c r="T874" s="1595"/>
      <c r="U874" s="1595"/>
      <c r="V874" s="1596"/>
      <c r="W874" s="1467">
        <v>1900</v>
      </c>
      <c r="X874" s="1468"/>
      <c r="Y874" s="1468"/>
      <c r="Z874" s="1468"/>
      <c r="AA874" s="1468"/>
      <c r="AB874" s="1468"/>
      <c r="AC874" s="1469"/>
      <c r="AD874" s="533"/>
      <c r="AV874" s="14"/>
      <c r="AW874" s="14"/>
      <c r="AX874" s="14"/>
      <c r="AY874" s="14"/>
      <c r="AZ874" s="34"/>
      <c r="BA874" s="34"/>
      <c r="BB874" s="34"/>
      <c r="BC874" s="34"/>
    </row>
    <row r="875" spans="3:55" ht="12.95" customHeight="1">
      <c r="C875" s="2" t="s">
        <v>1243</v>
      </c>
      <c r="J875" s="45" t="s">
        <v>170</v>
      </c>
      <c r="K875" s="5"/>
      <c r="L875" s="5"/>
      <c r="M875" s="1594" t="s">
        <v>334</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1900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1710822.2796255925</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270</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6336</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v>1459860</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17847</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67500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6"/>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25000</v>
      </c>
      <c r="AD891" s="1468"/>
      <c r="AE891" s="1468"/>
      <c r="AF891" s="1468"/>
      <c r="AG891" s="1468"/>
      <c r="AH891" s="1469"/>
      <c r="AZ891" s="34"/>
      <c r="BA891" s="34"/>
      <c r="BB891" s="34"/>
      <c r="BC891" s="34"/>
    </row>
    <row r="892" spans="3:55" ht="12.95" hidden="1" customHeight="1">
      <c r="C892" s="1450" t="s">
        <v>2231</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8"/>
      <c r="AD893" s="1468"/>
      <c r="AE893" s="1468"/>
      <c r="AF893" s="1468"/>
      <c r="AG893" s="1468"/>
      <c r="AH893" s="1469"/>
      <c r="AZ893" s="34"/>
      <c r="BA893" s="34"/>
      <c r="BB893" s="34"/>
      <c r="BC893" s="34"/>
    </row>
    <row r="894" spans="3:55" ht="12.95" customHeight="1">
      <c r="C894" s="1634" t="s">
        <v>2741</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v>30000</v>
      </c>
      <c r="AD894" s="1482"/>
      <c r="AE894" s="1482"/>
      <c r="AF894" s="1482"/>
      <c r="AG894" s="1482"/>
      <c r="AH894" s="1482"/>
      <c r="AZ894" s="34"/>
      <c r="BA894" s="34"/>
      <c r="BB894" s="34"/>
      <c r="BC894" s="34"/>
    </row>
    <row r="895" spans="3:55" ht="12.95" customHeight="1">
      <c r="C895" s="1634" t="s">
        <v>2742</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v>0</v>
      </c>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v>31220000</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546</v>
      </c>
      <c r="V919" s="1403"/>
      <c r="W919" s="1403"/>
      <c r="X919" s="1403"/>
      <c r="Y919" s="1403"/>
      <c r="Z919" s="1404"/>
      <c r="AA919" s="1408">
        <v>58300000</v>
      </c>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2" t="s">
        <v>2191</v>
      </c>
      <c r="G926" s="1603"/>
      <c r="H926" s="1603"/>
      <c r="I926" s="1603"/>
      <c r="J926" s="1603"/>
      <c r="K926" s="1603"/>
      <c r="L926" s="1603"/>
      <c r="M926" s="1603"/>
      <c r="N926" s="1603"/>
      <c r="O926" s="1603"/>
      <c r="P926" s="1603"/>
      <c r="Q926" s="1603"/>
      <c r="R926" s="1603"/>
      <c r="S926" s="1603"/>
      <c r="T926" s="1604"/>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2" t="s">
        <v>680</v>
      </c>
      <c r="G927" s="1603"/>
      <c r="H927" s="1603"/>
      <c r="I927" s="1603"/>
      <c r="J927" s="1603"/>
      <c r="K927" s="1603"/>
      <c r="L927" s="1603"/>
      <c r="M927" s="1603"/>
      <c r="N927" s="1603"/>
      <c r="O927" s="1603"/>
      <c r="P927" s="1603"/>
      <c r="Q927" s="1603"/>
      <c r="R927" s="1603"/>
      <c r="S927" s="1603"/>
      <c r="T927" s="1604"/>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2" t="s">
        <v>2192</v>
      </c>
      <c r="G928" s="1603"/>
      <c r="H928" s="1603"/>
      <c r="I928" s="1603"/>
      <c r="J928" s="1603"/>
      <c r="K928" s="1603"/>
      <c r="L928" s="1603"/>
      <c r="M928" s="1603"/>
      <c r="N928" s="1603"/>
      <c r="O928" s="1603"/>
      <c r="P928" s="1603"/>
      <c r="Q928" s="1603"/>
      <c r="R928" s="1603"/>
      <c r="S928" s="1603"/>
      <c r="T928" s="1604"/>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2" t="s">
        <v>2193</v>
      </c>
      <c r="G929" s="1603"/>
      <c r="H929" s="1603"/>
      <c r="I929" s="1603"/>
      <c r="J929" s="1603"/>
      <c r="K929" s="1603"/>
      <c r="L929" s="1603"/>
      <c r="M929" s="1603"/>
      <c r="N929" s="1603"/>
      <c r="O929" s="1603"/>
      <c r="P929" s="1603"/>
      <c r="Q929" s="1603"/>
      <c r="R929" s="1603"/>
      <c r="S929" s="1603"/>
      <c r="T929" s="1604"/>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2" t="s">
        <v>2194</v>
      </c>
      <c r="G930" s="1603"/>
      <c r="H930" s="1603"/>
      <c r="I930" s="1603"/>
      <c r="J930" s="1603"/>
      <c r="K930" s="1603"/>
      <c r="L930" s="1603"/>
      <c r="M930" s="1603"/>
      <c r="N930" s="1603"/>
      <c r="O930" s="1603"/>
      <c r="P930" s="1603"/>
      <c r="Q930" s="1603"/>
      <c r="R930" s="1603"/>
      <c r="S930" s="1603"/>
      <c r="T930" s="1604"/>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2" t="s">
        <v>2195</v>
      </c>
      <c r="G931" s="1603"/>
      <c r="H931" s="1603"/>
      <c r="I931" s="1603"/>
      <c r="J931" s="1603"/>
      <c r="K931" s="1603"/>
      <c r="L931" s="1603"/>
      <c r="M931" s="1603"/>
      <c r="N931" s="1603"/>
      <c r="O931" s="1603"/>
      <c r="P931" s="1603"/>
      <c r="Q931" s="1603"/>
      <c r="R931" s="1603"/>
      <c r="S931" s="1603"/>
      <c r="T931" s="1604"/>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2" t="s">
        <v>2196</v>
      </c>
      <c r="G932" s="1603"/>
      <c r="H932" s="1603"/>
      <c r="I932" s="1603"/>
      <c r="J932" s="1603"/>
      <c r="K932" s="1603"/>
      <c r="L932" s="1603"/>
      <c r="M932" s="1603"/>
      <c r="N932" s="1603"/>
      <c r="O932" s="1603"/>
      <c r="P932" s="1603"/>
      <c r="Q932" s="1603"/>
      <c r="R932" s="1603"/>
      <c r="S932" s="1603"/>
      <c r="T932" s="1604"/>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1276</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40" t="s">
        <v>2200</v>
      </c>
      <c r="G936" s="1641"/>
      <c r="H936" s="1641"/>
      <c r="I936" s="1641"/>
      <c r="J936" s="1641"/>
      <c r="K936" s="1641"/>
      <c r="L936" s="1641"/>
      <c r="M936" s="1641"/>
      <c r="N936" s="1641"/>
      <c r="O936" s="1641"/>
      <c r="P936" s="1641"/>
      <c r="Q936" s="1641"/>
      <c r="R936" s="1641"/>
      <c r="S936" s="1641"/>
      <c r="T936" s="1642"/>
      <c r="U936" s="1402" t="s">
        <v>592</v>
      </c>
      <c r="V936" s="1403"/>
      <c r="W936" s="1403"/>
      <c r="X936" s="1403"/>
      <c r="Y936" s="1403"/>
      <c r="Z936" s="1404"/>
      <c r="AA936" s="1408"/>
      <c r="AB936" s="1409"/>
      <c r="AC936" s="1409"/>
      <c r="AD936" s="1409"/>
      <c r="AE936" s="1409"/>
      <c r="AF936" s="1410"/>
      <c r="AZ936" s="30"/>
      <c r="BA936" s="14"/>
    </row>
    <row r="937" spans="6:55" ht="12.95" customHeight="1">
      <c r="F937" s="1640" t="s">
        <v>2201</v>
      </c>
      <c r="G937" s="1641"/>
      <c r="H937" s="1641"/>
      <c r="I937" s="1641"/>
      <c r="J937" s="1641"/>
      <c r="K937" s="1641"/>
      <c r="L937" s="1641"/>
      <c r="M937" s="1641"/>
      <c r="N937" s="1641"/>
      <c r="O937" s="1641"/>
      <c r="P937" s="1641"/>
      <c r="Q937" s="1641"/>
      <c r="R937" s="1641"/>
      <c r="S937" s="1641"/>
      <c r="T937" s="1642"/>
      <c r="U937" s="1402" t="s">
        <v>592</v>
      </c>
      <c r="V937" s="1403"/>
      <c r="W937" s="1403"/>
      <c r="X937" s="1403"/>
      <c r="Y937" s="1403"/>
      <c r="Z937" s="1404"/>
      <c r="AA937" s="1408"/>
      <c r="AB937" s="1409"/>
      <c r="AC937" s="1409"/>
      <c r="AD937" s="1409"/>
      <c r="AE937" s="1409"/>
      <c r="AF937" s="1410"/>
      <c r="AZ937" s="30"/>
      <c r="BA937" s="30"/>
    </row>
    <row r="938" spans="6:55" ht="12.95" customHeight="1">
      <c r="F938" s="1602" t="s">
        <v>2197</v>
      </c>
      <c r="G938" s="1603"/>
      <c r="H938" s="1603"/>
      <c r="I938" s="1603"/>
      <c r="J938" s="1603"/>
      <c r="K938" s="1603"/>
      <c r="L938" s="1603"/>
      <c r="M938" s="1603"/>
      <c r="N938" s="1603"/>
      <c r="O938" s="1603"/>
      <c r="P938" s="1603"/>
      <c r="Q938" s="1603"/>
      <c r="R938" s="1603"/>
      <c r="S938" s="1603"/>
      <c r="T938" s="1604"/>
      <c r="U938" s="1402" t="s">
        <v>592</v>
      </c>
      <c r="V938" s="1403"/>
      <c r="W938" s="1403"/>
      <c r="X938" s="1403"/>
      <c r="Y938" s="1403"/>
      <c r="Z938" s="1404"/>
      <c r="AA938" s="1408"/>
      <c r="AB938" s="1409"/>
      <c r="AC938" s="1409"/>
      <c r="AD938" s="1409"/>
      <c r="AE938" s="1409"/>
      <c r="AF938" s="1410"/>
      <c r="AZ938" s="30"/>
      <c r="BA938" s="30"/>
    </row>
    <row r="939" spans="6:55" ht="12.95" customHeight="1">
      <c r="F939" s="1602" t="s">
        <v>2198</v>
      </c>
      <c r="G939" s="1603"/>
      <c r="H939" s="1603"/>
      <c r="I939" s="1603"/>
      <c r="J939" s="1603"/>
      <c r="K939" s="1603"/>
      <c r="L939" s="1603"/>
      <c r="M939" s="1603"/>
      <c r="N939" s="1603"/>
      <c r="O939" s="1603"/>
      <c r="P939" s="1603"/>
      <c r="Q939" s="1603"/>
      <c r="R939" s="1603"/>
      <c r="S939" s="1603"/>
      <c r="T939" s="1604"/>
      <c r="U939" s="1402" t="s">
        <v>592</v>
      </c>
      <c r="V939" s="1403"/>
      <c r="W939" s="1403"/>
      <c r="X939" s="1403"/>
      <c r="Y939" s="1403"/>
      <c r="Z939" s="1404"/>
      <c r="AA939" s="1408"/>
      <c r="AB939" s="1409"/>
      <c r="AC939" s="1409"/>
      <c r="AD939" s="1409"/>
      <c r="AE939" s="1409"/>
      <c r="AF939" s="1410"/>
      <c r="AZ939" s="30"/>
      <c r="BA939" s="30"/>
    </row>
    <row r="940" spans="6:55" ht="12.95" customHeight="1">
      <c r="F940" s="1602" t="s">
        <v>2199</v>
      </c>
      <c r="G940" s="1603"/>
      <c r="H940" s="1603"/>
      <c r="I940" s="1603"/>
      <c r="J940" s="1603"/>
      <c r="K940" s="1603"/>
      <c r="L940" s="1603"/>
      <c r="M940" s="1603"/>
      <c r="N940" s="1603"/>
      <c r="O940" s="1603"/>
      <c r="P940" s="1603"/>
      <c r="Q940" s="1603"/>
      <c r="R940" s="1603"/>
      <c r="S940" s="1603"/>
      <c r="T940" s="1604"/>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2202</v>
      </c>
      <c r="G942" s="1641"/>
      <c r="H942" s="1641"/>
      <c r="I942" s="1641"/>
      <c r="J942" s="1641"/>
      <c r="K942" s="1641"/>
      <c r="L942" s="1641"/>
      <c r="M942" s="1641"/>
      <c r="N942" s="1641"/>
      <c r="O942" s="1641"/>
      <c r="P942" s="1641"/>
      <c r="Q942" s="1641"/>
      <c r="R942" s="1641"/>
      <c r="S942" s="1641"/>
      <c r="T942" s="1642"/>
      <c r="U942" s="1402" t="s">
        <v>592</v>
      </c>
      <c r="V942" s="1403"/>
      <c r="W942" s="1403"/>
      <c r="X942" s="1403"/>
      <c r="Y942" s="1403"/>
      <c r="Z942" s="1404"/>
      <c r="AA942" s="1408"/>
      <c r="AB942" s="1409"/>
      <c r="AC942" s="1409"/>
      <c r="AD942" s="1409"/>
      <c r="AE942" s="1409"/>
      <c r="AF942" s="1410"/>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2203</v>
      </c>
      <c r="G944" s="1641"/>
      <c r="H944" s="1641"/>
      <c r="I944" s="1641"/>
      <c r="J944" s="1641"/>
      <c r="K944" s="1641"/>
      <c r="L944" s="1641"/>
      <c r="M944" s="1641"/>
      <c r="N944" s="1641"/>
      <c r="O944" s="1641"/>
      <c r="P944" s="1641"/>
      <c r="Q944" s="1641"/>
      <c r="R944" s="1641"/>
      <c r="S944" s="1641"/>
      <c r="T944" s="1642"/>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2" t="s">
        <v>2190</v>
      </c>
      <c r="G946" s="1603"/>
      <c r="H946" s="1604"/>
      <c r="I946" s="1594" t="s">
        <v>334</v>
      </c>
      <c r="J946" s="1595"/>
      <c r="K946" s="1595"/>
      <c r="L946" s="1595"/>
      <c r="M946" s="1595"/>
      <c r="N946" s="1595"/>
      <c r="O946" s="1595"/>
      <c r="P946" s="1595"/>
      <c r="Q946" s="1595"/>
      <c r="R946" s="1595"/>
      <c r="S946" s="1595"/>
      <c r="T946" s="1596"/>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2" t="s">
        <v>592</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7" t="s">
        <v>334</v>
      </c>
      <c r="J949" s="1538"/>
      <c r="K949" s="1538"/>
      <c r="L949" s="1538"/>
      <c r="M949" s="1538"/>
      <c r="N949" s="1538"/>
      <c r="O949" s="1538"/>
      <c r="P949" s="1538"/>
      <c r="Q949" s="1538"/>
      <c r="R949" s="1538"/>
      <c r="S949" s="1538"/>
      <c r="T949" s="1539"/>
      <c r="U949" s="1402" t="s">
        <v>592</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2" t="s">
        <v>592</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881</v>
      </c>
      <c r="D957" s="5"/>
      <c r="E957" s="5"/>
      <c r="J957" s="1554" t="s">
        <v>307</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1660</v>
      </c>
      <c r="D962" s="5"/>
      <c r="E962" s="5"/>
      <c r="F962" s="5"/>
      <c r="G962" s="5"/>
      <c r="H962" s="5"/>
      <c r="I962" s="5"/>
      <c r="J962" s="5"/>
      <c r="K962" s="5"/>
      <c r="L962" s="46"/>
      <c r="M962" s="1405"/>
      <c r="N962" s="1406"/>
      <c r="O962" s="1406"/>
      <c r="P962" s="1406"/>
      <c r="Q962" s="1406"/>
      <c r="R962" s="1406"/>
      <c r="S962" s="1407"/>
      <c r="U962" s="121" t="s">
        <v>1660</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353173</v>
      </c>
      <c r="S986" s="1553"/>
      <c r="T986" s="1553"/>
      <c r="U986" s="1553"/>
      <c r="V986" s="1553"/>
      <c r="W986" s="1553"/>
      <c r="X986" s="1553"/>
      <c r="Y986" s="1553"/>
      <c r="Z986" s="1553"/>
      <c r="AA986" s="1553"/>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407205</v>
      </c>
      <c r="S987" s="1553"/>
      <c r="T987" s="1553"/>
      <c r="U987" s="1553"/>
      <c r="V987" s="1553"/>
      <c r="W987" s="1553"/>
      <c r="X987" s="1553"/>
      <c r="Y987" s="1553"/>
      <c r="Z987" s="1553"/>
      <c r="AA987" s="1553"/>
      <c r="AB987" s="1390">
        <f>CU802</f>
        <v>120</v>
      </c>
      <c r="AC987" s="1391"/>
      <c r="AD987" s="1391"/>
      <c r="AE987" s="1391"/>
      <c r="AF987" s="1391"/>
      <c r="AG987" s="1391"/>
      <c r="AH987" s="1391"/>
      <c r="AI987" s="1392"/>
      <c r="AJ987" s="1489">
        <f>IF(ISERROR((R987*AB987)),0,(R987*AB987))</f>
        <v>48864600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491200</v>
      </c>
      <c r="S988" s="1553"/>
      <c r="T988" s="1553"/>
      <c r="U988" s="1553"/>
      <c r="V988" s="1553"/>
      <c r="W988" s="1553"/>
      <c r="X988" s="1553"/>
      <c r="Y988" s="1553"/>
      <c r="Z988" s="1553"/>
      <c r="AA988" s="1553"/>
      <c r="AB988" s="1390">
        <f>CZ802</f>
        <v>81</v>
      </c>
      <c r="AC988" s="1391"/>
      <c r="AD988" s="1391"/>
      <c r="AE988" s="1391"/>
      <c r="AF988" s="1391"/>
      <c r="AG988" s="1391"/>
      <c r="AH988" s="1391"/>
      <c r="AI988" s="1392"/>
      <c r="AJ988" s="1489">
        <f>IF(ISERROR((R988*AB988)),0,(R988*AB988))</f>
        <v>39787200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628736</v>
      </c>
      <c r="S989" s="1553"/>
      <c r="T989" s="1553"/>
      <c r="U989" s="1553"/>
      <c r="V989" s="1553"/>
      <c r="W989" s="1553"/>
      <c r="X989" s="1553"/>
      <c r="Y989" s="1553"/>
      <c r="Z989" s="1553"/>
      <c r="AA989" s="1553"/>
      <c r="AB989" s="1390">
        <f>DE802</f>
        <v>69</v>
      </c>
      <c r="AC989" s="1391"/>
      <c r="AD989" s="1391"/>
      <c r="AE989" s="1391"/>
      <c r="AF989" s="1391"/>
      <c r="AG989" s="1391"/>
      <c r="AH989" s="1391"/>
      <c r="AI989" s="1392"/>
      <c r="AJ989" s="1489">
        <f>IF(ISERROR((R989*AB989)),0,(R989*AB989))</f>
        <v>43382784</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700451</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270</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132034584</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669</v>
      </c>
      <c r="D994" s="1505" t="s">
        <v>1219</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670</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2233</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2204</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1285</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1283</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267</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7.0000000000000007E-2</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0.12</v>
      </c>
      <c r="AZ1006" s="34"/>
      <c r="BB1006" s="34"/>
    </row>
    <row r="1007" spans="1:55" ht="12.95" customHeight="1">
      <c r="A1007" s="14"/>
      <c r="B1007" s="255"/>
      <c r="C1007" s="80" t="s">
        <v>673</v>
      </c>
      <c r="D1007" s="1495" t="s">
        <v>1682</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1284</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1286</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1287</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1840</v>
      </c>
      <c r="AZ1012" s="3" t="s">
        <v>2605</v>
      </c>
    </row>
    <row r="1013" spans="1:52" ht="12.95" customHeight="1">
      <c r="A1013" s="14"/>
      <c r="B1013" s="79"/>
      <c r="C1013" s="80" t="s">
        <v>215</v>
      </c>
      <c r="D1013" s="1495" t="s">
        <v>1288</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1289</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2234</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670</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1290</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1291</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1292</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2604</v>
      </c>
      <c r="AY1024" s="201">
        <f>IF(SUM(AY1013:AY1023)&lt;=0.2,SUM(AY1013:AY1023),0.2)</f>
        <v>0</v>
      </c>
    </row>
    <row r="1025" spans="1:57" ht="12.95" customHeight="1">
      <c r="A1025" s="14"/>
      <c r="B1025" s="79"/>
      <c r="C1025" s="80" t="s">
        <v>229</v>
      </c>
      <c r="D1025" s="1495" t="s">
        <v>1293</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670</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1689</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1294</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546</v>
      </c>
      <c r="AH1029" s="1504"/>
      <c r="AI1029" s="87"/>
      <c r="AJ1029" s="1393">
        <f>ROUND(IF(AG1029="yes",(AJ992*0.1),0),0)</f>
        <v>13203458</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1295</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5" t="s">
        <v>1685</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5" t="s">
        <v>1687</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670</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0.20224719101123595</v>
      </c>
      <c r="BB1039" s="3" t="s">
        <v>2491</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2488</v>
      </c>
    </row>
    <row r="1041" spans="1:56" ht="12.95" customHeight="1">
      <c r="A1041" s="14"/>
      <c r="B1041" s="79"/>
      <c r="C1041" s="131" t="s">
        <v>1009</v>
      </c>
      <c r="D1041" s="1495" t="s">
        <v>1296</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2489</v>
      </c>
    </row>
    <row r="1042" spans="1:56" ht="12.95" customHeight="1">
      <c r="A1042" s="14"/>
      <c r="B1042" s="73"/>
      <c r="C1042" s="74"/>
      <c r="D1042" s="1508" t="s">
        <v>2143</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2490</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1683</v>
      </c>
      <c r="D1045" s="1505" t="s">
        <v>1863</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9242420.8800000008</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2.95" customHeight="1">
      <c r="A1046" s="14"/>
      <c r="B1046" s="73"/>
      <c r="C1046" s="442"/>
      <c r="D1046" s="1508" t="s">
        <v>1298</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16034030.25</v>
      </c>
      <c r="BA1046" s="1182">
        <f>IF(BA1040,20%,15%)</f>
        <v>0.15</v>
      </c>
      <c r="BB1046" s="3" t="s">
        <v>2477</v>
      </c>
      <c r="BC1046" s="3" t="s">
        <v>2478</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2.95" customHeight="1">
      <c r="A1048" s="14"/>
      <c r="B1048" s="77"/>
      <c r="C1048" s="78"/>
      <c r="D1048" s="132" t="s">
        <v>971</v>
      </c>
      <c r="E1048" s="133"/>
      <c r="F1048" s="133"/>
      <c r="G1048" s="133"/>
      <c r="H1048" s="133"/>
      <c r="I1048" s="1571">
        <f>AY1003</f>
        <v>267</v>
      </c>
      <c r="J1048" s="1572"/>
      <c r="K1048" s="7"/>
      <c r="L1048" s="133"/>
      <c r="M1048" s="133"/>
      <c r="N1048" s="133"/>
      <c r="O1048" s="133"/>
      <c r="P1048" s="133"/>
      <c r="Q1048" s="133"/>
      <c r="R1048" s="133"/>
      <c r="S1048" s="133"/>
      <c r="T1048" s="133"/>
      <c r="U1048" s="133"/>
      <c r="V1048" s="134" t="s">
        <v>972</v>
      </c>
      <c r="W1048" s="48"/>
      <c r="X1048" s="1569">
        <f>CI753</f>
        <v>20</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2477</v>
      </c>
      <c r="BC1048" s="3" t="s">
        <v>2480</v>
      </c>
      <c r="BD1048" s="3"/>
    </row>
    <row r="1049" spans="1:56" ht="12.95" customHeight="1">
      <c r="A1049" s="14"/>
      <c r="B1049" s="79"/>
      <c r="C1049" s="131" t="s">
        <v>1684</v>
      </c>
      <c r="D1049" s="1495" t="s">
        <v>2169</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31688300.16</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2477</v>
      </c>
      <c r="BC1049" s="3" t="s">
        <v>2481</v>
      </c>
      <c r="BD1049" s="3"/>
    </row>
    <row r="1050" spans="1:56" ht="12.95" customHeight="1">
      <c r="A1050" s="14"/>
      <c r="B1050" s="73"/>
      <c r="C1050" s="442"/>
      <c r="D1050" s="1508" t="s">
        <v>1297</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71">
        <f>AY1003</f>
        <v>267</v>
      </c>
      <c r="J1052" s="1572"/>
      <c r="K1052" s="14"/>
      <c r="L1052" s="133"/>
      <c r="M1052" s="133"/>
      <c r="N1052" s="133"/>
      <c r="O1052" s="133"/>
      <c r="P1052" s="133"/>
      <c r="Q1052" s="133"/>
      <c r="R1052" s="133"/>
      <c r="S1052" s="133"/>
      <c r="T1052" s="133"/>
      <c r="U1052" s="133"/>
      <c r="V1052" s="134" t="s">
        <v>973</v>
      </c>
      <c r="X1052" s="1569">
        <f>CM753</f>
        <v>34</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2.95"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186168763.03999999</v>
      </c>
      <c r="AK1053" s="1581"/>
      <c r="AL1053" s="1581"/>
      <c r="AM1053" s="1581"/>
      <c r="AN1053" s="1581"/>
      <c r="AO1053" s="1581"/>
      <c r="AP1053" s="1581"/>
      <c r="AQ1053" s="1582"/>
      <c r="AR1053" s="68"/>
      <c r="AS1053" s="68"/>
      <c r="AT1053" s="68"/>
      <c r="AU1053" s="68"/>
      <c r="AV1053" s="68"/>
      <c r="AW1053" s="68"/>
      <c r="AX1053" s="68"/>
      <c r="AY1053" s="68"/>
      <c r="AZ1053" s="1181">
        <v>6000000</v>
      </c>
      <c r="BA1053" s="3" t="s">
        <v>2484</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2.9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122927565</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16034030.25</v>
      </c>
      <c r="BB1056" s="3" t="s">
        <v>2486</v>
      </c>
      <c r="BC1056" s="3"/>
      <c r="BD1056" s="3"/>
    </row>
    <row r="1057" spans="1:54" ht="12.9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0.75320166461621674</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16034030</v>
      </c>
      <c r="BB1058" s="3" t="s">
        <v>2492</v>
      </c>
    </row>
    <row r="1059" spans="1:54" ht="12.95"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13534030</v>
      </c>
      <c r="BB1059" s="3" t="s">
        <v>2493</v>
      </c>
    </row>
    <row r="1060" spans="1:54" ht="12.95"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2236</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1079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1078</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2240</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2241</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2137</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1072</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1074</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2237</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2239</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4" zoomScaleNormal="100" workbookViewId="0">
      <selection activeCell="T80" sqref="T8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8" t="s">
        <v>622</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1)Citibank Tax Exempt Permanent Loan</v>
      </c>
      <c r="G2" s="139" t="str">
        <f>Application!B628&amp;Application!C628</f>
        <v>2)Citibank Taxable Permanent Loan</v>
      </c>
      <c r="H2" s="139" t="str">
        <f>Application!B629&amp;Application!C629</f>
        <v>3)HomeFed Site Work Loan</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C4-SUM(F4:Q4)</f>
        <v>1</v>
      </c>
      <c r="F4" s="147"/>
      <c r="G4" s="147"/>
      <c r="H4" s="147"/>
      <c r="I4" s="147"/>
      <c r="J4" s="147"/>
      <c r="K4" s="147"/>
      <c r="L4" s="147"/>
      <c r="M4" s="147"/>
      <c r="N4" s="147"/>
      <c r="O4" s="147"/>
      <c r="P4" s="147"/>
      <c r="Q4" s="147"/>
      <c r="R4" s="516">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v>
      </c>
      <c r="C12" s="146">
        <f t="shared" si="2"/>
        <v>1</v>
      </c>
      <c r="D12" s="146">
        <f t="shared" si="2"/>
        <v>0</v>
      </c>
      <c r="E12" s="146">
        <f t="shared" si="2"/>
        <v>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v>
      </c>
      <c r="S12" s="148"/>
      <c r="T12" s="148"/>
      <c r="U12" s="143"/>
    </row>
    <row r="13" spans="1:21" s="144" customFormat="1">
      <c r="A13" s="287" t="s">
        <v>903</v>
      </c>
      <c r="B13" s="146">
        <f>SUM(C13+D13)</f>
        <v>330000</v>
      </c>
      <c r="C13" s="147">
        <v>330000</v>
      </c>
      <c r="D13" s="147"/>
      <c r="E13" s="147">
        <f>C13-SUM(F13:Q13)</f>
        <v>330000</v>
      </c>
      <c r="F13" s="147"/>
      <c r="G13" s="147"/>
      <c r="H13" s="147"/>
      <c r="I13" s="147"/>
      <c r="J13" s="147"/>
      <c r="K13" s="147"/>
      <c r="L13" s="147"/>
      <c r="M13" s="147"/>
      <c r="N13" s="147"/>
      <c r="O13" s="147"/>
      <c r="P13" s="147"/>
      <c r="Q13" s="147"/>
      <c r="R13" s="516">
        <f>SUM(E13:Q13)</f>
        <v>330000</v>
      </c>
      <c r="S13" s="147"/>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5780000</v>
      </c>
      <c r="C29" s="147">
        <v>5780000</v>
      </c>
      <c r="D29" s="147"/>
      <c r="E29" s="147"/>
      <c r="F29" s="147"/>
      <c r="G29" s="147"/>
      <c r="H29" s="147">
        <f>C29</f>
        <v>5780000</v>
      </c>
      <c r="I29" s="147"/>
      <c r="J29" s="147"/>
      <c r="K29" s="147"/>
      <c r="L29" s="147"/>
      <c r="M29" s="147"/>
      <c r="N29" s="147"/>
      <c r="O29" s="147"/>
      <c r="P29" s="147"/>
      <c r="Q29" s="147"/>
      <c r="R29" s="516">
        <f t="shared" ref="R29:R37" si="7">SUM(E29:Q29)</f>
        <v>5780000</v>
      </c>
      <c r="S29" s="147">
        <v>5780000</v>
      </c>
      <c r="T29" s="147"/>
      <c r="U29" s="143"/>
    </row>
    <row r="30" spans="1:21" s="144" customFormat="1">
      <c r="A30" s="145" t="s">
        <v>600</v>
      </c>
      <c r="B30" s="146">
        <f t="shared" si="6"/>
        <v>61214400</v>
      </c>
      <c r="C30" s="147">
        <v>61214400</v>
      </c>
      <c r="D30" s="147"/>
      <c r="E30" s="147">
        <f>C30-SUM(F30:Q30)</f>
        <v>2439400</v>
      </c>
      <c r="F30" s="147">
        <f>F108</f>
        <v>41895000</v>
      </c>
      <c r="G30" s="147">
        <f>G108</f>
        <v>16880000</v>
      </c>
      <c r="H30" s="147"/>
      <c r="I30" s="147"/>
      <c r="J30" s="147"/>
      <c r="K30" s="147"/>
      <c r="L30" s="147"/>
      <c r="M30" s="147"/>
      <c r="N30" s="147"/>
      <c r="O30" s="147"/>
      <c r="P30" s="147"/>
      <c r="Q30" s="147"/>
      <c r="R30" s="516">
        <f t="shared" si="7"/>
        <v>61214400</v>
      </c>
      <c r="S30" s="147">
        <v>60914400</v>
      </c>
      <c r="T30" s="147"/>
      <c r="U30" s="143"/>
    </row>
    <row r="31" spans="1:21" s="144" customFormat="1">
      <c r="A31" s="145" t="s">
        <v>601</v>
      </c>
      <c r="B31" s="146">
        <f t="shared" si="6"/>
        <v>2943000</v>
      </c>
      <c r="C31" s="147">
        <v>2943000</v>
      </c>
      <c r="D31" s="147"/>
      <c r="E31" s="147">
        <f>C31-SUM(F31:Q31)</f>
        <v>2943000</v>
      </c>
      <c r="F31" s="147"/>
      <c r="G31" s="147"/>
      <c r="H31" s="147"/>
      <c r="I31" s="147"/>
      <c r="J31" s="147"/>
      <c r="K31" s="147"/>
      <c r="L31" s="147"/>
      <c r="M31" s="147"/>
      <c r="N31" s="147"/>
      <c r="O31" s="147"/>
      <c r="P31" s="147"/>
      <c r="Q31" s="147"/>
      <c r="R31" s="516">
        <f t="shared" si="7"/>
        <v>2943000</v>
      </c>
      <c r="S31" s="147">
        <v>2943000</v>
      </c>
      <c r="T31" s="147"/>
      <c r="U31" s="143"/>
    </row>
    <row r="32" spans="1:21" s="144" customFormat="1">
      <c r="A32" s="145" t="s">
        <v>137</v>
      </c>
      <c r="B32" s="146">
        <f t="shared" si="6"/>
        <v>1283148</v>
      </c>
      <c r="C32" s="147">
        <v>1283148</v>
      </c>
      <c r="D32" s="147"/>
      <c r="E32" s="147">
        <f>C32-SUM(F32:Q32)</f>
        <v>1283148</v>
      </c>
      <c r="F32" s="147"/>
      <c r="G32" s="147"/>
      <c r="H32" s="147"/>
      <c r="I32" s="147"/>
      <c r="J32" s="147"/>
      <c r="K32" s="147"/>
      <c r="L32" s="147"/>
      <c r="M32" s="147"/>
      <c r="N32" s="147"/>
      <c r="O32" s="147"/>
      <c r="P32" s="147"/>
      <c r="Q32" s="147"/>
      <c r="R32" s="516">
        <f t="shared" si="7"/>
        <v>1283148</v>
      </c>
      <c r="S32" s="147">
        <v>1283148</v>
      </c>
      <c r="T32" s="147"/>
      <c r="U32" s="143"/>
    </row>
    <row r="33" spans="1:21" s="144" customFormat="1">
      <c r="A33" s="145" t="s">
        <v>138</v>
      </c>
      <c r="B33" s="146">
        <f t="shared" si="6"/>
        <v>1283148</v>
      </c>
      <c r="C33" s="147">
        <v>1283148</v>
      </c>
      <c r="D33" s="147"/>
      <c r="E33" s="147">
        <f>C33-SUM(F33:Q33)</f>
        <v>1283148</v>
      </c>
      <c r="F33" s="147"/>
      <c r="G33" s="147"/>
      <c r="H33" s="147"/>
      <c r="I33" s="147"/>
      <c r="J33" s="147"/>
      <c r="K33" s="147"/>
      <c r="L33" s="147"/>
      <c r="M33" s="147"/>
      <c r="N33" s="147"/>
      <c r="O33" s="147"/>
      <c r="P33" s="147"/>
      <c r="Q33" s="147"/>
      <c r="R33" s="516">
        <f t="shared" si="7"/>
        <v>1283148</v>
      </c>
      <c r="S33" s="147">
        <v>1283148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166809</v>
      </c>
      <c r="C35" s="147">
        <v>166809</v>
      </c>
      <c r="D35" s="147"/>
      <c r="E35" s="147">
        <f>C35-SUM(F35:Q35)</f>
        <v>166809</v>
      </c>
      <c r="F35" s="147"/>
      <c r="G35" s="147"/>
      <c r="H35" s="147"/>
      <c r="I35" s="147"/>
      <c r="J35" s="147"/>
      <c r="K35" s="147"/>
      <c r="L35" s="147"/>
      <c r="M35" s="147"/>
      <c r="N35" s="147"/>
      <c r="O35" s="147"/>
      <c r="P35" s="147"/>
      <c r="Q35" s="147"/>
      <c r="R35" s="516">
        <f t="shared" si="7"/>
        <v>166809</v>
      </c>
      <c r="S35" s="147">
        <v>166809</v>
      </c>
      <c r="T35" s="147"/>
      <c r="U35" s="143"/>
    </row>
    <row r="36" spans="1:21" s="144" customFormat="1">
      <c r="A36" s="283" t="s">
        <v>1639</v>
      </c>
      <c r="B36" s="146">
        <f t="shared" si="6"/>
        <v>250000</v>
      </c>
      <c r="C36" s="147">
        <v>250000</v>
      </c>
      <c r="D36" s="147"/>
      <c r="E36" s="147">
        <f>C36-SUM(F36:Q36)</f>
        <v>250000</v>
      </c>
      <c r="F36" s="147"/>
      <c r="G36" s="147"/>
      <c r="H36" s="147"/>
      <c r="I36" s="147"/>
      <c r="J36" s="147"/>
      <c r="K36" s="147"/>
      <c r="L36" s="147"/>
      <c r="M36" s="147"/>
      <c r="N36" s="147"/>
      <c r="O36" s="147"/>
      <c r="P36" s="147"/>
      <c r="Q36" s="147"/>
      <c r="R36" s="516">
        <f t="shared" si="7"/>
        <v>250000</v>
      </c>
      <c r="S36" s="147">
        <f>C36</f>
        <v>250000</v>
      </c>
      <c r="T36" s="147"/>
      <c r="U36" s="143"/>
    </row>
    <row r="37" spans="1:21" s="144" customFormat="1">
      <c r="A37" s="1149" t="s">
        <v>2719</v>
      </c>
      <c r="B37" s="146">
        <f t="shared" si="6"/>
        <v>668905</v>
      </c>
      <c r="C37" s="147">
        <v>668905</v>
      </c>
      <c r="D37" s="147"/>
      <c r="E37" s="147">
        <f>C37-SUM(F37:Q37)</f>
        <v>668905</v>
      </c>
      <c r="F37" s="147"/>
      <c r="G37" s="147"/>
      <c r="H37" s="147"/>
      <c r="I37" s="147"/>
      <c r="J37" s="147"/>
      <c r="K37" s="147"/>
      <c r="L37" s="147"/>
      <c r="M37" s="147"/>
      <c r="N37" s="147"/>
      <c r="O37" s="147"/>
      <c r="P37" s="147"/>
      <c r="Q37" s="147"/>
      <c r="R37" s="516">
        <f t="shared" si="7"/>
        <v>668905</v>
      </c>
      <c r="S37" s="147">
        <v>668905</v>
      </c>
      <c r="T37" s="147"/>
      <c r="U37" s="143"/>
    </row>
    <row r="38" spans="1:21" s="144" customFormat="1">
      <c r="A38" s="149" t="s">
        <v>143</v>
      </c>
      <c r="B38" s="146">
        <f t="shared" si="6"/>
        <v>73589410</v>
      </c>
      <c r="C38" s="146">
        <f>SUM(C29:C37)</f>
        <v>73589410</v>
      </c>
      <c r="D38" s="146">
        <f t="shared" ref="D38:Q38" si="8">SUM(D29:D37)</f>
        <v>0</v>
      </c>
      <c r="E38" s="146">
        <f t="shared" si="8"/>
        <v>9034410</v>
      </c>
      <c r="F38" s="146">
        <f t="shared" si="8"/>
        <v>41895000</v>
      </c>
      <c r="G38" s="146">
        <f t="shared" si="8"/>
        <v>16880000</v>
      </c>
      <c r="H38" s="146">
        <f t="shared" si="8"/>
        <v>5780000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73589410</v>
      </c>
      <c r="S38" s="150">
        <f>SUM(S29:S37)</f>
        <v>73289410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f>C40-SUM(F40:Q40)</f>
        <v>1500000</v>
      </c>
      <c r="F40" s="147"/>
      <c r="G40" s="147"/>
      <c r="H40" s="147"/>
      <c r="I40" s="147"/>
      <c r="J40" s="147"/>
      <c r="K40" s="147"/>
      <c r="L40" s="147"/>
      <c r="M40" s="147"/>
      <c r="N40" s="147"/>
      <c r="O40" s="147"/>
      <c r="P40" s="147"/>
      <c r="Q40" s="147"/>
      <c r="R40" s="516">
        <f>SUM(E40:Q40)</f>
        <v>1500000</v>
      </c>
      <c r="S40" s="147">
        <v>1500000</v>
      </c>
      <c r="T40" s="147"/>
      <c r="U40" s="143"/>
    </row>
    <row r="41" spans="1:21" s="144" customFormat="1">
      <c r="A41" s="145" t="s">
        <v>146</v>
      </c>
      <c r="B41" s="146">
        <f>SUM(C41+D41)</f>
        <v>364000</v>
      </c>
      <c r="C41" s="147">
        <v>364000</v>
      </c>
      <c r="D41" s="147"/>
      <c r="E41" s="147">
        <f>C41-SUM(F41:Q41)</f>
        <v>364000</v>
      </c>
      <c r="F41" s="147"/>
      <c r="G41" s="147"/>
      <c r="H41" s="147"/>
      <c r="I41" s="147"/>
      <c r="J41" s="147"/>
      <c r="K41" s="147"/>
      <c r="L41" s="147"/>
      <c r="M41" s="147"/>
      <c r="N41" s="147"/>
      <c r="O41" s="147"/>
      <c r="P41" s="147"/>
      <c r="Q41" s="147"/>
      <c r="R41" s="516">
        <f>SUM(E41:Q41)</f>
        <v>364000</v>
      </c>
      <c r="S41" s="147">
        <v>364000</v>
      </c>
      <c r="T41" s="147"/>
      <c r="U41" s="143"/>
    </row>
    <row r="42" spans="1:21" s="144" customFormat="1">
      <c r="A42" s="149" t="s">
        <v>147</v>
      </c>
      <c r="B42" s="146">
        <f>SUM(C42:D42)</f>
        <v>1864000</v>
      </c>
      <c r="C42" s="146">
        <f>SUM(C39:C41)</f>
        <v>1864000</v>
      </c>
      <c r="D42" s="146">
        <f>SUM(D39:D41)</f>
        <v>0</v>
      </c>
      <c r="E42" s="146">
        <f t="shared" ref="E42:T42" si="9">SUM(E40:E41)</f>
        <v>1864000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1864000</v>
      </c>
      <c r="S42" s="150">
        <f t="shared" si="9"/>
        <v>1864000</v>
      </c>
      <c r="T42" s="150">
        <f t="shared" si="9"/>
        <v>0</v>
      </c>
      <c r="U42" s="143"/>
    </row>
    <row r="43" spans="1:21" s="144" customFormat="1">
      <c r="A43" s="149" t="s">
        <v>148</v>
      </c>
      <c r="B43" s="146">
        <f>SUM(C43:D43)</f>
        <v>1146500</v>
      </c>
      <c r="C43" s="147">
        <v>1146500</v>
      </c>
      <c r="D43" s="147"/>
      <c r="E43" s="147">
        <f>C43-SUM(F43:Q43)</f>
        <v>1146500</v>
      </c>
      <c r="F43" s="147"/>
      <c r="G43" s="147"/>
      <c r="H43" s="147"/>
      <c r="I43" s="147"/>
      <c r="J43" s="147"/>
      <c r="K43" s="147"/>
      <c r="L43" s="147"/>
      <c r="M43" s="147"/>
      <c r="N43" s="147"/>
      <c r="O43" s="147"/>
      <c r="P43" s="147"/>
      <c r="Q43" s="147"/>
      <c r="R43" s="516">
        <f>SUM(E43:Q43)</f>
        <v>1146500</v>
      </c>
      <c r="S43" s="147">
        <v>1146500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4100800</v>
      </c>
      <c r="C45" s="147">
        <v>4100800</v>
      </c>
      <c r="D45" s="147"/>
      <c r="E45" s="147">
        <f t="shared" ref="E45:E53" si="11">C45-SUM(F45:Q45)</f>
        <v>4100800</v>
      </c>
      <c r="F45" s="147"/>
      <c r="G45" s="147"/>
      <c r="H45" s="147"/>
      <c r="I45" s="147"/>
      <c r="J45" s="147"/>
      <c r="K45" s="147"/>
      <c r="L45" s="147"/>
      <c r="M45" s="147"/>
      <c r="N45" s="147"/>
      <c r="O45" s="147"/>
      <c r="P45" s="147"/>
      <c r="Q45" s="147"/>
      <c r="R45" s="516">
        <f t="shared" ref="R45:R53" si="12">SUM(E45:Q45)</f>
        <v>4100800</v>
      </c>
      <c r="S45" s="147">
        <v>4100800</v>
      </c>
      <c r="T45" s="147"/>
      <c r="U45" s="143"/>
    </row>
    <row r="46" spans="1:21" s="144" customFormat="1">
      <c r="A46" s="145" t="s">
        <v>151</v>
      </c>
      <c r="B46" s="146">
        <f t="shared" si="10"/>
        <v>1001950</v>
      </c>
      <c r="C46" s="147">
        <v>1001950</v>
      </c>
      <c r="D46" s="147"/>
      <c r="E46" s="147">
        <f t="shared" si="11"/>
        <v>1001950</v>
      </c>
      <c r="F46" s="147"/>
      <c r="G46" s="147"/>
      <c r="H46" s="147"/>
      <c r="I46" s="147"/>
      <c r="J46" s="147"/>
      <c r="K46" s="147"/>
      <c r="L46" s="147"/>
      <c r="M46" s="147"/>
      <c r="N46" s="147"/>
      <c r="O46" s="147"/>
      <c r="P46" s="147"/>
      <c r="Q46" s="147"/>
      <c r="R46" s="516">
        <f t="shared" si="12"/>
        <v>1001950</v>
      </c>
      <c r="S46" s="147">
        <v>667967</v>
      </c>
      <c r="T46" s="147"/>
      <c r="U46" s="143"/>
    </row>
    <row r="47" spans="1:21" s="144" customFormat="1">
      <c r="A47" s="186" t="s">
        <v>152</v>
      </c>
      <c r="B47" s="146">
        <f t="shared" si="10"/>
        <v>1578000</v>
      </c>
      <c r="C47" s="147">
        <v>1578000</v>
      </c>
      <c r="D47" s="147"/>
      <c r="E47" s="147">
        <f t="shared" si="11"/>
        <v>1578000</v>
      </c>
      <c r="F47" s="147"/>
      <c r="G47" s="147"/>
      <c r="H47" s="147"/>
      <c r="I47" s="147"/>
      <c r="J47" s="147"/>
      <c r="K47" s="147"/>
      <c r="L47" s="147"/>
      <c r="M47" s="147"/>
      <c r="N47" s="147"/>
      <c r="O47" s="147"/>
      <c r="P47" s="147"/>
      <c r="Q47" s="147"/>
      <c r="R47" s="516">
        <f t="shared" si="12"/>
        <v>1578000</v>
      </c>
      <c r="S47" s="147">
        <v>1052000</v>
      </c>
      <c r="T47" s="147"/>
      <c r="U47" s="143"/>
    </row>
    <row r="48" spans="1:21" s="144" customFormat="1">
      <c r="A48" s="145" t="s">
        <v>153</v>
      </c>
      <c r="B48" s="146">
        <f t="shared" si="10"/>
        <v>140490</v>
      </c>
      <c r="C48" s="147">
        <v>140490</v>
      </c>
      <c r="D48" s="147"/>
      <c r="E48" s="147">
        <f t="shared" si="11"/>
        <v>140490</v>
      </c>
      <c r="F48" s="147"/>
      <c r="G48" s="147"/>
      <c r="H48" s="147"/>
      <c r="I48" s="147"/>
      <c r="J48" s="147"/>
      <c r="K48" s="147"/>
      <c r="L48" s="147"/>
      <c r="M48" s="147"/>
      <c r="N48" s="147"/>
      <c r="O48" s="147"/>
      <c r="P48" s="147"/>
      <c r="Q48" s="147"/>
      <c r="R48" s="516">
        <f t="shared" si="12"/>
        <v>140490</v>
      </c>
      <c r="S48" s="147">
        <v>0</v>
      </c>
      <c r="T48" s="147"/>
      <c r="U48" s="143"/>
    </row>
    <row r="49" spans="1:21" s="144" customFormat="1">
      <c r="A49" s="145" t="s">
        <v>57</v>
      </c>
      <c r="B49" s="146">
        <f t="shared" si="10"/>
        <v>0</v>
      </c>
      <c r="C49" s="147"/>
      <c r="D49" s="147"/>
      <c r="E49" s="147">
        <f t="shared" si="11"/>
        <v>0</v>
      </c>
      <c r="F49" s="147"/>
      <c r="G49" s="147"/>
      <c r="H49" s="147"/>
      <c r="I49" s="147"/>
      <c r="J49" s="147"/>
      <c r="K49" s="147"/>
      <c r="L49" s="147"/>
      <c r="M49" s="147"/>
      <c r="N49" s="147"/>
      <c r="O49" s="147"/>
      <c r="P49" s="147"/>
      <c r="Q49" s="147"/>
      <c r="R49" s="516">
        <f t="shared" si="12"/>
        <v>0</v>
      </c>
      <c r="S49" s="147"/>
      <c r="T49" s="147"/>
      <c r="U49" s="143"/>
    </row>
    <row r="50" spans="1:21" s="144" customFormat="1">
      <c r="A50" s="145" t="s">
        <v>156</v>
      </c>
      <c r="B50" s="146">
        <f t="shared" si="10"/>
        <v>140000</v>
      </c>
      <c r="C50" s="147">
        <v>140000</v>
      </c>
      <c r="D50" s="147"/>
      <c r="E50" s="147">
        <f t="shared" si="11"/>
        <v>140000</v>
      </c>
      <c r="F50" s="147"/>
      <c r="G50" s="147"/>
      <c r="H50" s="147"/>
      <c r="I50" s="147"/>
      <c r="J50" s="147"/>
      <c r="K50" s="147"/>
      <c r="L50" s="147"/>
      <c r="M50" s="147"/>
      <c r="N50" s="147"/>
      <c r="O50" s="147"/>
      <c r="P50" s="147"/>
      <c r="Q50" s="147"/>
      <c r="R50" s="516">
        <f t="shared" si="12"/>
        <v>140000</v>
      </c>
      <c r="S50" s="147">
        <v>140000</v>
      </c>
      <c r="T50" s="147"/>
      <c r="U50" s="143"/>
    </row>
    <row r="51" spans="1:21" s="144" customFormat="1">
      <c r="A51" s="283" t="s">
        <v>154</v>
      </c>
      <c r="B51" s="146">
        <f t="shared" si="10"/>
        <v>65000</v>
      </c>
      <c r="C51" s="147">
        <v>65000</v>
      </c>
      <c r="D51" s="147"/>
      <c r="E51" s="147">
        <f t="shared" si="11"/>
        <v>65000</v>
      </c>
      <c r="F51" s="147"/>
      <c r="G51" s="147"/>
      <c r="H51" s="147"/>
      <c r="I51" s="147"/>
      <c r="J51" s="147"/>
      <c r="K51" s="147"/>
      <c r="L51" s="147"/>
      <c r="M51" s="147"/>
      <c r="N51" s="147"/>
      <c r="O51" s="147"/>
      <c r="P51" s="147"/>
      <c r="Q51" s="147"/>
      <c r="R51" s="516">
        <f t="shared" si="12"/>
        <v>65000</v>
      </c>
      <c r="S51" s="147">
        <v>65000</v>
      </c>
      <c r="T51" s="147"/>
      <c r="U51" s="143"/>
    </row>
    <row r="52" spans="1:21" s="144" customFormat="1">
      <c r="A52" s="145" t="s">
        <v>155</v>
      </c>
      <c r="B52" s="146">
        <f t="shared" si="10"/>
        <v>2280000</v>
      </c>
      <c r="C52" s="147">
        <v>2280000</v>
      </c>
      <c r="D52" s="147"/>
      <c r="E52" s="147">
        <f t="shared" si="11"/>
        <v>2280000</v>
      </c>
      <c r="F52" s="147"/>
      <c r="G52" s="147"/>
      <c r="H52" s="147"/>
      <c r="I52" s="147"/>
      <c r="J52" s="147"/>
      <c r="K52" s="147"/>
      <c r="L52" s="147"/>
      <c r="M52" s="147"/>
      <c r="N52" s="147"/>
      <c r="O52" s="147"/>
      <c r="P52" s="147"/>
      <c r="Q52" s="147"/>
      <c r="R52" s="516">
        <f t="shared" si="12"/>
        <v>2280000</v>
      </c>
      <c r="S52" s="147">
        <v>2280000</v>
      </c>
      <c r="T52" s="147"/>
      <c r="U52" s="143"/>
    </row>
    <row r="53" spans="1:21" s="144" customFormat="1">
      <c r="A53" s="1149" t="s">
        <v>34</v>
      </c>
      <c r="B53" s="146">
        <f t="shared" si="10"/>
        <v>0</v>
      </c>
      <c r="C53" s="147"/>
      <c r="D53" s="147"/>
      <c r="E53" s="147">
        <f t="shared" si="11"/>
        <v>0</v>
      </c>
      <c r="F53" s="147"/>
      <c r="G53" s="147"/>
      <c r="H53" s="147"/>
      <c r="I53" s="147"/>
      <c r="J53" s="147"/>
      <c r="K53" s="147"/>
      <c r="L53" s="147"/>
      <c r="M53" s="147"/>
      <c r="N53" s="147"/>
      <c r="O53" s="147"/>
      <c r="P53" s="147"/>
      <c r="Q53" s="147"/>
      <c r="R53" s="516">
        <f t="shared" si="12"/>
        <v>0</v>
      </c>
      <c r="S53" s="147"/>
      <c r="T53" s="147"/>
      <c r="U53" s="143"/>
    </row>
    <row r="54" spans="1:21" s="153" customFormat="1">
      <c r="A54" s="149" t="s">
        <v>157</v>
      </c>
      <c r="B54" s="150">
        <f>SUM(C54:D54)</f>
        <v>9306240</v>
      </c>
      <c r="C54" s="150">
        <f t="shared" ref="C54:T54" si="13">SUM(C45:C53)</f>
        <v>9306240</v>
      </c>
      <c r="D54" s="150">
        <f t="shared" si="13"/>
        <v>0</v>
      </c>
      <c r="E54" s="150">
        <f t="shared" si="13"/>
        <v>9306240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9306240</v>
      </c>
      <c r="S54" s="150">
        <f t="shared" si="13"/>
        <v>8305767</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f t="shared" ref="E56:E61" si="15">C56-SUM(F56:Q56)</f>
        <v>0</v>
      </c>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4"/>
        <v>30000</v>
      </c>
      <c r="C57" s="190">
        <v>30000</v>
      </c>
      <c r="D57" s="190"/>
      <c r="E57" s="190">
        <f t="shared" si="15"/>
        <v>30000</v>
      </c>
      <c r="F57" s="190"/>
      <c r="G57" s="190"/>
      <c r="H57" s="190"/>
      <c r="I57" s="190"/>
      <c r="J57" s="190"/>
      <c r="K57" s="190"/>
      <c r="L57" s="190"/>
      <c r="M57" s="190"/>
      <c r="N57" s="190"/>
      <c r="O57" s="190"/>
      <c r="P57" s="190"/>
      <c r="Q57" s="190"/>
      <c r="R57" s="516">
        <f t="shared" si="16"/>
        <v>30000</v>
      </c>
      <c r="S57" s="194"/>
      <c r="T57" s="194"/>
      <c r="U57" s="191"/>
    </row>
    <row r="58" spans="1:21" s="144" customFormat="1">
      <c r="A58" s="145" t="s">
        <v>156</v>
      </c>
      <c r="B58" s="146">
        <f t="shared" si="14"/>
        <v>40000</v>
      </c>
      <c r="C58" s="147">
        <v>40000</v>
      </c>
      <c r="D58" s="147"/>
      <c r="E58" s="147">
        <f t="shared" si="15"/>
        <v>40000</v>
      </c>
      <c r="F58" s="147"/>
      <c r="G58" s="147"/>
      <c r="H58" s="147"/>
      <c r="I58" s="147"/>
      <c r="J58" s="147"/>
      <c r="K58" s="147"/>
      <c r="L58" s="147"/>
      <c r="M58" s="147"/>
      <c r="N58" s="147"/>
      <c r="O58" s="147"/>
      <c r="P58" s="147"/>
      <c r="Q58" s="147"/>
      <c r="R58" s="516">
        <f t="shared" si="16"/>
        <v>40000</v>
      </c>
      <c r="S58" s="148"/>
      <c r="T58" s="148"/>
      <c r="U58" s="143"/>
    </row>
    <row r="59" spans="1:21" s="144" customFormat="1">
      <c r="A59" s="283" t="s">
        <v>154</v>
      </c>
      <c r="B59" s="146">
        <f t="shared" si="14"/>
        <v>0</v>
      </c>
      <c r="C59" s="147"/>
      <c r="D59" s="147"/>
      <c r="E59" s="147">
        <f t="shared" si="15"/>
        <v>0</v>
      </c>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4"/>
        <v>0</v>
      </c>
      <c r="C60" s="147"/>
      <c r="D60" s="147"/>
      <c r="E60" s="147">
        <f t="shared" si="15"/>
        <v>0</v>
      </c>
      <c r="F60" s="147"/>
      <c r="G60" s="147"/>
      <c r="H60" s="147"/>
      <c r="I60" s="147"/>
      <c r="J60" s="147"/>
      <c r="K60" s="147"/>
      <c r="L60" s="147"/>
      <c r="M60" s="147"/>
      <c r="N60" s="147"/>
      <c r="O60" s="147"/>
      <c r="P60" s="147"/>
      <c r="Q60" s="147"/>
      <c r="R60" s="516">
        <f t="shared" si="16"/>
        <v>0</v>
      </c>
      <c r="S60" s="148"/>
      <c r="T60" s="148"/>
      <c r="U60" s="143"/>
    </row>
    <row r="61" spans="1:21" s="144" customFormat="1" ht="24">
      <c r="A61" s="1149" t="s">
        <v>2720</v>
      </c>
      <c r="B61" s="146">
        <f t="shared" si="14"/>
        <v>4562693</v>
      </c>
      <c r="C61" s="147">
        <v>4562693</v>
      </c>
      <c r="D61" s="147"/>
      <c r="E61" s="147">
        <f t="shared" si="15"/>
        <v>4562693</v>
      </c>
      <c r="F61" s="147"/>
      <c r="G61" s="147"/>
      <c r="H61" s="147"/>
      <c r="I61" s="147"/>
      <c r="J61" s="147"/>
      <c r="K61" s="147"/>
      <c r="L61" s="147"/>
      <c r="M61" s="147"/>
      <c r="N61" s="147"/>
      <c r="O61" s="147"/>
      <c r="P61" s="147"/>
      <c r="Q61" s="147"/>
      <c r="R61" s="516">
        <f t="shared" si="16"/>
        <v>4562693</v>
      </c>
      <c r="S61" s="148"/>
      <c r="T61" s="148"/>
      <c r="U61" s="143"/>
    </row>
    <row r="62" spans="1:21" s="144" customFormat="1" ht="13.7" customHeight="1">
      <c r="A62" s="149" t="s">
        <v>301</v>
      </c>
      <c r="B62" s="146">
        <f>SUM(C62:D62)</f>
        <v>4632693</v>
      </c>
      <c r="C62" s="146">
        <f t="shared" ref="C62:R62" si="17">SUM(C56:C61)</f>
        <v>4632693</v>
      </c>
      <c r="D62" s="146">
        <f t="shared" si="17"/>
        <v>0</v>
      </c>
      <c r="E62" s="146">
        <f t="shared" si="17"/>
        <v>4632693</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4632693</v>
      </c>
      <c r="S62" s="148"/>
      <c r="T62" s="148"/>
      <c r="U62" s="143"/>
    </row>
    <row r="63" spans="1:21" s="144" customFormat="1">
      <c r="A63" s="154" t="s">
        <v>302</v>
      </c>
      <c r="B63" s="146">
        <f t="shared" ref="B63:R63" si="18">SUM(B8+B11+B13+B14+B15+B26+B27+B38+B42+B43+B54+B62)</f>
        <v>90868844</v>
      </c>
      <c r="C63" s="146">
        <f t="shared" si="18"/>
        <v>90868844</v>
      </c>
      <c r="D63" s="146">
        <f t="shared" si="18"/>
        <v>0</v>
      </c>
      <c r="E63" s="146">
        <f t="shared" si="18"/>
        <v>26313844</v>
      </c>
      <c r="F63" s="146">
        <f t="shared" si="18"/>
        <v>41895000</v>
      </c>
      <c r="G63" s="146">
        <f t="shared" si="18"/>
        <v>16880000</v>
      </c>
      <c r="H63" s="146">
        <f t="shared" si="18"/>
        <v>5780000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90868844</v>
      </c>
      <c r="S63" s="146">
        <f>SUM(S10+S13+S14+S15+S26+S27+S38+S42+S43+S54)</f>
        <v>84605677</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v>95000</v>
      </c>
      <c r="D65" s="147"/>
      <c r="E65" s="147">
        <f t="shared" ref="E65:E69" si="19">C65-SUM(F65:Q65)</f>
        <v>95000</v>
      </c>
      <c r="F65" s="147"/>
      <c r="G65" s="147"/>
      <c r="H65" s="147"/>
      <c r="I65" s="147"/>
      <c r="J65" s="147"/>
      <c r="K65" s="147"/>
      <c r="L65" s="147"/>
      <c r="M65" s="147"/>
      <c r="N65" s="147"/>
      <c r="O65" s="147"/>
      <c r="P65" s="147"/>
      <c r="Q65" s="147"/>
      <c r="R65" s="516">
        <f>SUM(E65:Q65)</f>
        <v>95000</v>
      </c>
      <c r="S65" s="147">
        <v>50000</v>
      </c>
      <c r="T65" s="147"/>
      <c r="U65" s="143"/>
    </row>
    <row r="66" spans="1:21" s="144" customFormat="1" ht="24" customHeight="1">
      <c r="A66" s="283" t="s">
        <v>1640</v>
      </c>
      <c r="B66" s="146">
        <f>SUM(C66+D66)</f>
        <v>0</v>
      </c>
      <c r="C66" s="147"/>
      <c r="D66" s="147"/>
      <c r="E66" s="147">
        <f t="shared" si="19"/>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f t="shared" si="19"/>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f t="shared" si="19"/>
        <v>0</v>
      </c>
      <c r="F68" s="147"/>
      <c r="G68" s="147"/>
      <c r="H68" s="147"/>
      <c r="I68" s="147"/>
      <c r="J68" s="147"/>
      <c r="K68" s="147"/>
      <c r="L68" s="147"/>
      <c r="M68" s="147"/>
      <c r="N68" s="147"/>
      <c r="O68" s="147"/>
      <c r="P68" s="147"/>
      <c r="Q68" s="147"/>
      <c r="R68" s="516">
        <f>SUM(E68:Q68)</f>
        <v>0</v>
      </c>
      <c r="S68" s="147"/>
      <c r="T68" s="147"/>
      <c r="U68" s="143"/>
    </row>
    <row r="69" spans="1:21" s="144" customFormat="1">
      <c r="A69" s="1149" t="s">
        <v>2721</v>
      </c>
      <c r="B69" s="146">
        <f>SUM(C69+D69)</f>
        <v>302000</v>
      </c>
      <c r="C69" s="147">
        <v>302000</v>
      </c>
      <c r="D69" s="147"/>
      <c r="E69" s="147">
        <f t="shared" si="19"/>
        <v>302000</v>
      </c>
      <c r="F69" s="147"/>
      <c r="G69" s="147"/>
      <c r="H69" s="147"/>
      <c r="I69" s="147"/>
      <c r="J69" s="147"/>
      <c r="K69" s="147"/>
      <c r="L69" s="147"/>
      <c r="M69" s="147"/>
      <c r="N69" s="147"/>
      <c r="O69" s="147"/>
      <c r="P69" s="147"/>
      <c r="Q69" s="147"/>
      <c r="R69" s="516">
        <f>SUM(E69:Q69)</f>
        <v>302000</v>
      </c>
      <c r="S69" s="147">
        <v>160000</v>
      </c>
      <c r="T69" s="147"/>
      <c r="U69" s="143"/>
    </row>
    <row r="70" spans="1:21" s="144" customFormat="1">
      <c r="A70" s="149" t="s">
        <v>1644</v>
      </c>
      <c r="B70" s="146">
        <f>SUM(C70:D70)</f>
        <v>397000</v>
      </c>
      <c r="C70" s="146">
        <f>SUM(C65:C69)</f>
        <v>397000</v>
      </c>
      <c r="D70" s="146">
        <f>SUM(D65:D69)</f>
        <v>0</v>
      </c>
      <c r="E70" s="146">
        <f t="shared" ref="E70:T70" si="20">SUM(E65:E69)</f>
        <v>397000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397000</v>
      </c>
      <c r="S70" s="150">
        <f t="shared" si="20"/>
        <v>210000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1">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1"/>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1"/>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1459860</v>
      </c>
      <c r="C75" s="147">
        <v>1459860</v>
      </c>
      <c r="D75" s="147"/>
      <c r="E75" s="147">
        <f t="shared" si="21"/>
        <v>1459860</v>
      </c>
      <c r="F75" s="147"/>
      <c r="G75" s="147"/>
      <c r="H75" s="147"/>
      <c r="I75" s="147"/>
      <c r="J75" s="147"/>
      <c r="K75" s="147"/>
      <c r="L75" s="147"/>
      <c r="M75" s="147"/>
      <c r="N75" s="147"/>
      <c r="O75" s="147"/>
      <c r="P75" s="147"/>
      <c r="Q75" s="147"/>
      <c r="R75" s="516">
        <f>SUM(E75:Q75)</f>
        <v>1459860</v>
      </c>
      <c r="S75" s="148"/>
      <c r="T75" s="148"/>
      <c r="U75" s="143"/>
    </row>
    <row r="76" spans="1:21" s="144" customFormat="1">
      <c r="A76" s="1149" t="s">
        <v>34</v>
      </c>
      <c r="B76" s="146">
        <f>SUM(C76+D76)</f>
        <v>0</v>
      </c>
      <c r="C76" s="147"/>
      <c r="D76" s="147"/>
      <c r="E76" s="147">
        <f t="shared" si="21"/>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1459860</v>
      </c>
      <c r="C77" s="146">
        <f>SUM(C72:C76)</f>
        <v>1459860</v>
      </c>
      <c r="D77" s="146">
        <f>SUM(D72:D76)</f>
        <v>0</v>
      </c>
      <c r="E77" s="146">
        <f t="shared" ref="E77:Q77" si="22">SUM(E72:E76)</f>
        <v>1459860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1459860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3377971</v>
      </c>
      <c r="C79" s="147">
        <v>3377971</v>
      </c>
      <c r="D79" s="147"/>
      <c r="E79" s="147">
        <f t="shared" ref="E79:E80" si="23">C79-SUM(F79:Q79)</f>
        <v>3377971</v>
      </c>
      <c r="F79" s="147"/>
      <c r="G79" s="147"/>
      <c r="H79" s="147"/>
      <c r="I79" s="147"/>
      <c r="J79" s="147"/>
      <c r="K79" s="147"/>
      <c r="L79" s="147"/>
      <c r="M79" s="147"/>
      <c r="N79" s="147"/>
      <c r="O79" s="147"/>
      <c r="P79" s="147"/>
      <c r="Q79" s="147"/>
      <c r="R79" s="516">
        <f>SUM(E79:Q79)</f>
        <v>3377971</v>
      </c>
      <c r="S79" s="147">
        <v>3377971</v>
      </c>
      <c r="T79" s="147"/>
      <c r="U79" s="143"/>
    </row>
    <row r="80" spans="1:21" s="144" customFormat="1">
      <c r="A80" s="283" t="s">
        <v>58</v>
      </c>
      <c r="B80" s="146">
        <f>SUM(C80:D80)</f>
        <v>1100000</v>
      </c>
      <c r="C80" s="147">
        <v>1100000</v>
      </c>
      <c r="D80" s="147"/>
      <c r="E80" s="147">
        <f t="shared" si="23"/>
        <v>1100000</v>
      </c>
      <c r="F80" s="147"/>
      <c r="G80" s="147"/>
      <c r="H80" s="147"/>
      <c r="I80" s="147"/>
      <c r="J80" s="147"/>
      <c r="K80" s="147"/>
      <c r="L80" s="147"/>
      <c r="M80" s="147"/>
      <c r="N80" s="147"/>
      <c r="O80" s="147"/>
      <c r="P80" s="147"/>
      <c r="Q80" s="147"/>
      <c r="R80" s="516">
        <f>SUM(E80:Q80)</f>
        <v>1100000</v>
      </c>
      <c r="S80" s="147">
        <v>920200</v>
      </c>
      <c r="T80" s="147"/>
      <c r="U80" s="143"/>
    </row>
    <row r="81" spans="1:21" s="144" customFormat="1">
      <c r="A81" s="149" t="s">
        <v>1208</v>
      </c>
      <c r="B81" s="146">
        <f>SUM(C81:D81)</f>
        <v>4477971</v>
      </c>
      <c r="C81" s="509">
        <f>SUM(C79:C80)</f>
        <v>4477971</v>
      </c>
      <c r="D81" s="509">
        <f t="shared" ref="D81:T81" si="24">SUM(D79:D80)</f>
        <v>0</v>
      </c>
      <c r="E81" s="509">
        <f t="shared" si="24"/>
        <v>4477971</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4477971</v>
      </c>
      <c r="S81" s="509">
        <f t="shared" si="24"/>
        <v>4298171</v>
      </c>
      <c r="T81" s="509">
        <f t="shared" si="24"/>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2093</v>
      </c>
      <c r="B83" s="146">
        <f t="shared" ref="B83:B95" si="25">SUM(C83+D83)</f>
        <v>302000</v>
      </c>
      <c r="C83" s="147">
        <v>302000</v>
      </c>
      <c r="D83" s="147"/>
      <c r="E83" s="147">
        <f t="shared" ref="E83:E95" si="26">C83-SUM(F83:Q83)</f>
        <v>302000</v>
      </c>
      <c r="F83" s="147"/>
      <c r="G83" s="147"/>
      <c r="H83" s="147"/>
      <c r="I83" s="147"/>
      <c r="J83" s="147"/>
      <c r="K83" s="147"/>
      <c r="L83" s="147"/>
      <c r="M83" s="147"/>
      <c r="N83" s="147"/>
      <c r="O83" s="147"/>
      <c r="P83" s="147"/>
      <c r="Q83" s="147"/>
      <c r="R83" s="516">
        <f t="shared" ref="R83:R95" si="27">SUM(E83:Q83)</f>
        <v>302000</v>
      </c>
      <c r="S83" s="148"/>
      <c r="T83" s="148"/>
      <c r="U83" s="143"/>
    </row>
    <row r="84" spans="1:21" s="144" customFormat="1">
      <c r="A84" s="145" t="s">
        <v>768</v>
      </c>
      <c r="B84" s="146">
        <f t="shared" si="25"/>
        <v>6800</v>
      </c>
      <c r="C84" s="147">
        <v>6800</v>
      </c>
      <c r="D84" s="147"/>
      <c r="E84" s="147">
        <f t="shared" si="26"/>
        <v>6800</v>
      </c>
      <c r="F84" s="147"/>
      <c r="G84" s="147"/>
      <c r="H84" s="147"/>
      <c r="I84" s="147"/>
      <c r="J84" s="147"/>
      <c r="K84" s="147"/>
      <c r="L84" s="147"/>
      <c r="M84" s="147"/>
      <c r="N84" s="147"/>
      <c r="O84" s="147"/>
      <c r="P84" s="147"/>
      <c r="Q84" s="147"/>
      <c r="R84" s="516">
        <f t="shared" si="27"/>
        <v>6800</v>
      </c>
      <c r="S84" s="147">
        <v>6800</v>
      </c>
      <c r="T84" s="147"/>
      <c r="U84" s="143"/>
    </row>
    <row r="85" spans="1:21" s="144" customFormat="1">
      <c r="A85" s="145" t="s">
        <v>769</v>
      </c>
      <c r="B85" s="146">
        <f t="shared" si="25"/>
        <v>14943787</v>
      </c>
      <c r="C85" s="147">
        <v>14943787</v>
      </c>
      <c r="D85" s="147"/>
      <c r="E85" s="147">
        <f t="shared" si="26"/>
        <v>14943787</v>
      </c>
      <c r="F85" s="147"/>
      <c r="G85" s="147"/>
      <c r="H85" s="147"/>
      <c r="I85" s="147"/>
      <c r="J85" s="147"/>
      <c r="K85" s="147"/>
      <c r="L85" s="147"/>
      <c r="M85" s="147"/>
      <c r="N85" s="147"/>
      <c r="O85" s="147"/>
      <c r="P85" s="147"/>
      <c r="Q85" s="147"/>
      <c r="R85" s="516">
        <f t="shared" si="27"/>
        <v>14943787</v>
      </c>
      <c r="S85" s="147">
        <v>14943787</v>
      </c>
      <c r="T85" s="147"/>
      <c r="U85" s="143"/>
    </row>
    <row r="86" spans="1:21" s="144" customFormat="1">
      <c r="A86" s="145" t="s">
        <v>770</v>
      </c>
      <c r="B86" s="146">
        <f t="shared" si="25"/>
        <v>725000</v>
      </c>
      <c r="C86" s="147">
        <v>725000</v>
      </c>
      <c r="D86" s="147"/>
      <c r="E86" s="147">
        <f t="shared" si="26"/>
        <v>725000</v>
      </c>
      <c r="F86" s="147"/>
      <c r="G86" s="147"/>
      <c r="H86" s="147"/>
      <c r="I86" s="147"/>
      <c r="J86" s="147"/>
      <c r="K86" s="147"/>
      <c r="L86" s="147"/>
      <c r="M86" s="147"/>
      <c r="N86" s="147"/>
      <c r="O86" s="147"/>
      <c r="P86" s="147"/>
      <c r="Q86" s="147"/>
      <c r="R86" s="516">
        <f t="shared" si="27"/>
        <v>725000</v>
      </c>
      <c r="S86" s="147">
        <v>725000</v>
      </c>
      <c r="T86" s="147"/>
      <c r="U86" s="143"/>
    </row>
    <row r="87" spans="1:21" s="144" customFormat="1">
      <c r="A87" s="145" t="s">
        <v>771</v>
      </c>
      <c r="B87" s="146">
        <f t="shared" si="25"/>
        <v>0</v>
      </c>
      <c r="C87" s="147"/>
      <c r="D87" s="147"/>
      <c r="E87" s="147">
        <f t="shared" si="26"/>
        <v>0</v>
      </c>
      <c r="F87" s="147"/>
      <c r="G87" s="147"/>
      <c r="H87" s="147"/>
      <c r="I87" s="147"/>
      <c r="J87" s="147"/>
      <c r="K87" s="147"/>
      <c r="L87" s="147"/>
      <c r="M87" s="147"/>
      <c r="N87" s="147"/>
      <c r="O87" s="147"/>
      <c r="P87" s="147"/>
      <c r="Q87" s="147"/>
      <c r="R87" s="516">
        <f t="shared" si="27"/>
        <v>0</v>
      </c>
      <c r="S87" s="147"/>
      <c r="T87" s="147"/>
      <c r="U87" s="143"/>
    </row>
    <row r="88" spans="1:21" s="144" customFormat="1">
      <c r="A88" s="145" t="s">
        <v>772</v>
      </c>
      <c r="B88" s="146">
        <f t="shared" si="25"/>
        <v>259500</v>
      </c>
      <c r="C88" s="147">
        <v>259500</v>
      </c>
      <c r="D88" s="147"/>
      <c r="E88" s="147">
        <f t="shared" si="26"/>
        <v>259500</v>
      </c>
      <c r="F88" s="147"/>
      <c r="G88" s="147"/>
      <c r="H88" s="147"/>
      <c r="I88" s="147"/>
      <c r="J88" s="147"/>
      <c r="K88" s="147"/>
      <c r="L88" s="147"/>
      <c r="M88" s="147"/>
      <c r="N88" s="147"/>
      <c r="O88" s="147"/>
      <c r="P88" s="147"/>
      <c r="Q88" s="147"/>
      <c r="R88" s="516">
        <f t="shared" si="27"/>
        <v>259500</v>
      </c>
      <c r="S88" s="148"/>
      <c r="T88" s="148"/>
      <c r="U88" s="143"/>
    </row>
    <row r="89" spans="1:21" s="144" customFormat="1">
      <c r="A89" s="145" t="s">
        <v>773</v>
      </c>
      <c r="B89" s="146">
        <f t="shared" si="25"/>
        <v>450000</v>
      </c>
      <c r="C89" s="147">
        <v>450000</v>
      </c>
      <c r="D89" s="147"/>
      <c r="E89" s="147">
        <f t="shared" si="26"/>
        <v>450000</v>
      </c>
      <c r="F89" s="147"/>
      <c r="G89" s="147"/>
      <c r="H89" s="147"/>
      <c r="I89" s="147"/>
      <c r="J89" s="147"/>
      <c r="K89" s="147"/>
      <c r="L89" s="147"/>
      <c r="M89" s="147"/>
      <c r="N89" s="147"/>
      <c r="O89" s="147"/>
      <c r="P89" s="147"/>
      <c r="Q89" s="147"/>
      <c r="R89" s="516">
        <f t="shared" si="27"/>
        <v>450000</v>
      </c>
      <c r="S89" s="147">
        <v>450000</v>
      </c>
      <c r="T89" s="147"/>
      <c r="U89" s="143"/>
    </row>
    <row r="90" spans="1:21" s="144" customFormat="1">
      <c r="A90" s="145" t="s">
        <v>774</v>
      </c>
      <c r="B90" s="146">
        <f t="shared" si="25"/>
        <v>8000</v>
      </c>
      <c r="C90" s="147">
        <v>8000</v>
      </c>
      <c r="D90" s="147"/>
      <c r="E90" s="147">
        <f t="shared" si="26"/>
        <v>8000</v>
      </c>
      <c r="F90" s="147"/>
      <c r="G90" s="147"/>
      <c r="H90" s="147"/>
      <c r="I90" s="147"/>
      <c r="J90" s="147"/>
      <c r="K90" s="147"/>
      <c r="L90" s="147"/>
      <c r="M90" s="147"/>
      <c r="N90" s="147"/>
      <c r="O90" s="147"/>
      <c r="P90" s="147"/>
      <c r="Q90" s="147"/>
      <c r="R90" s="516">
        <f t="shared" si="27"/>
        <v>8000</v>
      </c>
      <c r="S90" s="147">
        <v>8000</v>
      </c>
      <c r="T90" s="147"/>
      <c r="U90" s="143"/>
    </row>
    <row r="91" spans="1:21" s="144" customFormat="1">
      <c r="A91" s="145" t="s">
        <v>372</v>
      </c>
      <c r="B91" s="146">
        <f t="shared" si="25"/>
        <v>115000</v>
      </c>
      <c r="C91" s="147">
        <v>115000</v>
      </c>
      <c r="D91" s="147"/>
      <c r="E91" s="147">
        <f t="shared" si="26"/>
        <v>115000</v>
      </c>
      <c r="F91" s="147"/>
      <c r="G91" s="147"/>
      <c r="H91" s="147"/>
      <c r="I91" s="147"/>
      <c r="J91" s="147"/>
      <c r="K91" s="147"/>
      <c r="L91" s="147"/>
      <c r="M91" s="147"/>
      <c r="N91" s="147"/>
      <c r="O91" s="147"/>
      <c r="P91" s="147"/>
      <c r="Q91" s="147"/>
      <c r="R91" s="516">
        <f t="shared" si="27"/>
        <v>115000</v>
      </c>
      <c r="S91" s="147">
        <v>115000</v>
      </c>
      <c r="T91" s="147"/>
      <c r="U91" s="143"/>
    </row>
    <row r="92" spans="1:21" s="144" customFormat="1">
      <c r="A92" s="283" t="s">
        <v>1210</v>
      </c>
      <c r="B92" s="146">
        <f t="shared" si="25"/>
        <v>6500</v>
      </c>
      <c r="C92" s="147">
        <v>6500</v>
      </c>
      <c r="D92" s="147"/>
      <c r="E92" s="147">
        <f t="shared" si="26"/>
        <v>6500</v>
      </c>
      <c r="F92" s="147"/>
      <c r="G92" s="147"/>
      <c r="H92" s="147"/>
      <c r="I92" s="147"/>
      <c r="J92" s="147"/>
      <c r="K92" s="147"/>
      <c r="L92" s="147"/>
      <c r="M92" s="147"/>
      <c r="N92" s="147"/>
      <c r="O92" s="147"/>
      <c r="P92" s="147"/>
      <c r="Q92" s="147"/>
      <c r="R92" s="516">
        <f t="shared" si="27"/>
        <v>6500</v>
      </c>
      <c r="S92" s="147">
        <v>6500</v>
      </c>
      <c r="T92" s="147"/>
      <c r="U92" s="143"/>
    </row>
    <row r="93" spans="1:21" s="144" customFormat="1">
      <c r="A93" s="1149" t="s">
        <v>2722</v>
      </c>
      <c r="B93" s="146">
        <f t="shared" si="25"/>
        <v>13200</v>
      </c>
      <c r="C93" s="147">
        <v>13200</v>
      </c>
      <c r="D93" s="147"/>
      <c r="E93" s="147">
        <f t="shared" si="26"/>
        <v>13200</v>
      </c>
      <c r="F93" s="147"/>
      <c r="G93" s="147"/>
      <c r="H93" s="147"/>
      <c r="I93" s="147"/>
      <c r="J93" s="147"/>
      <c r="K93" s="147"/>
      <c r="L93" s="147"/>
      <c r="M93" s="147"/>
      <c r="N93" s="147"/>
      <c r="O93" s="147"/>
      <c r="P93" s="147"/>
      <c r="Q93" s="147"/>
      <c r="R93" s="516">
        <f t="shared" si="27"/>
        <v>13200</v>
      </c>
      <c r="S93" s="147"/>
      <c r="T93" s="147"/>
      <c r="U93" s="143"/>
    </row>
    <row r="94" spans="1:21" s="144" customFormat="1">
      <c r="A94" s="1149" t="s">
        <v>2723</v>
      </c>
      <c r="B94" s="146">
        <f t="shared" si="25"/>
        <v>1524600</v>
      </c>
      <c r="C94" s="147">
        <v>1524600</v>
      </c>
      <c r="D94" s="147"/>
      <c r="E94" s="147">
        <f t="shared" si="26"/>
        <v>1524600</v>
      </c>
      <c r="F94" s="147"/>
      <c r="G94" s="147"/>
      <c r="H94" s="147"/>
      <c r="I94" s="147"/>
      <c r="J94" s="147"/>
      <c r="K94" s="147"/>
      <c r="L94" s="147"/>
      <c r="M94" s="147"/>
      <c r="N94" s="147"/>
      <c r="O94" s="147"/>
      <c r="P94" s="147"/>
      <c r="Q94" s="147"/>
      <c r="R94" s="516">
        <f t="shared" si="27"/>
        <v>1524600</v>
      </c>
      <c r="S94" s="147">
        <v>1524600</v>
      </c>
      <c r="T94" s="147"/>
      <c r="U94" s="143"/>
    </row>
    <row r="95" spans="1:21" s="144" customFormat="1">
      <c r="A95" s="1149" t="s">
        <v>2753</v>
      </c>
      <c r="B95" s="146">
        <f t="shared" si="25"/>
        <v>40200</v>
      </c>
      <c r="C95" s="147">
        <v>40200</v>
      </c>
      <c r="D95" s="147"/>
      <c r="E95" s="147">
        <f t="shared" si="26"/>
        <v>40200</v>
      </c>
      <c r="F95" s="147"/>
      <c r="G95" s="147"/>
      <c r="H95" s="147"/>
      <c r="I95" s="147"/>
      <c r="J95" s="147"/>
      <c r="K95" s="147"/>
      <c r="L95" s="147"/>
      <c r="M95" s="147"/>
      <c r="N95" s="147"/>
      <c r="O95" s="147"/>
      <c r="P95" s="147"/>
      <c r="Q95" s="147"/>
      <c r="R95" s="516">
        <f t="shared" si="27"/>
        <v>40200</v>
      </c>
      <c r="S95" s="147"/>
      <c r="T95" s="147"/>
      <c r="U95" s="143"/>
    </row>
    <row r="96" spans="1:21" s="144" customFormat="1">
      <c r="A96" s="149" t="s">
        <v>775</v>
      </c>
      <c r="B96" s="146">
        <f>SUM(C96:D96)</f>
        <v>18394587</v>
      </c>
      <c r="C96" s="146">
        <f t="shared" ref="C96:R96" si="28">SUM(C83:C95)</f>
        <v>18394587</v>
      </c>
      <c r="D96" s="146">
        <f t="shared" si="28"/>
        <v>0</v>
      </c>
      <c r="E96" s="146">
        <f t="shared" si="28"/>
        <v>18394587</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18394587</v>
      </c>
      <c r="S96" s="150">
        <f>SUM(S84:S87,S89:S95)</f>
        <v>17779687</v>
      </c>
      <c r="T96" s="146">
        <f>SUM(T84:T87,T89:T95)</f>
        <v>0</v>
      </c>
      <c r="U96" s="143"/>
    </row>
    <row r="97" spans="1:21" s="144" customFormat="1">
      <c r="A97" s="149" t="s">
        <v>776</v>
      </c>
      <c r="B97" s="146">
        <f>SUM(C97:D97)</f>
        <v>115598262</v>
      </c>
      <c r="C97" s="146">
        <f t="shared" ref="C97:R97" si="29">SUM(C63+C70+C77+C81+C96)</f>
        <v>115598262</v>
      </c>
      <c r="D97" s="146">
        <f t="shared" si="29"/>
        <v>0</v>
      </c>
      <c r="E97" s="146">
        <f t="shared" si="29"/>
        <v>51043262</v>
      </c>
      <c r="F97" s="146">
        <f t="shared" si="29"/>
        <v>41895000</v>
      </c>
      <c r="G97" s="146">
        <f t="shared" si="29"/>
        <v>16880000</v>
      </c>
      <c r="H97" s="146">
        <f t="shared" si="29"/>
        <v>5780000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115598262</v>
      </c>
      <c r="S97" s="146">
        <f>SUM(S63+S70+S81+S96)</f>
        <v>106893535</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16034030</v>
      </c>
      <c r="C99" s="979">
        <v>16034030</v>
      </c>
      <c r="D99" s="979"/>
      <c r="E99" s="979">
        <f t="shared" ref="E99" si="30">C99-SUM(F99:Q99)</f>
        <v>3929942</v>
      </c>
      <c r="F99" s="147"/>
      <c r="G99" s="147"/>
      <c r="H99" s="147"/>
      <c r="I99" s="147">
        <f>I108</f>
        <v>12104088</v>
      </c>
      <c r="J99" s="147"/>
      <c r="K99" s="147"/>
      <c r="L99" s="147"/>
      <c r="M99" s="147"/>
      <c r="N99" s="147"/>
      <c r="O99" s="147"/>
      <c r="P99" s="147"/>
      <c r="Q99" s="147"/>
      <c r="R99" s="516">
        <f>SUM(E99:Q99)</f>
        <v>16034030</v>
      </c>
      <c r="S99" s="147">
        <v>16034030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16034030</v>
      </c>
      <c r="C104" s="146">
        <f>SUM(C99:C103)</f>
        <v>16034030</v>
      </c>
      <c r="D104" s="146">
        <f t="shared" ref="D104:T104" si="31">SUM(D99:D103)</f>
        <v>0</v>
      </c>
      <c r="E104" s="146">
        <f t="shared" si="31"/>
        <v>3929942</v>
      </c>
      <c r="F104" s="146">
        <f t="shared" si="31"/>
        <v>0</v>
      </c>
      <c r="G104" s="146">
        <f t="shared" si="31"/>
        <v>0</v>
      </c>
      <c r="H104" s="146">
        <f t="shared" si="31"/>
        <v>0</v>
      </c>
      <c r="I104" s="146">
        <f t="shared" si="31"/>
        <v>12104088</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42">
        <f t="shared" si="31"/>
        <v>16034030</v>
      </c>
      <c r="S104" s="150">
        <f t="shared" si="31"/>
        <v>16034030</v>
      </c>
      <c r="T104" s="150">
        <f t="shared" si="31"/>
        <v>0</v>
      </c>
      <c r="U104" s="143"/>
    </row>
    <row r="105" spans="1:21" s="144" customFormat="1">
      <c r="A105" s="149" t="s">
        <v>781</v>
      </c>
      <c r="B105" s="150">
        <f>SUM(C105:D105)</f>
        <v>131632292</v>
      </c>
      <c r="C105" s="150">
        <f t="shared" ref="C105:R105" si="32">SUM(C97+C104)</f>
        <v>131632292</v>
      </c>
      <c r="D105" s="150">
        <f t="shared" si="32"/>
        <v>0</v>
      </c>
      <c r="E105" s="150">
        <f t="shared" si="32"/>
        <v>54973204</v>
      </c>
      <c r="F105" s="150">
        <f t="shared" si="32"/>
        <v>41895000</v>
      </c>
      <c r="G105" s="150">
        <f t="shared" si="32"/>
        <v>16880000</v>
      </c>
      <c r="H105" s="150">
        <f t="shared" si="32"/>
        <v>5780000</v>
      </c>
      <c r="I105" s="150">
        <f t="shared" si="32"/>
        <v>12104088</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42">
        <f t="shared" si="32"/>
        <v>131632292</v>
      </c>
      <c r="S105" s="150">
        <f>S97+S104</f>
        <v>122927565</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122927565</v>
      </c>
      <c r="T107" s="150">
        <f>T105+T106</f>
        <v>0</v>
      </c>
    </row>
    <row r="108" spans="1:21" s="189" customFormat="1">
      <c r="A108" s="162" t="s">
        <v>880</v>
      </c>
      <c r="B108" s="157"/>
      <c r="C108" s="157"/>
      <c r="D108" s="157"/>
      <c r="E108" s="301">
        <f>Application!AO640</f>
        <v>54973204</v>
      </c>
      <c r="F108" s="301">
        <f>Application!AO627</f>
        <v>41895000</v>
      </c>
      <c r="G108" s="301">
        <f>Application!AO628</f>
        <v>16880000</v>
      </c>
      <c r="H108" s="301">
        <f>Application!AO629</f>
        <v>5780000</v>
      </c>
      <c r="I108" s="301">
        <f>Application!AO630</f>
        <v>12104088</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4" t="s">
        <v>989</v>
      </c>
      <c r="E122" s="1864"/>
      <c r="F122" s="186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786"/>
      <c r="F123" s="1786"/>
      <c r="G123" s="1786"/>
      <c r="H123" s="1786"/>
      <c r="I123" s="1786"/>
      <c r="J123" s="1786"/>
      <c r="K123" s="1786"/>
      <c r="L123" s="1786"/>
      <c r="M123" s="1786"/>
      <c r="N123" s="1786"/>
      <c r="O123" s="1786"/>
      <c r="P123" s="1786"/>
      <c r="Q123" s="1786"/>
      <c r="R123" s="1786"/>
      <c r="S123" s="1786"/>
      <c r="T123" s="324"/>
      <c r="U123" s="326"/>
    </row>
    <row r="124" spans="1:21" ht="12.75">
      <c r="A124" s="117" t="s">
        <v>991</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2.75">
      <c r="A125" s="117" t="s">
        <v>992</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300</v>
      </c>
      <c r="B129" s="333"/>
      <c r="C129" s="117"/>
      <c r="D129" s="1863" t="s">
        <v>996</v>
      </c>
      <c r="E129" s="1863"/>
      <c r="F129" s="1863"/>
      <c r="G129" s="1863"/>
      <c r="H129" s="186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1003</v>
      </c>
      <c r="B139" s="1865"/>
      <c r="C139" s="1865"/>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1226</v>
      </c>
      <c r="B1" s="1872"/>
      <c r="C1" s="1872"/>
      <c r="D1" s="1872"/>
      <c r="E1" s="1872"/>
      <c r="F1" s="1872"/>
      <c r="G1" s="1872"/>
      <c r="H1" s="1872"/>
      <c r="I1" s="1872"/>
      <c r="J1" s="187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v>
      </c>
      <c r="C12" s="361">
        <f>SUM(C8+C11)</f>
        <v>0</v>
      </c>
      <c r="D12" s="361">
        <f>SUM(D8+D11)</f>
        <v>0</v>
      </c>
      <c r="E12" s="363"/>
      <c r="F12" s="363"/>
      <c r="G12" s="363"/>
      <c r="H12" s="363"/>
      <c r="I12" s="363"/>
      <c r="J12" s="363"/>
      <c r="K12" s="359"/>
    </row>
    <row r="13" spans="1:11" s="360" customFormat="1">
      <c r="A13" s="366" t="s">
        <v>903</v>
      </c>
      <c r="B13" s="361">
        <f>'Sources and Uses Budget'!C13</f>
        <v>330000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5780000</v>
      </c>
      <c r="C29" s="362"/>
      <c r="D29" s="362"/>
      <c r="E29" s="361">
        <f>'Sources and Uses Budget'!S29</f>
        <v>5780000</v>
      </c>
      <c r="F29" s="362"/>
      <c r="G29" s="362"/>
      <c r="H29" s="361">
        <f>'Sources and Uses Budget'!T29</f>
        <v>0</v>
      </c>
      <c r="I29" s="362"/>
      <c r="J29" s="362"/>
      <c r="K29" s="359"/>
    </row>
    <row r="30" spans="1:11" s="360" customFormat="1">
      <c r="A30" s="145" t="s">
        <v>600</v>
      </c>
      <c r="B30" s="361">
        <f>'Sources and Uses Budget'!C30</f>
        <v>61214400</v>
      </c>
      <c r="C30" s="362"/>
      <c r="D30" s="362"/>
      <c r="E30" s="361">
        <f>'Sources and Uses Budget'!S30</f>
        <v>60914400</v>
      </c>
      <c r="F30" s="362"/>
      <c r="G30" s="362"/>
      <c r="H30" s="361">
        <f>'Sources and Uses Budget'!T30</f>
        <v>0</v>
      </c>
      <c r="I30" s="362"/>
      <c r="J30" s="362"/>
      <c r="K30" s="359"/>
    </row>
    <row r="31" spans="1:11" s="360" customFormat="1">
      <c r="A31" s="145" t="s">
        <v>601</v>
      </c>
      <c r="B31" s="361">
        <f>'Sources and Uses Budget'!C31</f>
        <v>2943000</v>
      </c>
      <c r="C31" s="362"/>
      <c r="D31" s="362"/>
      <c r="E31" s="361">
        <f>'Sources and Uses Budget'!S31</f>
        <v>2943000</v>
      </c>
      <c r="F31" s="362"/>
      <c r="G31" s="362"/>
      <c r="H31" s="361">
        <f>'Sources and Uses Budget'!T31</f>
        <v>0</v>
      </c>
      <c r="I31" s="362"/>
      <c r="J31" s="362"/>
      <c r="K31" s="359"/>
    </row>
    <row r="32" spans="1:11" s="360" customFormat="1">
      <c r="A32" s="145" t="s">
        <v>137</v>
      </c>
      <c r="B32" s="361">
        <f>'Sources and Uses Budget'!C32</f>
        <v>1283148</v>
      </c>
      <c r="C32" s="362"/>
      <c r="D32" s="362"/>
      <c r="E32" s="361">
        <f>'Sources and Uses Budget'!S32</f>
        <v>1283148</v>
      </c>
      <c r="F32" s="362"/>
      <c r="G32" s="362"/>
      <c r="H32" s="361">
        <f>'Sources and Uses Budget'!T32</f>
        <v>0</v>
      </c>
      <c r="I32" s="362"/>
      <c r="J32" s="362"/>
      <c r="K32" s="359"/>
    </row>
    <row r="33" spans="1:11" s="360" customFormat="1">
      <c r="A33" s="145" t="s">
        <v>138</v>
      </c>
      <c r="B33" s="361">
        <f>'Sources and Uses Budget'!C33</f>
        <v>1283148</v>
      </c>
      <c r="C33" s="362"/>
      <c r="D33" s="362"/>
      <c r="E33" s="361">
        <f>'Sources and Uses Budget'!S33</f>
        <v>1283148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166809</v>
      </c>
      <c r="C35" s="362"/>
      <c r="D35" s="362"/>
      <c r="E35" s="361">
        <f>'Sources and Uses Budget'!S35</f>
        <v>166809</v>
      </c>
      <c r="F35" s="362"/>
      <c r="G35" s="362"/>
      <c r="H35" s="361">
        <f>'Sources and Uses Budget'!T35</f>
        <v>0</v>
      </c>
      <c r="I35" s="362"/>
      <c r="J35" s="362"/>
      <c r="K35" s="359"/>
    </row>
    <row r="36" spans="1:11" s="360" customFormat="1">
      <c r="A36" s="508" t="s">
        <v>1639</v>
      </c>
      <c r="B36" s="361">
        <f>'Sources and Uses Budget'!C36</f>
        <v>250000</v>
      </c>
      <c r="C36" s="362"/>
      <c r="D36" s="362"/>
      <c r="E36" s="361">
        <f>'Sources and Uses Budget'!S36</f>
        <v>250000</v>
      </c>
      <c r="F36" s="362"/>
      <c r="G36" s="362"/>
      <c r="H36" s="361">
        <f>'Sources and Uses Budget'!T36</f>
        <v>0</v>
      </c>
      <c r="I36" s="362"/>
      <c r="J36" s="362"/>
      <c r="K36" s="359"/>
    </row>
    <row r="37" spans="1:11" s="360" customFormat="1">
      <c r="A37" s="364" t="str">
        <f>'Sources and Uses Budget'!$A37</f>
        <v>Other : Payment + Performance Bonds</v>
      </c>
      <c r="B37" s="361">
        <f>'Sources and Uses Budget'!C37</f>
        <v>668905</v>
      </c>
      <c r="C37" s="362"/>
      <c r="D37" s="362"/>
      <c r="E37" s="361">
        <f>'Sources and Uses Budget'!S37</f>
        <v>668905</v>
      </c>
      <c r="F37" s="362"/>
      <c r="G37" s="362"/>
      <c r="H37" s="361">
        <f>'Sources and Uses Budget'!T37</f>
        <v>0</v>
      </c>
      <c r="I37" s="362"/>
      <c r="J37" s="362"/>
      <c r="K37" s="359"/>
    </row>
    <row r="38" spans="1:11" s="360" customFormat="1">
      <c r="A38" s="365" t="s">
        <v>143</v>
      </c>
      <c r="B38" s="361">
        <f>'Sources and Uses Budget'!C38</f>
        <v>73589410</v>
      </c>
      <c r="C38" s="361">
        <f>SUM(C29:C37)</f>
        <v>0</v>
      </c>
      <c r="D38" s="361">
        <f>SUM(D29:D37)</f>
        <v>0</v>
      </c>
      <c r="E38" s="361">
        <f>'Sources and Uses Budget'!S38</f>
        <v>73289410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c r="D40" s="362"/>
      <c r="E40" s="361">
        <f>'Sources and Uses Budget'!S40</f>
        <v>1500000</v>
      </c>
      <c r="F40" s="362"/>
      <c r="G40" s="362"/>
      <c r="H40" s="361">
        <f>'Sources and Uses Budget'!T40</f>
        <v>0</v>
      </c>
      <c r="I40" s="362"/>
      <c r="J40" s="362"/>
      <c r="K40" s="359"/>
    </row>
    <row r="41" spans="1:11" s="360" customFormat="1">
      <c r="A41" s="364" t="s">
        <v>146</v>
      </c>
      <c r="B41" s="361">
        <f>'Sources and Uses Budget'!C41</f>
        <v>364000</v>
      </c>
      <c r="C41" s="362"/>
      <c r="D41" s="362"/>
      <c r="E41" s="361">
        <f>'Sources and Uses Budget'!S41</f>
        <v>364000</v>
      </c>
      <c r="F41" s="362"/>
      <c r="G41" s="362"/>
      <c r="H41" s="361">
        <f>'Sources and Uses Budget'!T41</f>
        <v>0</v>
      </c>
      <c r="I41" s="362"/>
      <c r="J41" s="362"/>
      <c r="K41" s="359"/>
    </row>
    <row r="42" spans="1:11" s="360" customFormat="1">
      <c r="A42" s="365" t="s">
        <v>147</v>
      </c>
      <c r="B42" s="361">
        <f>'Sources and Uses Budget'!C42</f>
        <v>1864000</v>
      </c>
      <c r="C42" s="361">
        <f>SUM(C39:C41)</f>
        <v>0</v>
      </c>
      <c r="D42" s="361">
        <f>SUM(D39:D41)</f>
        <v>0</v>
      </c>
      <c r="E42" s="361">
        <f>'Sources and Uses Budget'!S42</f>
        <v>1864000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1146500</v>
      </c>
      <c r="C43" s="362"/>
      <c r="D43" s="362"/>
      <c r="E43" s="361">
        <f>'Sources and Uses Budget'!S43</f>
        <v>1146500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4100800</v>
      </c>
      <c r="C45" s="362"/>
      <c r="D45" s="362"/>
      <c r="E45" s="361">
        <f>'Sources and Uses Budget'!S45</f>
        <v>4100800</v>
      </c>
      <c r="F45" s="362"/>
      <c r="G45" s="362"/>
      <c r="H45" s="361">
        <f>'Sources and Uses Budget'!T45</f>
        <v>0</v>
      </c>
      <c r="I45" s="362"/>
      <c r="J45" s="362"/>
      <c r="K45" s="359"/>
    </row>
    <row r="46" spans="1:11" s="360" customFormat="1">
      <c r="A46" s="364" t="s">
        <v>151</v>
      </c>
      <c r="B46" s="361">
        <f>'Sources and Uses Budget'!C46</f>
        <v>1001950</v>
      </c>
      <c r="C46" s="362"/>
      <c r="D46" s="362"/>
      <c r="E46" s="361">
        <f>'Sources and Uses Budget'!S46</f>
        <v>667967</v>
      </c>
      <c r="F46" s="362"/>
      <c r="G46" s="362"/>
      <c r="H46" s="361">
        <f>'Sources and Uses Budget'!T46</f>
        <v>0</v>
      </c>
      <c r="I46" s="362"/>
      <c r="J46" s="362"/>
      <c r="K46" s="359"/>
    </row>
    <row r="47" spans="1:11" s="360" customFormat="1" ht="12" customHeight="1">
      <c r="A47" s="364" t="s">
        <v>152</v>
      </c>
      <c r="B47" s="361">
        <f>'Sources and Uses Budget'!C47</f>
        <v>1578000</v>
      </c>
      <c r="C47" s="362"/>
      <c r="D47" s="362"/>
      <c r="E47" s="361">
        <f>'Sources and Uses Budget'!S47</f>
        <v>1052000</v>
      </c>
      <c r="F47" s="362"/>
      <c r="G47" s="362"/>
      <c r="H47" s="361">
        <f>'Sources and Uses Budget'!T47</f>
        <v>0</v>
      </c>
      <c r="I47" s="362"/>
      <c r="J47" s="362"/>
      <c r="K47" s="359"/>
    </row>
    <row r="48" spans="1:11" s="360" customFormat="1">
      <c r="A48" s="364" t="s">
        <v>153</v>
      </c>
      <c r="B48" s="361">
        <f>'Sources and Uses Budget'!C48</f>
        <v>140490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140000</v>
      </c>
      <c r="C50" s="362"/>
      <c r="D50" s="362"/>
      <c r="E50" s="361">
        <f>'Sources and Uses Budget'!S50</f>
        <v>140000</v>
      </c>
      <c r="F50" s="362"/>
      <c r="G50" s="362"/>
      <c r="H50" s="361">
        <f>'Sources and Uses Budget'!T50</f>
        <v>0</v>
      </c>
      <c r="I50" s="362"/>
      <c r="J50" s="362"/>
      <c r="K50" s="359"/>
    </row>
    <row r="51" spans="1:11" s="360" customFormat="1">
      <c r="A51" s="364" t="s">
        <v>154</v>
      </c>
      <c r="B51" s="361">
        <f>'Sources and Uses Budget'!C51</f>
        <v>65000</v>
      </c>
      <c r="C51" s="362"/>
      <c r="D51" s="362"/>
      <c r="E51" s="361">
        <f>'Sources and Uses Budget'!S51</f>
        <v>65000</v>
      </c>
      <c r="F51" s="362"/>
      <c r="G51" s="362"/>
      <c r="H51" s="361">
        <f>'Sources and Uses Budget'!T51</f>
        <v>0</v>
      </c>
      <c r="I51" s="362"/>
      <c r="J51" s="362"/>
      <c r="K51" s="359"/>
    </row>
    <row r="52" spans="1:11" s="360" customFormat="1">
      <c r="A52" s="364" t="s">
        <v>155</v>
      </c>
      <c r="B52" s="361">
        <f>'Sources and Uses Budget'!C52</f>
        <v>2280000</v>
      </c>
      <c r="C52" s="362"/>
      <c r="D52" s="362"/>
      <c r="E52" s="361">
        <f>'Sources and Uses Budget'!S52</f>
        <v>2280000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9306240</v>
      </c>
      <c r="C54" s="367">
        <f>SUM(C45:C53)</f>
        <v>0</v>
      </c>
      <c r="D54" s="367">
        <f>SUM(D45:D53)</f>
        <v>0</v>
      </c>
      <c r="E54" s="361">
        <f>'Sources and Uses Budget'!S54</f>
        <v>8305767</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30000</v>
      </c>
      <c r="C57" s="362"/>
      <c r="D57" s="362"/>
      <c r="E57" s="363"/>
      <c r="F57" s="363"/>
      <c r="G57" s="363"/>
      <c r="H57" s="363"/>
      <c r="I57" s="363"/>
      <c r="J57" s="363"/>
      <c r="K57" s="359"/>
    </row>
    <row r="58" spans="1:11" s="360" customFormat="1">
      <c r="A58" s="364" t="s">
        <v>156</v>
      </c>
      <c r="B58" s="361">
        <f>'Sources and Uses Budget'!C58</f>
        <v>40000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24">
      <c r="A61" s="364" t="str">
        <f>'Sources and Uses Budget'!$A61</f>
        <v>Other: Post CofO Construction Lender Interest</v>
      </c>
      <c r="B61" s="361">
        <f>'Sources and Uses Budget'!C61</f>
        <v>4562693</v>
      </c>
      <c r="C61" s="362"/>
      <c r="D61" s="362"/>
      <c r="E61" s="363"/>
      <c r="F61" s="363"/>
      <c r="G61" s="363"/>
      <c r="H61" s="363"/>
      <c r="I61" s="363"/>
      <c r="J61" s="363"/>
      <c r="K61" s="359"/>
    </row>
    <row r="62" spans="1:11" s="360" customFormat="1" ht="13.7" customHeight="1">
      <c r="A62" s="365" t="s">
        <v>301</v>
      </c>
      <c r="B62" s="361">
        <f>'Sources and Uses Budget'!C62</f>
        <v>4632693</v>
      </c>
      <c r="C62" s="361">
        <f>SUM(C56:C61)</f>
        <v>0</v>
      </c>
      <c r="D62" s="361">
        <f>SUM(D56:D61)</f>
        <v>0</v>
      </c>
      <c r="E62" s="363"/>
      <c r="F62" s="363"/>
      <c r="G62" s="363"/>
      <c r="H62" s="363"/>
      <c r="I62" s="363"/>
      <c r="J62" s="363"/>
      <c r="K62" s="359"/>
    </row>
    <row r="63" spans="1:11" s="360" customFormat="1">
      <c r="A63" s="370" t="s">
        <v>302</v>
      </c>
      <c r="B63" s="361">
        <f>'Sources and Uses Budget'!C63</f>
        <v>90868844</v>
      </c>
      <c r="C63" s="361">
        <f>SUM(C8+C11+C13+C14+C15+C26+C27+C38+C42+C43+C54+C62)</f>
        <v>0</v>
      </c>
      <c r="D63" s="361">
        <f>SUM(D8+D11+D13+D14+D15+D26+D27+D38+D42+D43+D54+D62)</f>
        <v>0</v>
      </c>
      <c r="E63" s="361">
        <f>'Sources and Uses Budget'!S63</f>
        <v>84605677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95000</v>
      </c>
      <c r="C65" s="362"/>
      <c r="D65" s="362"/>
      <c r="E65" s="361">
        <f>'Sources and Uses Budget'!S65</f>
        <v>50000</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Partnership Legal</v>
      </c>
      <c r="B69" s="361">
        <f>'Sources and Uses Budget'!C69</f>
        <v>302000</v>
      </c>
      <c r="C69" s="362"/>
      <c r="D69" s="362"/>
      <c r="E69" s="361">
        <f>'Sources and Uses Budget'!S69</f>
        <v>160000</v>
      </c>
      <c r="F69" s="362"/>
      <c r="G69" s="362"/>
      <c r="H69" s="361">
        <f>'Sources and Uses Budget'!T69</f>
        <v>0</v>
      </c>
      <c r="I69" s="362"/>
      <c r="J69" s="362"/>
      <c r="K69" s="359"/>
    </row>
    <row r="70" spans="1:11" s="360" customFormat="1">
      <c r="A70" s="365" t="s">
        <v>602</v>
      </c>
      <c r="B70" s="361">
        <f>'Sources and Uses Budget'!C70</f>
        <v>397000</v>
      </c>
      <c r="C70" s="361">
        <f>SUM(C64:C69)</f>
        <v>0</v>
      </c>
      <c r="D70" s="361">
        <f>SUM(D64:D69)</f>
        <v>0</v>
      </c>
      <c r="E70" s="361">
        <f>'Sources and Uses Budget'!S70</f>
        <v>210000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606</v>
      </c>
      <c r="B75" s="361">
        <f>'Sources and Uses Budget'!C75</f>
        <v>1459860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1459860</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3377971</v>
      </c>
      <c r="C79" s="362"/>
      <c r="D79" s="362"/>
      <c r="E79" s="361">
        <f>'Sources and Uses Budget'!S79</f>
        <v>3377971</v>
      </c>
      <c r="F79" s="362"/>
      <c r="G79" s="362"/>
      <c r="H79" s="361">
        <f>'Sources and Uses Budget'!T79</f>
        <v>0</v>
      </c>
      <c r="I79" s="362"/>
      <c r="J79" s="362"/>
      <c r="K79" s="359"/>
    </row>
    <row r="80" spans="1:11" s="360" customFormat="1">
      <c r="A80" s="364" t="s">
        <v>58</v>
      </c>
      <c r="B80" s="361">
        <f>'Sources and Uses Budget'!C80</f>
        <v>1100000</v>
      </c>
      <c r="C80" s="362"/>
      <c r="D80" s="362"/>
      <c r="E80" s="361">
        <f>'Sources and Uses Budget'!S80</f>
        <v>920200</v>
      </c>
      <c r="F80" s="362"/>
      <c r="G80" s="362"/>
      <c r="H80" s="361">
        <f>'Sources and Uses Budget'!T80</f>
        <v>0</v>
      </c>
      <c r="I80" s="362"/>
      <c r="J80" s="362"/>
      <c r="K80" s="359"/>
    </row>
    <row r="81" spans="1:11" s="360" customFormat="1">
      <c r="A81" s="365" t="s">
        <v>1208</v>
      </c>
      <c r="B81" s="361">
        <f>'Sources and Uses Budget'!C81</f>
        <v>4477971</v>
      </c>
      <c r="C81" s="361">
        <f>SUM(C79:C80)</f>
        <v>0</v>
      </c>
      <c r="D81" s="361">
        <f>SUM(D79:D80)</f>
        <v>0</v>
      </c>
      <c r="E81" s="361">
        <f>'Sources and Uses Budget'!S81</f>
        <v>4298171</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2093</v>
      </c>
      <c r="B83" s="361">
        <f>'Sources and Uses Budget'!C83</f>
        <v>302000</v>
      </c>
      <c r="C83" s="362"/>
      <c r="D83" s="362"/>
      <c r="E83" s="363"/>
      <c r="F83" s="363"/>
      <c r="G83" s="363"/>
      <c r="H83" s="363"/>
      <c r="I83" s="363"/>
      <c r="J83" s="363"/>
      <c r="K83" s="359"/>
    </row>
    <row r="84" spans="1:11" s="360" customFormat="1">
      <c r="A84" s="145" t="s">
        <v>768</v>
      </c>
      <c r="B84" s="361">
        <f>'Sources and Uses Budget'!C84</f>
        <v>6800</v>
      </c>
      <c r="C84" s="362"/>
      <c r="D84" s="362"/>
      <c r="E84" s="361">
        <f>'Sources and Uses Budget'!S84</f>
        <v>6800</v>
      </c>
      <c r="F84" s="362"/>
      <c r="G84" s="362"/>
      <c r="H84" s="361">
        <f>'Sources and Uses Budget'!T84</f>
        <v>0</v>
      </c>
      <c r="I84" s="362"/>
      <c r="J84" s="362"/>
      <c r="K84" s="359"/>
    </row>
    <row r="85" spans="1:11" s="360" customFormat="1">
      <c r="A85" s="145" t="s">
        <v>769</v>
      </c>
      <c r="B85" s="361">
        <f>'Sources and Uses Budget'!C85</f>
        <v>14943787</v>
      </c>
      <c r="C85" s="362"/>
      <c r="D85" s="362"/>
      <c r="E85" s="361">
        <f>'Sources and Uses Budget'!S85</f>
        <v>14943787</v>
      </c>
      <c r="F85" s="362"/>
      <c r="G85" s="362"/>
      <c r="H85" s="361">
        <f>'Sources and Uses Budget'!T85</f>
        <v>0</v>
      </c>
      <c r="I85" s="362"/>
      <c r="J85" s="362"/>
      <c r="K85" s="359"/>
    </row>
    <row r="86" spans="1:11" s="360" customFormat="1">
      <c r="A86" s="145" t="s">
        <v>770</v>
      </c>
      <c r="B86" s="361">
        <f>'Sources and Uses Budget'!C86</f>
        <v>725000</v>
      </c>
      <c r="C86" s="362"/>
      <c r="D86" s="362"/>
      <c r="E86" s="361">
        <f>'Sources and Uses Budget'!S86</f>
        <v>725000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259500</v>
      </c>
      <c r="C88" s="362"/>
      <c r="D88" s="362"/>
      <c r="E88" s="363"/>
      <c r="F88" s="363"/>
      <c r="G88" s="363"/>
      <c r="H88" s="363"/>
      <c r="I88" s="363"/>
      <c r="J88" s="363"/>
      <c r="K88" s="359"/>
    </row>
    <row r="89" spans="1:11" s="360" customFormat="1">
      <c r="A89" s="145" t="s">
        <v>773</v>
      </c>
      <c r="B89" s="361">
        <f>'Sources and Uses Budget'!C89</f>
        <v>450000</v>
      </c>
      <c r="C89" s="362"/>
      <c r="D89" s="362"/>
      <c r="E89" s="361">
        <f>'Sources and Uses Budget'!S89</f>
        <v>450000</v>
      </c>
      <c r="F89" s="362"/>
      <c r="G89" s="362"/>
      <c r="H89" s="361">
        <f>'Sources and Uses Budget'!T89</f>
        <v>0</v>
      </c>
      <c r="I89" s="362"/>
      <c r="J89" s="362"/>
      <c r="K89" s="359"/>
    </row>
    <row r="90" spans="1:11" s="360" customFormat="1">
      <c r="A90" s="145" t="s">
        <v>774</v>
      </c>
      <c r="B90" s="361">
        <f>'Sources and Uses Budget'!C90</f>
        <v>8000</v>
      </c>
      <c r="C90" s="362"/>
      <c r="D90" s="362"/>
      <c r="E90" s="361">
        <f>'Sources and Uses Budget'!S90</f>
        <v>8000</v>
      </c>
      <c r="F90" s="362"/>
      <c r="G90" s="362"/>
      <c r="H90" s="361">
        <f>'Sources and Uses Budget'!T90</f>
        <v>0</v>
      </c>
      <c r="I90" s="362"/>
      <c r="J90" s="362"/>
      <c r="K90" s="359"/>
    </row>
    <row r="91" spans="1:11" s="360" customFormat="1">
      <c r="A91" s="155" t="s">
        <v>372</v>
      </c>
      <c r="B91" s="361">
        <f>'Sources and Uses Budget'!C91</f>
        <v>115000</v>
      </c>
      <c r="C91" s="362"/>
      <c r="D91" s="362"/>
      <c r="E91" s="361">
        <f>'Sources and Uses Budget'!S91</f>
        <v>115000</v>
      </c>
      <c r="F91" s="362"/>
      <c r="G91" s="362"/>
      <c r="H91" s="361">
        <f>'Sources and Uses Budget'!T91</f>
        <v>0</v>
      </c>
      <c r="I91" s="362"/>
      <c r="J91" s="362"/>
      <c r="K91" s="359"/>
    </row>
    <row r="92" spans="1:11" s="360" customFormat="1">
      <c r="A92" s="508" t="s">
        <v>1210</v>
      </c>
      <c r="B92" s="361">
        <f>'Sources and Uses Budget'!C92</f>
        <v>6500</v>
      </c>
      <c r="C92" s="362"/>
      <c r="D92" s="362"/>
      <c r="E92" s="361">
        <f>'Sources and Uses Budget'!S92</f>
        <v>6500</v>
      </c>
      <c r="F92" s="362"/>
      <c r="G92" s="362"/>
      <c r="H92" s="361">
        <f>'Sources and Uses Budget'!T92</f>
        <v>0</v>
      </c>
      <c r="I92" s="362"/>
      <c r="J92" s="362"/>
      <c r="K92" s="359"/>
    </row>
    <row r="93" spans="1:11" s="360" customFormat="1">
      <c r="A93" s="364" t="str">
        <f>'Sources and Uses Budget'!$A93</f>
        <v>Other: City Fees</v>
      </c>
      <c r="B93" s="361">
        <f>'Sources and Uses Budget'!C93</f>
        <v>13200</v>
      </c>
      <c r="C93" s="362"/>
      <c r="D93" s="362"/>
      <c r="E93" s="361">
        <f>'Sources and Uses Budget'!S93</f>
        <v>0</v>
      </c>
      <c r="F93" s="362"/>
      <c r="G93" s="362"/>
      <c r="H93" s="361">
        <f>'Sources and Uses Budget'!T93</f>
        <v>0</v>
      </c>
      <c r="I93" s="362"/>
      <c r="J93" s="362"/>
      <c r="K93" s="359"/>
    </row>
    <row r="94" spans="1:11" s="360" customFormat="1">
      <c r="A94" s="364" t="str">
        <f>'Sources and Uses Budget'!$A94</f>
        <v>Other: Utility Connections/Deposits</v>
      </c>
      <c r="B94" s="361">
        <f>'Sources and Uses Budget'!C94</f>
        <v>1524600</v>
      </c>
      <c r="C94" s="362"/>
      <c r="D94" s="362"/>
      <c r="E94" s="361">
        <f>'Sources and Uses Budget'!S94</f>
        <v>1524600</v>
      </c>
      <c r="F94" s="362"/>
      <c r="G94" s="362"/>
      <c r="H94" s="361">
        <f>'Sources and Uses Budget'!T94</f>
        <v>0</v>
      </c>
      <c r="I94" s="362"/>
      <c r="J94" s="362"/>
      <c r="K94" s="359"/>
    </row>
    <row r="95" spans="1:11" s="360" customFormat="1">
      <c r="A95" s="364" t="str">
        <f>'Sources and Uses Budget'!$A95</f>
        <v>Other: Organizational Costs</v>
      </c>
      <c r="B95" s="361">
        <f>'Sources and Uses Budget'!C95</f>
        <v>40200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18394587</v>
      </c>
      <c r="C96" s="361">
        <f>SUM(C83:C95)</f>
        <v>0</v>
      </c>
      <c r="D96" s="361">
        <f>SUM(D83:D95)</f>
        <v>0</v>
      </c>
      <c r="E96" s="361">
        <f>'Sources and Uses Budget'!S96</f>
        <v>17779687</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115598262</v>
      </c>
      <c r="C97" s="361">
        <f>SUM(C63+C70+C77+C81+C96)</f>
        <v>0</v>
      </c>
      <c r="D97" s="361">
        <f>SUM(D63+D70+D77+D81+D96)</f>
        <v>0</v>
      </c>
      <c r="E97" s="361">
        <f>'Sources and Uses Budget'!S97</f>
        <v>106893535</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16034030</v>
      </c>
      <c r="C99" s="362"/>
      <c r="D99" s="362"/>
      <c r="E99" s="361">
        <f>'Sources and Uses Budget'!S99</f>
        <v>16034030</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16034030</v>
      </c>
      <c r="C104" s="361">
        <f>SUM(C99:C103)</f>
        <v>0</v>
      </c>
      <c r="D104" s="361">
        <f>SUM(D99:D103)</f>
        <v>0</v>
      </c>
      <c r="E104" s="361">
        <f>'Sources and Uses Budget'!S104</f>
        <v>16034030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131632292</v>
      </c>
      <c r="C105" s="367">
        <f>SUM(C97+C104)</f>
        <v>0</v>
      </c>
      <c r="D105" s="367">
        <f>SUM(D97+D104)</f>
        <v>0</v>
      </c>
      <c r="E105" s="361">
        <f>'Sources and Uses Budget'!S105</f>
        <v>122927565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122927565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9" t="s">
        <v>2455</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2454</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1" t="str">
        <f>IF(Application!H18="","",Application!H18)</f>
        <v>Otay Ranch II</v>
      </c>
      <c r="M4" s="2312"/>
      <c r="N4" s="2312"/>
      <c r="O4" s="2312"/>
      <c r="P4" s="2312"/>
      <c r="Q4" s="2312"/>
      <c r="R4" s="2312"/>
      <c r="S4" s="2312"/>
      <c r="T4" s="2312"/>
      <c r="U4" s="2312"/>
      <c r="V4" s="2312"/>
      <c r="W4" s="2312"/>
      <c r="X4" s="2312"/>
      <c r="Y4" s="2312"/>
      <c r="Z4" s="2312"/>
      <c r="AA4" s="2312"/>
      <c r="AB4" s="2312"/>
      <c r="AC4" s="2313"/>
      <c r="AD4" s="1190"/>
      <c r="AE4" s="1190"/>
      <c r="AF4" s="2307" t="s">
        <v>2453</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2452</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1" t="str">
        <f>IF(Application!H16="","",Application!H16)</f>
        <v>Otay Affordable II V8, LP</v>
      </c>
      <c r="M6" s="2312"/>
      <c r="N6" s="2312"/>
      <c r="O6" s="2312"/>
      <c r="P6" s="2312"/>
      <c r="Q6" s="2312"/>
      <c r="R6" s="2312"/>
      <c r="S6" s="2312"/>
      <c r="T6" s="2312"/>
      <c r="U6" s="2312"/>
      <c r="V6" s="2312"/>
      <c r="W6" s="2312"/>
      <c r="X6" s="2312"/>
      <c r="Y6" s="2312"/>
      <c r="Z6" s="2312"/>
      <c r="AA6" s="2312"/>
      <c r="AB6" s="2312"/>
      <c r="AC6" s="2313"/>
      <c r="AD6" s="1190"/>
      <c r="AE6" s="1190"/>
      <c r="AF6" s="2314" t="s">
        <v>2450</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2449</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2447</v>
      </c>
      <c r="AG8" s="2314"/>
      <c r="AH8" s="2314"/>
      <c r="AI8" s="2314"/>
      <c r="AJ8" s="2314"/>
      <c r="AK8" s="2314"/>
      <c r="AL8" s="2314"/>
      <c r="AM8" s="2314"/>
      <c r="AN8" s="2314"/>
      <c r="AO8" s="2314"/>
      <c r="AP8" s="2315" t="s">
        <v>2097</v>
      </c>
      <c r="AQ8" s="2315"/>
      <c r="AR8" s="2315"/>
      <c r="AS8" s="2315"/>
      <c r="AT8" s="2315"/>
      <c r="AU8" s="2315"/>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2446</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2310">
        <f>Application!AO627</f>
        <v>41895000</v>
      </c>
      <c r="O10" s="2310"/>
      <c r="P10" s="2310"/>
      <c r="Q10" s="2310"/>
      <c r="R10" s="2310"/>
      <c r="S10" s="2310"/>
      <c r="T10" s="2310"/>
      <c r="U10" s="1190"/>
      <c r="V10" s="1190"/>
      <c r="W10" s="1190"/>
      <c r="X10" s="1193"/>
      <c r="Y10" s="1193"/>
      <c r="Z10" s="1193"/>
      <c r="AA10" s="1193"/>
      <c r="AB10" s="1193"/>
      <c r="AC10" s="1193"/>
      <c r="AD10" s="1193"/>
      <c r="AE10" s="1193"/>
      <c r="AF10" s="2307" t="s">
        <v>2443</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2440</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thickBot="1">
      <c r="A13" s="1190"/>
      <c r="B13" s="2298" t="s">
        <v>2438</v>
      </c>
      <c r="C13" s="2299"/>
      <c r="D13" s="2299"/>
      <c r="E13" s="2299"/>
      <c r="F13" s="2299"/>
      <c r="G13" s="2299"/>
      <c r="H13" s="2299"/>
      <c r="I13" s="2299"/>
      <c r="J13" s="2299"/>
      <c r="K13" s="2299"/>
      <c r="L13" s="2299"/>
      <c r="M13" s="2299"/>
      <c r="N13" s="2299"/>
      <c r="O13" s="2299"/>
      <c r="P13" s="2300"/>
      <c r="Q13" s="2301" t="s">
        <v>670</v>
      </c>
      <c r="R13" s="2302"/>
      <c r="S13" s="2302"/>
      <c r="T13" s="2303"/>
      <c r="U13" s="1193"/>
      <c r="V13" s="1190"/>
      <c r="W13" s="1190"/>
      <c r="X13" s="1190"/>
      <c r="Y13" s="1190"/>
      <c r="Z13" s="1190"/>
      <c r="AA13" s="2288" t="s">
        <v>2437</v>
      </c>
      <c r="AB13" s="2288"/>
      <c r="AC13" s="2288"/>
      <c r="AD13" s="2288"/>
      <c r="AE13" s="2288"/>
      <c r="AF13" s="2288"/>
      <c r="AG13" s="2288"/>
      <c r="AH13" s="2288"/>
      <c r="AI13" s="2288"/>
      <c r="AJ13" s="2288"/>
      <c r="AK13" s="2288"/>
      <c r="AL13" s="2288"/>
      <c r="AM13" s="2288"/>
      <c r="AN13" s="2288"/>
      <c r="AO13" s="2304">
        <f>Application!W473</f>
        <v>68</v>
      </c>
      <c r="AP13" s="2305"/>
      <c r="AQ13" s="2305"/>
      <c r="AR13" s="2305"/>
      <c r="AS13" s="2305"/>
      <c r="AT13" s="1193"/>
      <c r="AU13" s="1193"/>
      <c r="AV13" s="1193"/>
      <c r="AW13" s="1193"/>
      <c r="AX13" s="1193"/>
      <c r="AY13" s="1193"/>
      <c r="AZ13" s="1193"/>
      <c r="BA13" s="1193"/>
      <c r="BB13" s="1193"/>
      <c r="BC13" s="1193"/>
      <c r="BD13" s="1193"/>
      <c r="BE13" s="1194"/>
      <c r="BM13" s="1187" t="s">
        <v>2436</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2435</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2434</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2433</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2432</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2431</v>
      </c>
      <c r="C18" s="2292"/>
      <c r="D18" s="2292"/>
      <c r="E18" s="2292"/>
      <c r="F18" s="2292"/>
      <c r="G18" s="2292"/>
      <c r="H18" s="2292"/>
      <c r="I18" s="2293"/>
      <c r="J18" s="2294" t="s">
        <v>1585</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2430</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34</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27</v>
      </c>
      <c r="W19" s="2281"/>
      <c r="X19" s="2281"/>
      <c r="Y19" s="2281"/>
      <c r="Z19" s="2281"/>
      <c r="AA19" s="2282"/>
      <c r="AB19" s="2280" cm="1">
        <f t="array" ref="AB19">SUMPRODUCT((Application!$B$714:$B$738 = 'CalHFA Addendum'!AB$18)*(Application!$AC$714:$AC$738 = 'CalHFA Addendum'!$B19),Application!$G$714:$G$738)</f>
        <v>0</v>
      </c>
      <c r="AC19" s="2281"/>
      <c r="AD19" s="2281"/>
      <c r="AE19" s="2281"/>
      <c r="AF19" s="2281"/>
      <c r="AG19" s="2282"/>
      <c r="AH19" s="2280" cm="1">
        <f t="array" ref="AH19">SUMPRODUCT((Application!$B$714:$B$738 = 'CalHFA Addendum'!AH$18)*(Application!$AC$714:$AC$738 = 'CalHFA Addendum'!$B19),Application!$G$714:$G$738)</f>
        <v>7</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0.12592592592592591</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20</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12</v>
      </c>
      <c r="W21" s="2281"/>
      <c r="X21" s="2281"/>
      <c r="Y21" s="2281"/>
      <c r="Z21" s="2281"/>
      <c r="AA21" s="2282"/>
      <c r="AB21" s="2280" cm="1">
        <f t="array" ref="AB21">SUMPRODUCT((Application!$B$714:$B$738 = 'CalHFA Addendum'!AB$18)*(Application!$AC$714:$AC$738 = 'CalHFA Addendum'!$B21),Application!$G$714:$G$738)</f>
        <v>8</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7.407407407407407E-2</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91</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81</v>
      </c>
      <c r="W22" s="2281"/>
      <c r="X22" s="2281"/>
      <c r="Y22" s="2281"/>
      <c r="Z22" s="2281"/>
      <c r="AA22" s="2282"/>
      <c r="AB22" s="2280" cm="1">
        <f t="array" ref="AB22">SUMPRODUCT((Application!$B$714:$B$738 = 'CalHFA Addendum'!AB$18)*(Application!$AC$714:$AC$738 = 'CalHFA Addendum'!$B22),Application!$G$714:$G$738)</f>
        <v>10</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0.33703703703703702</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122</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60</v>
      </c>
      <c r="AC23" s="2281"/>
      <c r="AD23" s="2281"/>
      <c r="AE23" s="2281"/>
      <c r="AF23" s="2281"/>
      <c r="AG23" s="2282"/>
      <c r="AH23" s="2280" cm="1">
        <f t="array" ref="AH23">SUMPRODUCT((Application!$B$714:$B$738 = 'CalHFA Addendum'!AH$18)*(Application!$AC$714:$AC$738 = 'CalHFA Addendum'!$B23),Application!$G$714:$G$738)</f>
        <v>62</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0.45185185185185184</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2429</v>
      </c>
      <c r="C28" s="2269"/>
      <c r="D28" s="2269"/>
      <c r="E28" s="2269"/>
      <c r="F28" s="2269"/>
      <c r="G28" s="2269"/>
      <c r="H28" s="2269"/>
      <c r="I28" s="2270"/>
      <c r="J28" s="2271">
        <f>SUM(P28:AS28)</f>
        <v>3</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3</v>
      </c>
      <c r="AC28" s="2272"/>
      <c r="AD28" s="2272"/>
      <c r="AE28" s="2272"/>
      <c r="AF28" s="2272"/>
      <c r="AG28" s="2273"/>
      <c r="AH28" s="2271">
        <f>_xlfn.IFNA(VLOOKUP(AH$18,Application!$J$773:$S$776,6,FALSE), 0)</f>
        <v>0</v>
      </c>
      <c r="AI28" s="2272"/>
      <c r="AJ28" s="2272"/>
      <c r="AK28" s="2272"/>
      <c r="AL28" s="2272"/>
      <c r="AM28" s="2273"/>
      <c r="AN28" s="2271">
        <f>_xlfn.IFNA(VLOOKUP(AN$18,Application!$J$773:$S$776,6,FALSE), 0)</f>
        <v>0</v>
      </c>
      <c r="AO28" s="2272"/>
      <c r="AP28" s="2272"/>
      <c r="AQ28" s="2272"/>
      <c r="AR28" s="2272"/>
      <c r="AS28" s="2273"/>
      <c r="AT28" s="2274">
        <f t="shared" si="1"/>
        <v>1.1111111111111112E-2</v>
      </c>
      <c r="AU28" s="2275"/>
      <c r="AV28" s="2275"/>
      <c r="AW28" s="2275"/>
      <c r="AX28" s="2275"/>
      <c r="AY28" s="2276"/>
      <c r="AZ28" s="1190"/>
      <c r="BA28" s="1190"/>
      <c r="BB28" s="1190"/>
      <c r="BC28" s="1190"/>
      <c r="BD28" s="1190"/>
      <c r="BE28" s="1194"/>
    </row>
    <row r="29" spans="1:58" thickBot="1">
      <c r="A29" s="1190"/>
      <c r="B29" s="2251" t="s">
        <v>1585</v>
      </c>
      <c r="C29" s="2224"/>
      <c r="D29" s="2224"/>
      <c r="E29" s="2224"/>
      <c r="F29" s="2224"/>
      <c r="G29" s="2224"/>
      <c r="H29" s="2224"/>
      <c r="I29" s="2225"/>
      <c r="J29" s="2223">
        <f>SUM(J19:O28)</f>
        <v>270</v>
      </c>
      <c r="K29" s="2224"/>
      <c r="L29" s="2224"/>
      <c r="M29" s="2224"/>
      <c r="N29" s="2224"/>
      <c r="O29" s="2225"/>
      <c r="P29" s="2223">
        <f>SUM(P19:U28)</f>
        <v>0</v>
      </c>
      <c r="Q29" s="2224"/>
      <c r="R29" s="2224"/>
      <c r="S29" s="2224"/>
      <c r="T29" s="2224"/>
      <c r="U29" s="2225"/>
      <c r="V29" s="2223">
        <f>SUM(V19:AA28)</f>
        <v>120</v>
      </c>
      <c r="W29" s="2224"/>
      <c r="X29" s="2224"/>
      <c r="Y29" s="2224"/>
      <c r="Z29" s="2224"/>
      <c r="AA29" s="2225"/>
      <c r="AB29" s="2223">
        <f>SUM(AB19:AG28)</f>
        <v>81</v>
      </c>
      <c r="AC29" s="2224"/>
      <c r="AD29" s="2224"/>
      <c r="AE29" s="2224"/>
      <c r="AF29" s="2224"/>
      <c r="AG29" s="2225"/>
      <c r="AH29" s="2223">
        <f>SUM(AH19:AM28)</f>
        <v>69</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2428</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2427</v>
      </c>
      <c r="C32" s="2233"/>
      <c r="D32" s="2233"/>
      <c r="E32" s="2233"/>
      <c r="F32" s="2233"/>
      <c r="G32" s="2233"/>
      <c r="H32" s="2233"/>
      <c r="I32" s="2233"/>
      <c r="J32" s="2236" t="s">
        <v>2426</v>
      </c>
      <c r="K32" s="2237"/>
      <c r="L32" s="2237"/>
      <c r="M32" s="2237"/>
      <c r="N32" s="2236" t="s">
        <v>2425</v>
      </c>
      <c r="O32" s="2237"/>
      <c r="P32" s="2237"/>
      <c r="Q32" s="2239"/>
      <c r="R32" s="2241" t="s">
        <v>2424</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2423</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2422</v>
      </c>
      <c r="AT35" s="2253"/>
      <c r="AU35" s="2253"/>
      <c r="AV35" s="2253"/>
      <c r="AW35" s="2253"/>
      <c r="AX35" s="2261"/>
      <c r="AY35" s="2252" t="s">
        <v>2421</v>
      </c>
      <c r="AZ35" s="2253"/>
      <c r="BA35" s="2253"/>
      <c r="BB35" s="2253"/>
      <c r="BC35" s="2253"/>
      <c r="BD35" s="2254"/>
      <c r="BE35" s="1194"/>
    </row>
    <row r="36" spans="1:58" ht="15.75" customHeight="1">
      <c r="A36" s="1190"/>
      <c r="B36" s="2156" t="s">
        <v>2420</v>
      </c>
      <c r="C36" s="2157"/>
      <c r="D36" s="2157"/>
      <c r="E36" s="2157"/>
      <c r="F36" s="2157"/>
      <c r="G36" s="2157"/>
      <c r="H36" s="2157"/>
      <c r="I36" s="2157"/>
      <c r="J36" s="2221" t="s">
        <v>2419</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2418</v>
      </c>
      <c r="C37" s="2157"/>
      <c r="D37" s="2157"/>
      <c r="E37" s="2157"/>
      <c r="F37" s="2157"/>
      <c r="G37" s="2157"/>
      <c r="H37" s="2157"/>
      <c r="I37" s="2157"/>
      <c r="J37" s="2221" t="s">
        <v>2417</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2416</v>
      </c>
      <c r="C38" s="2157"/>
      <c r="D38" s="2157"/>
      <c r="E38" s="2157"/>
      <c r="F38" s="2157"/>
      <c r="G38" s="2157"/>
      <c r="H38" s="2157"/>
      <c r="I38" s="2157"/>
      <c r="J38" s="2221" t="s">
        <v>2415</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2414</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2414</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2413</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2413</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2412</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2411</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2410</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2334</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2407</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2400</v>
      </c>
      <c r="C51" s="2099"/>
      <c r="D51" s="2099"/>
      <c r="E51" s="2099"/>
      <c r="F51" s="2099"/>
      <c r="G51" s="2099"/>
      <c r="H51" s="2099"/>
      <c r="I51" s="2099"/>
      <c r="J51" s="2099" t="s">
        <v>2406</v>
      </c>
      <c r="K51" s="2099"/>
      <c r="L51" s="2099"/>
      <c r="M51" s="2099"/>
      <c r="N51" s="2099"/>
      <c r="O51" s="2099"/>
      <c r="P51" s="2099"/>
      <c r="Q51" s="2099"/>
      <c r="R51" s="2200" t="s">
        <v>2405</v>
      </c>
      <c r="S51" s="2200"/>
      <c r="T51" s="2200"/>
      <c r="U51" s="2200"/>
      <c r="V51" s="2200"/>
      <c r="W51" s="2200"/>
      <c r="X51" s="2200"/>
      <c r="Y51" s="2200"/>
      <c r="Z51" s="2200" t="s">
        <v>2404</v>
      </c>
      <c r="AA51" s="2200"/>
      <c r="AB51" s="2200"/>
      <c r="AC51" s="2200"/>
      <c r="AD51" s="2200"/>
      <c r="AE51" s="2200"/>
      <c r="AF51" s="2200"/>
      <c r="AG51" s="2200"/>
      <c r="AH51" s="2200" t="s">
        <v>2403</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2402</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2401</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1585</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2400</v>
      </c>
      <c r="C59" s="2190"/>
      <c r="D59" s="2190"/>
      <c r="E59" s="2190"/>
      <c r="F59" s="2190"/>
      <c r="G59" s="2190"/>
      <c r="H59" s="2190"/>
      <c r="I59" s="2191"/>
      <c r="J59" s="2097" t="s">
        <v>2399</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2397</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2396</v>
      </c>
      <c r="AD68" s="2023"/>
      <c r="AE68" s="2023"/>
      <c r="AF68" s="2023"/>
      <c r="AG68" s="2023"/>
      <c r="AH68" s="2023"/>
      <c r="AI68" s="2023"/>
      <c r="AJ68" s="2023"/>
      <c r="AK68" s="2023"/>
      <c r="AL68" s="2023"/>
      <c r="AM68" s="2023"/>
      <c r="AN68" s="2023"/>
      <c r="AO68" s="2023"/>
      <c r="AP68" s="2023"/>
      <c r="AQ68" s="2023"/>
      <c r="AR68" s="2023"/>
      <c r="AS68" s="2023"/>
      <c r="AT68" s="2023"/>
      <c r="AU68" s="2023"/>
      <c r="AV68" s="2173" t="s">
        <v>670</v>
      </c>
      <c r="AW68" s="2079"/>
      <c r="AX68" s="2079"/>
      <c r="AY68" s="2079"/>
      <c r="AZ68" s="2079"/>
      <c r="BA68" s="2079"/>
      <c r="BB68" s="2079"/>
      <c r="BC68" s="2080"/>
      <c r="BD68" s="1190"/>
      <c r="BE68" s="1194"/>
      <c r="BM68" s="1199" t="s">
        <v>2395</v>
      </c>
    </row>
    <row r="69" spans="1:94" ht="15.75" customHeight="1" thickTop="1" thickBot="1">
      <c r="A69" s="1190"/>
      <c r="B69" s="2174" t="s">
        <v>2394</v>
      </c>
      <c r="C69" s="2175"/>
      <c r="D69" s="2175"/>
      <c r="E69" s="2175"/>
      <c r="F69" s="2175"/>
      <c r="G69" s="2175"/>
      <c r="H69" s="2175"/>
      <c r="I69" s="2175"/>
      <c r="J69" s="2175"/>
      <c r="K69" s="2175"/>
      <c r="L69" s="2175"/>
      <c r="M69" s="2175"/>
      <c r="N69" s="2175"/>
      <c r="O69" s="2176" t="s">
        <v>2393</v>
      </c>
      <c r="P69" s="2177"/>
      <c r="Q69" s="2177"/>
      <c r="R69" s="2177"/>
      <c r="S69" s="2177"/>
      <c r="T69" s="2177"/>
      <c r="U69" s="2177"/>
      <c r="V69" s="2177"/>
      <c r="W69" s="2177"/>
      <c r="X69" s="2177"/>
      <c r="Y69" s="2177"/>
      <c r="Z69" s="2177"/>
      <c r="AA69" s="2178"/>
      <c r="AB69" s="1190"/>
      <c r="AC69" s="2179" t="s">
        <v>2392</v>
      </c>
      <c r="AD69" s="2180"/>
      <c r="AE69" s="2180"/>
      <c r="AF69" s="2180"/>
      <c r="AG69" s="2180"/>
      <c r="AH69" s="2180"/>
      <c r="AI69" s="2180"/>
      <c r="AJ69" s="2180"/>
      <c r="AK69" s="2180"/>
      <c r="AL69" s="2180"/>
      <c r="AM69" s="2180"/>
      <c r="AN69" s="2180"/>
      <c r="AO69" s="2180"/>
      <c r="AP69" s="2180"/>
      <c r="AQ69" s="2180"/>
      <c r="AR69" s="2180"/>
      <c r="AS69" s="2180"/>
      <c r="AT69" s="2180"/>
      <c r="AU69" s="2180"/>
      <c r="AV69" s="2173" t="s">
        <v>670</v>
      </c>
      <c r="AW69" s="2079"/>
      <c r="AX69" s="2079"/>
      <c r="AY69" s="2079"/>
      <c r="AZ69" s="2079"/>
      <c r="BA69" s="2079"/>
      <c r="BB69" s="2079"/>
      <c r="BC69" s="2080"/>
      <c r="BD69" s="1190"/>
      <c r="BE69" s="1194"/>
      <c r="BM69" s="1200" t="s">
        <v>546</v>
      </c>
    </row>
    <row r="70" spans="1:94" ht="15.75" customHeight="1">
      <c r="A70" s="1190"/>
      <c r="B70" s="2156" t="s">
        <v>2391</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2390</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670</v>
      </c>
    </row>
    <row r="71" spans="1:94" ht="15.75" customHeight="1" thickBot="1">
      <c r="A71" s="1190"/>
      <c r="B71" s="2156" t="s">
        <v>2389</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2388</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2387</v>
      </c>
    </row>
    <row r="72" spans="1:94" ht="15.75" customHeight="1">
      <c r="A72" s="1190"/>
      <c r="B72" s="2156" t="s">
        <v>2386</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2385</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2384</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2329</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2382</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2381</v>
      </c>
      <c r="C81" s="2151"/>
      <c r="D81" s="2151"/>
      <c r="E81" s="2151"/>
      <c r="F81" s="2151"/>
      <c r="G81" s="2151"/>
      <c r="H81" s="2151"/>
      <c r="I81" s="2151"/>
      <c r="J81" s="2151"/>
      <c r="K81" s="2151"/>
      <c r="L81" s="2151"/>
      <c r="M81" s="2151"/>
      <c r="N81" s="2151"/>
      <c r="O81" s="2151"/>
      <c r="P81" s="2151"/>
      <c r="Q81" s="2151"/>
      <c r="R81" s="2132" t="s">
        <v>2187</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2380</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2379</v>
      </c>
      <c r="AK83" s="2121"/>
      <c r="AL83" s="2121"/>
      <c r="AM83" s="2121"/>
      <c r="AN83" s="2121"/>
      <c r="AO83" s="2121"/>
      <c r="AP83" s="2121"/>
      <c r="AQ83" s="2121"/>
      <c r="AR83" s="2121"/>
      <c r="AS83" s="2121"/>
      <c r="AT83" s="2121"/>
      <c r="AU83" s="2121"/>
      <c r="AV83" s="2121"/>
      <c r="AW83" s="2121"/>
      <c r="AX83" s="2121"/>
      <c r="AY83" s="2137" t="s">
        <v>546</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2369</v>
      </c>
      <c r="J84" s="2099"/>
      <c r="K84" s="2099"/>
      <c r="L84" s="2099"/>
      <c r="M84" s="2099"/>
      <c r="N84" s="2099"/>
      <c r="O84" s="2099" t="s">
        <v>2345</v>
      </c>
      <c r="P84" s="2099"/>
      <c r="Q84" s="2099"/>
      <c r="R84" s="2099"/>
      <c r="S84" s="2099"/>
      <c r="T84" s="2099"/>
      <c r="U84" s="2099"/>
      <c r="V84" s="2135" t="s">
        <v>2344</v>
      </c>
      <c r="W84" s="2135"/>
      <c r="X84" s="2135"/>
      <c r="Y84" s="2135"/>
      <c r="Z84" s="2135"/>
      <c r="AA84" s="2135"/>
      <c r="AB84" s="2069" t="s">
        <v>2368</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2367</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2366</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2373</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2365</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2377</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2376</v>
      </c>
      <c r="C94" s="2151"/>
      <c r="D94" s="2151"/>
      <c r="E94" s="2151"/>
      <c r="F94" s="2151"/>
      <c r="G94" s="2151"/>
      <c r="H94" s="2151"/>
      <c r="I94" s="2151"/>
      <c r="J94" s="2151"/>
      <c r="K94" s="2151"/>
      <c r="L94" s="2151"/>
      <c r="M94" s="2151"/>
      <c r="N94" s="2151"/>
      <c r="O94" s="2151"/>
      <c r="P94" s="2151"/>
      <c r="Q94" s="2152"/>
      <c r="R94" s="2132" t="s">
        <v>2187</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2375</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2374</v>
      </c>
      <c r="AK96" s="2121"/>
      <c r="AL96" s="2121"/>
      <c r="AM96" s="2121"/>
      <c r="AN96" s="2121"/>
      <c r="AO96" s="2121"/>
      <c r="AP96" s="2121"/>
      <c r="AQ96" s="2121"/>
      <c r="AR96" s="2121"/>
      <c r="AS96" s="2121"/>
      <c r="AT96" s="2121"/>
      <c r="AU96" s="2121"/>
      <c r="AV96" s="2121"/>
      <c r="AW96" s="2121"/>
      <c r="AX96" s="2121"/>
      <c r="AY96" s="2137" t="s">
        <v>546</v>
      </c>
      <c r="AZ96" s="2137"/>
      <c r="BA96" s="2137"/>
      <c r="BB96" s="2138"/>
      <c r="BC96" s="1190"/>
      <c r="BD96" s="1190"/>
      <c r="BE96" s="1194"/>
      <c r="BQ96" s="1256" t="str">
        <f>Application!M243&amp;IF(TRIM(Application!AA249)&lt;&gt;""," ("&amp;Application!AA249&amp;")","")</f>
        <v>Otay Affordable II V8, LLC (Meta Development, LLC)</v>
      </c>
      <c r="BR96" s="1259">
        <f>Application!AH246</f>
        <v>5.1000000000000004E-3</v>
      </c>
      <c r="CM96" s="1188"/>
      <c r="CN96" s="1188"/>
      <c r="CO96" s="1188"/>
      <c r="CP96" s="1188"/>
    </row>
    <row r="97" spans="1:94" ht="15.75" customHeight="1">
      <c r="A97" s="1190"/>
      <c r="B97" s="2131"/>
      <c r="C97" s="2099"/>
      <c r="D97" s="2099"/>
      <c r="E97" s="2099"/>
      <c r="F97" s="2099"/>
      <c r="G97" s="2099"/>
      <c r="H97" s="2099"/>
      <c r="I97" s="2099" t="s">
        <v>2369</v>
      </c>
      <c r="J97" s="2099"/>
      <c r="K97" s="2099"/>
      <c r="L97" s="2099"/>
      <c r="M97" s="2099"/>
      <c r="N97" s="2099"/>
      <c r="O97" s="2099" t="s">
        <v>2345</v>
      </c>
      <c r="P97" s="2099"/>
      <c r="Q97" s="2099"/>
      <c r="R97" s="2099"/>
      <c r="S97" s="2099"/>
      <c r="T97" s="2099"/>
      <c r="U97" s="2099"/>
      <c r="V97" s="2135" t="s">
        <v>2344</v>
      </c>
      <c r="W97" s="2135"/>
      <c r="X97" s="2135"/>
      <c r="Y97" s="2135"/>
      <c r="Z97" s="2135"/>
      <c r="AA97" s="2135"/>
      <c r="AB97" s="2069" t="s">
        <v>2368</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FFAH V Otay Ranch II, LLC (Foundation for Affordable Housing)</v>
      </c>
      <c r="BR97" s="1259">
        <f>Application!AH254</f>
        <v>4.8999999999999998E-3</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2367</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2366</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2373</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2365</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Solari Enterprises,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2370</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2369</v>
      </c>
      <c r="J108" s="2099"/>
      <c r="K108" s="2099"/>
      <c r="L108" s="2099"/>
      <c r="M108" s="2099"/>
      <c r="N108" s="2099"/>
      <c r="O108" s="2099" t="s">
        <v>2345</v>
      </c>
      <c r="P108" s="2099"/>
      <c r="Q108" s="2099"/>
      <c r="R108" s="2099"/>
      <c r="S108" s="2099"/>
      <c r="T108" s="2099"/>
      <c r="U108" s="2099"/>
      <c r="V108" s="2135" t="s">
        <v>2344</v>
      </c>
      <c r="W108" s="2135"/>
      <c r="X108" s="2135"/>
      <c r="Y108" s="2135"/>
      <c r="Z108" s="2135"/>
      <c r="AA108" s="2135"/>
      <c r="AB108" s="2069" t="s">
        <v>2368</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2367</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2366</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2365</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2363</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2363</v>
      </c>
      <c r="C121" s="2113"/>
      <c r="D121" s="2113"/>
      <c r="E121" s="2113"/>
      <c r="F121" s="2113"/>
      <c r="G121" s="2113"/>
      <c r="H121" s="2113"/>
      <c r="I121" s="2113"/>
      <c r="J121" s="2113"/>
      <c r="K121" s="2113"/>
      <c r="L121" s="2113"/>
      <c r="M121" s="2113"/>
      <c r="N121" s="2113"/>
      <c r="O121" s="2113"/>
      <c r="P121" s="2113"/>
      <c r="Q121" s="2113"/>
      <c r="R121" s="2113"/>
      <c r="S121" s="2113"/>
      <c r="T121" s="2113"/>
      <c r="U121" s="2116" t="s">
        <v>546</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2361</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1575</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2360</v>
      </c>
      <c r="J127" s="2099"/>
      <c r="K127" s="2099"/>
      <c r="L127" s="2099"/>
      <c r="M127" s="2099"/>
      <c r="N127" s="2099"/>
      <c r="O127" s="2100" t="s">
        <v>2359</v>
      </c>
      <c r="P127" s="2100"/>
      <c r="Q127" s="2100"/>
      <c r="R127" s="2100"/>
      <c r="S127" s="2100"/>
      <c r="T127" s="2100"/>
      <c r="U127" s="2101"/>
      <c r="V127" s="1190"/>
      <c r="W127" s="1190"/>
      <c r="X127" s="2039" t="s">
        <v>2329</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2343</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2342</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2357</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2345</v>
      </c>
      <c r="J134" s="2074"/>
      <c r="K134" s="2074"/>
      <c r="L134" s="2074"/>
      <c r="M134" s="2074"/>
      <c r="N134" s="2074"/>
      <c r="O134" s="2074"/>
      <c r="P134" s="2074" t="s">
        <v>2344</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2343</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2342</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2356</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546</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2355</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2354</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546</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2353</v>
      </c>
      <c r="C142" s="2082"/>
      <c r="D142" s="2082"/>
      <c r="E142" s="2082"/>
      <c r="F142" s="2082"/>
      <c r="G142" s="2082"/>
      <c r="H142" s="2082"/>
      <c r="I142" s="2082"/>
      <c r="J142" s="2082"/>
      <c r="K142" s="2082"/>
      <c r="L142" s="2082"/>
      <c r="M142" s="2082"/>
      <c r="N142" s="2082"/>
      <c r="O142" s="2082"/>
      <c r="P142" s="2082"/>
      <c r="Q142" s="2082"/>
      <c r="R142" s="2083" t="s">
        <v>2352</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250</v>
      </c>
      <c r="BD142" s="1190"/>
      <c r="BE142" s="1194"/>
    </row>
    <row r="143" spans="1:57" ht="15.75" customHeight="1">
      <c r="A143" s="1190"/>
      <c r="B143" s="2085" t="s">
        <v>2351</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2348</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2347</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2345</v>
      </c>
      <c r="J157" s="2074"/>
      <c r="K157" s="2074"/>
      <c r="L157" s="2074"/>
      <c r="M157" s="2074"/>
      <c r="N157" s="2074"/>
      <c r="O157" s="2074"/>
      <c r="P157" s="2074" t="s">
        <v>2346</v>
      </c>
      <c r="Q157" s="2074"/>
      <c r="R157" s="2074"/>
      <c r="S157" s="2074"/>
      <c r="T157" s="2074"/>
      <c r="U157" s="2075"/>
      <c r="V157" s="1190"/>
      <c r="W157" s="1190"/>
      <c r="X157" s="2036"/>
      <c r="Y157" s="2037"/>
      <c r="Z157" s="2037"/>
      <c r="AA157" s="2037"/>
      <c r="AB157" s="2037"/>
      <c r="AC157" s="2037"/>
      <c r="AD157" s="2037"/>
      <c r="AE157" s="2074" t="s">
        <v>2345</v>
      </c>
      <c r="AF157" s="2074"/>
      <c r="AG157" s="2074"/>
      <c r="AH157" s="2074"/>
      <c r="AI157" s="2074"/>
      <c r="AJ157" s="2074"/>
      <c r="AK157" s="2074"/>
      <c r="AL157" s="2074" t="s">
        <v>2344</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2343</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2343</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2342</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2341</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2326</v>
      </c>
      <c r="D163" s="2037"/>
      <c r="E163" s="2037"/>
      <c r="F163" s="2037"/>
      <c r="G163" s="2037"/>
      <c r="H163" s="2037"/>
      <c r="I163" s="2037"/>
      <c r="J163" s="2037"/>
      <c r="K163" s="2037"/>
      <c r="L163" s="2037"/>
      <c r="M163" s="2037"/>
      <c r="N163" s="2037"/>
      <c r="O163" s="2037"/>
      <c r="P163" s="2037"/>
      <c r="Q163" s="2037" t="s">
        <v>2340</v>
      </c>
      <c r="R163" s="2037"/>
      <c r="S163" s="2037"/>
      <c r="T163" s="2069" t="s">
        <v>2339</v>
      </c>
      <c r="U163" s="2069"/>
      <c r="V163" s="2069"/>
      <c r="W163" s="2069"/>
      <c r="X163" s="2069"/>
      <c r="Y163" s="2069"/>
      <c r="Z163" s="2069"/>
      <c r="AA163" s="2069"/>
      <c r="AB163" s="2037" t="s">
        <v>2338</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2337</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2336</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2335</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2334</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170</v>
      </c>
      <c r="D168" s="2052"/>
      <c r="E168" s="2052"/>
      <c r="F168" s="2053" t="s">
        <v>2315</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170</v>
      </c>
      <c r="D169" s="2052"/>
      <c r="E169" s="2052"/>
      <c r="F169" s="2053" t="s">
        <v>2315</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170</v>
      </c>
      <c r="D170" s="2058"/>
      <c r="E170" s="2058"/>
      <c r="F170" s="2059" t="s">
        <v>2315</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2333</v>
      </c>
      <c r="D172" s="2023"/>
      <c r="E172" s="2023"/>
      <c r="F172" s="2023"/>
      <c r="G172" s="2023"/>
      <c r="H172" s="2023"/>
      <c r="I172" s="2023"/>
      <c r="J172" s="2023"/>
      <c r="K172" s="2023"/>
      <c r="L172" s="2023"/>
      <c r="M172" s="2023"/>
      <c r="N172" s="2032"/>
      <c r="O172" s="1190"/>
      <c r="P172" s="2033" t="s">
        <v>2332</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2331</v>
      </c>
      <c r="D173" s="2037"/>
      <c r="E173" s="2037"/>
      <c r="F173" s="2037"/>
      <c r="G173" s="2037"/>
      <c r="H173" s="2037"/>
      <c r="I173" s="2037" t="s">
        <v>2330</v>
      </c>
      <c r="J173" s="2037"/>
      <c r="K173" s="2037"/>
      <c r="L173" s="2037"/>
      <c r="M173" s="2037"/>
      <c r="N173" s="2038"/>
      <c r="O173" s="1190"/>
      <c r="P173" s="2039" t="s">
        <v>2329</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2328</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2326</v>
      </c>
      <c r="D184" s="2023"/>
      <c r="E184" s="2023"/>
      <c r="F184" s="2023"/>
      <c r="G184" s="2023"/>
      <c r="H184" s="2023"/>
      <c r="I184" s="2023"/>
      <c r="J184" s="2023"/>
      <c r="K184" s="2023"/>
      <c r="L184" s="2023"/>
      <c r="M184" s="2023"/>
      <c r="N184" s="2023" t="s">
        <v>2327</v>
      </c>
      <c r="O184" s="2023"/>
      <c r="P184" s="2023"/>
      <c r="Q184" s="2023"/>
      <c r="R184" s="2023"/>
      <c r="S184" s="2023"/>
      <c r="T184" s="2023"/>
      <c r="U184" s="2024" t="s">
        <v>2326</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2325</v>
      </c>
      <c r="D185" s="2002"/>
      <c r="E185" s="2002"/>
      <c r="F185" s="2002"/>
      <c r="G185" s="2002"/>
      <c r="H185" s="2002"/>
      <c r="I185" s="2002"/>
      <c r="J185" s="2002"/>
      <c r="K185" s="2002"/>
      <c r="L185" s="2002"/>
      <c r="M185" s="2002"/>
      <c r="N185" s="2012">
        <f>'Sources and Uses Budget'!B105</f>
        <v>131632292</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2324</v>
      </c>
      <c r="D186" s="2002"/>
      <c r="E186" s="2002"/>
      <c r="F186" s="2002"/>
      <c r="G186" s="2002"/>
      <c r="H186" s="2002"/>
      <c r="I186" s="2002"/>
      <c r="J186" s="2002"/>
      <c r="K186" s="2002"/>
      <c r="L186" s="2002"/>
      <c r="M186" s="2002"/>
      <c r="N186" s="2012">
        <f>N185/J29</f>
        <v>487527.00740740739</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2323</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2322</v>
      </c>
      <c r="D188" s="2002"/>
      <c r="E188" s="2002"/>
      <c r="F188" s="2002"/>
      <c r="G188" s="2002"/>
      <c r="H188" s="2002"/>
      <c r="I188" s="2002"/>
      <c r="J188" s="2002"/>
      <c r="K188" s="2002"/>
      <c r="L188" s="2002"/>
      <c r="M188" s="2002"/>
      <c r="N188" s="2031">
        <f>SUM('Sources and Uses Budget'!B85:B86)</f>
        <v>15668787</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2321</v>
      </c>
      <c r="D189" s="2002"/>
      <c r="E189" s="2002"/>
      <c r="F189" s="2002"/>
      <c r="G189" s="2002"/>
      <c r="H189" s="2002"/>
      <c r="I189" s="2002"/>
      <c r="J189" s="2002"/>
      <c r="K189" s="2002"/>
      <c r="L189" s="2002"/>
      <c r="M189" s="2002"/>
      <c r="N189" s="2031">
        <f>'Sources and Uses Budget'!B8</f>
        <v>1</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2319</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2320</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2319</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2318</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2317</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300</v>
      </c>
      <c r="D192" s="1994"/>
      <c r="E192" s="1986" t="s">
        <v>2315</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2316</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300</v>
      </c>
      <c r="D193" s="1985"/>
      <c r="E193" s="1986" t="s">
        <v>2315</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300</v>
      </c>
      <c r="D194" s="1973"/>
      <c r="E194" s="1974" t="s">
        <v>2315</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2314</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2313</v>
      </c>
      <c r="D195" s="1956"/>
      <c r="E195" s="1956"/>
      <c r="F195" s="1956"/>
      <c r="G195" s="1956"/>
      <c r="H195" s="1956"/>
      <c r="I195" s="1956"/>
      <c r="J195" s="1956"/>
      <c r="K195" s="1956"/>
      <c r="L195" s="1956"/>
      <c r="M195" s="1956"/>
      <c r="N195" s="1957">
        <f>SUM(N187:T194)</f>
        <v>15668788</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2312</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2311</v>
      </c>
      <c r="D196" s="1966"/>
      <c r="E196" s="1966"/>
      <c r="F196" s="1966"/>
      <c r="G196" s="1966"/>
      <c r="H196" s="1966"/>
      <c r="I196" s="1966"/>
      <c r="J196" s="1966"/>
      <c r="K196" s="1966"/>
      <c r="L196" s="1966"/>
      <c r="M196" s="1966"/>
      <c r="N196" s="1967">
        <f>(N185-N195)/J29</f>
        <v>429494.45925925928</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2310</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2309</v>
      </c>
      <c r="D200" s="1953"/>
      <c r="E200" s="1953"/>
      <c r="F200" s="1953"/>
      <c r="G200" s="1953"/>
      <c r="H200" s="1953"/>
      <c r="I200" s="1953"/>
      <c r="J200" s="1953"/>
      <c r="K200" s="1953"/>
      <c r="L200" s="1953"/>
      <c r="M200" s="1953"/>
      <c r="N200" s="1953"/>
      <c r="O200" s="1954" t="s">
        <v>2308</v>
      </c>
      <c r="P200" s="1954"/>
      <c r="Q200" s="1954"/>
      <c r="R200" s="1954"/>
      <c r="S200" s="1954"/>
      <c r="T200" s="1954"/>
      <c r="U200" s="1954"/>
      <c r="V200" s="1954"/>
      <c r="W200" s="1954"/>
      <c r="X200" s="1954" t="s">
        <v>2307</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2306</v>
      </c>
      <c r="D201" s="1945"/>
      <c r="E201" s="1945"/>
      <c r="F201" s="1945"/>
      <c r="G201" s="1945"/>
      <c r="H201" s="1945"/>
      <c r="I201" s="1945"/>
      <c r="J201" s="1945"/>
      <c r="K201" s="1945"/>
      <c r="L201" s="1945"/>
      <c r="M201" s="1945"/>
      <c r="N201" s="1945"/>
      <c r="O201" s="1946" t="s">
        <v>2305</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855</v>
      </c>
      <c r="D202" s="1945"/>
      <c r="E202" s="1945"/>
      <c r="F202" s="1945"/>
      <c r="G202" s="1945"/>
      <c r="H202" s="1945"/>
      <c r="I202" s="1945"/>
      <c r="J202" s="1945"/>
      <c r="K202" s="1945"/>
      <c r="L202" s="1945"/>
      <c r="M202" s="1945"/>
      <c r="N202" s="1945"/>
      <c r="O202" s="1946" t="s">
        <v>2305</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2304</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2303</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2302</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2301</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2300</v>
      </c>
      <c r="D207" s="1924"/>
      <c r="E207" s="1924"/>
      <c r="F207" s="1925"/>
      <c r="G207" s="1929" t="s">
        <v>2299</v>
      </c>
      <c r="H207" s="1924"/>
      <c r="I207" s="1924"/>
      <c r="J207" s="1924"/>
      <c r="K207" s="1924"/>
      <c r="L207" s="1924"/>
      <c r="M207" s="1924"/>
      <c r="N207" s="1924"/>
      <c r="O207" s="1925"/>
      <c r="P207" s="1931" t="s">
        <v>2298</v>
      </c>
      <c r="Q207" s="1932"/>
      <c r="R207" s="1932"/>
      <c r="S207" s="1932"/>
      <c r="T207" s="1933"/>
      <c r="U207" s="1937" t="s">
        <v>2297</v>
      </c>
      <c r="V207" s="1938"/>
      <c r="W207" s="1938"/>
      <c r="X207" s="1939"/>
      <c r="Y207" s="1937" t="s">
        <v>2296</v>
      </c>
      <c r="Z207" s="1938"/>
      <c r="AA207" s="1938"/>
      <c r="AB207" s="1939"/>
      <c r="AC207" s="1937" t="s">
        <v>2295</v>
      </c>
      <c r="AD207" s="1938"/>
      <c r="AE207" s="1938"/>
      <c r="AF207" s="1939"/>
      <c r="AG207" s="1929" t="s">
        <v>2294</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1883</v>
      </c>
      <c r="H209" s="1914"/>
      <c r="I209" s="1914"/>
      <c r="J209" s="1914"/>
      <c r="K209" s="1914"/>
      <c r="L209" s="1914"/>
      <c r="M209" s="1914"/>
      <c r="N209" s="1914"/>
      <c r="O209" s="1914"/>
      <c r="P209" s="1915"/>
      <c r="Q209" s="1918"/>
      <c r="R209" s="1918"/>
      <c r="S209" s="1918"/>
      <c r="T209" s="1918"/>
      <c r="U209" s="1916" t="s">
        <v>1883</v>
      </c>
      <c r="V209" s="1916"/>
      <c r="W209" s="1916"/>
      <c r="X209" s="1916"/>
      <c r="Y209" s="1916" t="s">
        <v>1883</v>
      </c>
      <c r="Z209" s="1916"/>
      <c r="AA209" s="1916"/>
      <c r="AB209" s="1916"/>
      <c r="AC209" s="1917" t="s">
        <v>1883</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1883</v>
      </c>
      <c r="H210" s="1914"/>
      <c r="I210" s="1914"/>
      <c r="J210" s="1914"/>
      <c r="K210" s="1914"/>
      <c r="L210" s="1914"/>
      <c r="M210" s="1914"/>
      <c r="N210" s="1914"/>
      <c r="O210" s="1914"/>
      <c r="P210" s="1915"/>
      <c r="Q210" s="1915"/>
      <c r="R210" s="1915"/>
      <c r="S210" s="1915"/>
      <c r="T210" s="1915"/>
      <c r="U210" s="1916" t="s">
        <v>1883</v>
      </c>
      <c r="V210" s="1916"/>
      <c r="W210" s="1916"/>
      <c r="X210" s="1916"/>
      <c r="Y210" s="1916" t="s">
        <v>1883</v>
      </c>
      <c r="Z210" s="1916"/>
      <c r="AA210" s="1916"/>
      <c r="AB210" s="1916"/>
      <c r="AC210" s="1917" t="s">
        <v>1883</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1883</v>
      </c>
      <c r="H211" s="1914"/>
      <c r="I211" s="1914"/>
      <c r="J211" s="1914"/>
      <c r="K211" s="1914"/>
      <c r="L211" s="1914"/>
      <c r="M211" s="1914"/>
      <c r="N211" s="1914"/>
      <c r="O211" s="1914"/>
      <c r="P211" s="1915"/>
      <c r="Q211" s="1915"/>
      <c r="R211" s="1915"/>
      <c r="S211" s="1915"/>
      <c r="T211" s="1915"/>
      <c r="U211" s="1916" t="s">
        <v>1883</v>
      </c>
      <c r="V211" s="1916"/>
      <c r="W211" s="1916"/>
      <c r="X211" s="1916"/>
      <c r="Y211" s="1916" t="s">
        <v>1883</v>
      </c>
      <c r="Z211" s="1916"/>
      <c r="AA211" s="1916"/>
      <c r="AB211" s="1916"/>
      <c r="AC211" s="1917" t="s">
        <v>1883</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1883</v>
      </c>
      <c r="H212" s="1914"/>
      <c r="I212" s="1914"/>
      <c r="J212" s="1914"/>
      <c r="K212" s="1914"/>
      <c r="L212" s="1914"/>
      <c r="M212" s="1914"/>
      <c r="N212" s="1914"/>
      <c r="O212" s="1914"/>
      <c r="P212" s="1915"/>
      <c r="Q212" s="1915"/>
      <c r="R212" s="1915"/>
      <c r="S212" s="1915"/>
      <c r="T212" s="1915"/>
      <c r="U212" s="1916" t="s">
        <v>1883</v>
      </c>
      <c r="V212" s="1916"/>
      <c r="W212" s="1916"/>
      <c r="X212" s="1916"/>
      <c r="Y212" s="1916" t="s">
        <v>1883</v>
      </c>
      <c r="Z212" s="1916"/>
      <c r="AA212" s="1916"/>
      <c r="AB212" s="1916"/>
      <c r="AC212" s="1917" t="s">
        <v>1883</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1883</v>
      </c>
      <c r="H213" s="1914"/>
      <c r="I213" s="1914"/>
      <c r="J213" s="1914"/>
      <c r="K213" s="1914"/>
      <c r="L213" s="1914"/>
      <c r="M213" s="1914"/>
      <c r="N213" s="1914"/>
      <c r="O213" s="1914"/>
      <c r="P213" s="1915"/>
      <c r="Q213" s="1915"/>
      <c r="R213" s="1915"/>
      <c r="S213" s="1915"/>
      <c r="T213" s="1915"/>
      <c r="U213" s="1916" t="s">
        <v>1883</v>
      </c>
      <c r="V213" s="1916"/>
      <c r="W213" s="1916"/>
      <c r="X213" s="1916"/>
      <c r="Y213" s="1916" t="s">
        <v>1883</v>
      </c>
      <c r="Z213" s="1916"/>
      <c r="AA213" s="1916"/>
      <c r="AB213" s="1916"/>
      <c r="AC213" s="1917" t="s">
        <v>1883</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1883</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1883</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1883</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2293</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2291</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2290</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2289</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2288</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2286</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2285</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2284</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2283</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2282</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442</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2281</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2280</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8"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1279</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122927565</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498</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499</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500</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501</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806</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502</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565" t="s">
        <v>960</v>
      </c>
      <c r="D18" s="1565"/>
      <c r="E18" s="1565"/>
      <c r="F18" s="1565"/>
      <c r="G18" s="1565"/>
      <c r="H18" s="1565"/>
      <c r="I18" s="1565"/>
      <c r="J18" s="1565"/>
      <c r="K18" s="1565"/>
      <c r="L18" s="1565"/>
      <c r="M18" s="1565"/>
      <c r="N18" s="1565"/>
      <c r="O18" s="1565"/>
      <c r="P18" s="1565"/>
      <c r="Q18" s="1565"/>
      <c r="R18" s="1565"/>
      <c r="S18" s="1566"/>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565" t="s">
        <v>960</v>
      </c>
      <c r="D19" s="1565"/>
      <c r="E19" s="1565"/>
      <c r="F19" s="1565"/>
      <c r="G19" s="1565"/>
      <c r="H19" s="1565"/>
      <c r="I19" s="1565"/>
      <c r="J19" s="1565"/>
      <c r="K19" s="1565"/>
      <c r="L19" s="1565"/>
      <c r="M19" s="1565"/>
      <c r="N19" s="1565"/>
      <c r="O19" s="1565"/>
      <c r="P19" s="1565"/>
      <c r="Q19" s="1565"/>
      <c r="R19" s="1565"/>
      <c r="S19" s="1566"/>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503</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1262</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504</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505</v>
      </c>
      <c r="C23" s="2339"/>
      <c r="D23" s="2339"/>
      <c r="E23" s="2339"/>
      <c r="F23" s="2339"/>
      <c r="G23" s="2339"/>
      <c r="H23" s="2339"/>
      <c r="I23" s="2339"/>
      <c r="J23" s="2339"/>
      <c r="K23" s="2339"/>
      <c r="L23" s="2339"/>
      <c r="M23" s="2339"/>
      <c r="N23" s="2339"/>
      <c r="O23" s="2339"/>
      <c r="P23" s="2339"/>
      <c r="Q23" s="2339"/>
      <c r="R23" s="2339"/>
      <c r="S23" s="2340"/>
      <c r="T23" s="2351">
        <f>T11+T22</f>
        <v>122927565</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Application!AJ1053</f>
        <v>186168763.03999999</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1263</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506</v>
      </c>
      <c r="C26" s="2339"/>
      <c r="D26" s="2339"/>
      <c r="E26" s="2339"/>
      <c r="F26" s="2339"/>
      <c r="G26" s="2339"/>
      <c r="H26" s="2339"/>
      <c r="I26" s="2339"/>
      <c r="J26" s="2339"/>
      <c r="K26" s="2339"/>
      <c r="L26" s="2339"/>
      <c r="M26" s="2339"/>
      <c r="N26" s="2339"/>
      <c r="O26" s="2339"/>
      <c r="P26" s="2339"/>
      <c r="Q26" s="2339"/>
      <c r="R26" s="2339"/>
      <c r="S26" s="2340"/>
      <c r="T26" s="2351">
        <f>T23*T25</f>
        <v>159805834.5</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507</v>
      </c>
      <c r="C28" s="2339"/>
      <c r="D28" s="2339"/>
      <c r="E28" s="2339"/>
      <c r="F28" s="2339"/>
      <c r="G28" s="2339"/>
      <c r="H28" s="2339"/>
      <c r="I28" s="2339"/>
      <c r="J28" s="2339"/>
      <c r="K28" s="2339"/>
      <c r="L28" s="2339"/>
      <c r="M28" s="2339"/>
      <c r="N28" s="2339"/>
      <c r="O28" s="2339"/>
      <c r="P28" s="2339"/>
      <c r="Q28" s="2339"/>
      <c r="R28" s="2339"/>
      <c r="S28" s="2340"/>
      <c r="T28" s="2351">
        <f>IF(ISERROR((T26*T27)),0,(T26*T27))</f>
        <v>159805834.5</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524</v>
      </c>
      <c r="C29" s="2339"/>
      <c r="D29" s="2339"/>
      <c r="E29" s="2339"/>
      <c r="F29" s="2339"/>
      <c r="G29" s="2339"/>
      <c r="H29" s="2339"/>
      <c r="I29" s="2339"/>
      <c r="J29" s="2339"/>
      <c r="K29" s="2339"/>
      <c r="L29" s="2339"/>
      <c r="M29" s="2339"/>
      <c r="N29" s="2339"/>
      <c r="O29" s="2339"/>
      <c r="P29" s="2339"/>
      <c r="Q29" s="2339"/>
      <c r="R29" s="2339"/>
      <c r="S29" s="2340"/>
      <c r="T29" s="2342">
        <f>T28+Y28+AD28+AI28</f>
        <v>159805834.5</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1265</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1264</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1153</v>
      </c>
      <c r="Z35" s="2352"/>
      <c r="AA35" s="2352"/>
      <c r="AB35" s="2352"/>
      <c r="AC35" s="2352"/>
      <c r="AD35" s="2353" t="s">
        <v>369</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159805834.5</v>
      </c>
      <c r="Z38" s="2332"/>
      <c r="AA38" s="2332"/>
      <c r="AB38" s="2332"/>
      <c r="AC38" s="2332"/>
      <c r="AD38" s="2332">
        <f>IF(T24&gt;=(T23+Y23+AD23+AI23),AD28+AI28,0)</f>
        <v>0</v>
      </c>
      <c r="AE38" s="2332"/>
      <c r="AF38" s="2332"/>
      <c r="AG38" s="2332"/>
      <c r="AH38" s="2332"/>
    </row>
    <row r="39" spans="1:76" ht="12.95" customHeight="1">
      <c r="B39" s="2338" t="s">
        <v>1690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643</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6392233</v>
      </c>
      <c r="Z40" s="2332"/>
      <c r="AA40" s="2332"/>
      <c r="AB40" s="2332"/>
      <c r="AC40" s="2332"/>
      <c r="AD40" s="2351">
        <f>ROUND(AD38*AD39,0)</f>
        <v>0</v>
      </c>
      <c r="AE40" s="2332"/>
      <c r="AF40" s="2332"/>
      <c r="AG40" s="2332"/>
      <c r="AH40" s="2332"/>
    </row>
    <row r="41" spans="1:76" ht="12.95" customHeight="1">
      <c r="B41" s="2338" t="s">
        <v>644</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6392233</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1275</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587</v>
      </c>
      <c r="C46" s="404" t="s">
        <v>282</v>
      </c>
    </row>
    <row r="47" spans="1:76" ht="12.95" customHeight="1">
      <c r="D47" s="404" t="s">
        <v>283</v>
      </c>
      <c r="AB47" s="2346">
        <f>'Sources and Uses Budget'!B105-MAX(IF('Sources and Uses Budget'!B15="",0,'Sources and Uses Budget'!B15),IF(Application!AG394="",0,Application!AG394))</f>
        <v>131632292</v>
      </c>
      <c r="AC47" s="2347"/>
      <c r="AD47" s="2347"/>
      <c r="AE47" s="2347"/>
      <c r="AF47" s="2348"/>
    </row>
    <row r="48" spans="1:76" ht="12.95" customHeight="1">
      <c r="D48" s="404" t="s">
        <v>21</v>
      </c>
      <c r="AB48" s="2346">
        <f>Application!AO639-MAX(IF('Sources and Uses Budget'!B15="",0,'Sources and Uses Budget'!B15),IF(Application!AG394="",0,Application!AG394))</f>
        <v>76659088</v>
      </c>
      <c r="AC48" s="2347"/>
      <c r="AD48" s="2347"/>
      <c r="AE48" s="2347"/>
      <c r="AF48" s="2348"/>
    </row>
    <row r="49" spans="1:76" ht="12.95" customHeight="1">
      <c r="D49" s="404" t="s">
        <v>91</v>
      </c>
      <c r="AB49" s="2346">
        <f>AB47-AB48</f>
        <v>54973204</v>
      </c>
      <c r="AC49" s="2347"/>
      <c r="AD49" s="2347"/>
      <c r="AE49" s="2347"/>
      <c r="AF49" s="2348"/>
    </row>
    <row r="50" spans="1:76" ht="12.95" customHeight="1">
      <c r="D50" s="404" t="s">
        <v>682</v>
      </c>
      <c r="AA50" s="415"/>
      <c r="AB50" s="2334">
        <v>0.86</v>
      </c>
      <c r="AC50" s="2335"/>
      <c r="AD50" s="2335"/>
      <c r="AE50" s="2335"/>
      <c r="AF50" s="2336"/>
    </row>
    <row r="51" spans="1:76" s="417" customFormat="1" ht="12.95" customHeight="1">
      <c r="A51" s="402"/>
      <c r="B51" s="402"/>
      <c r="C51" s="402"/>
      <c r="D51" s="402"/>
      <c r="E51" s="2345" t="s">
        <v>2610</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63922330</v>
      </c>
      <c r="AC54" s="2347"/>
      <c r="AD54" s="2347"/>
      <c r="AE54" s="2347"/>
      <c r="AF54" s="2348"/>
    </row>
    <row r="55" spans="1:76" ht="12.95" customHeight="1">
      <c r="D55" s="404" t="s">
        <v>333</v>
      </c>
      <c r="AB55" s="2346">
        <f>(AB54/10)</f>
        <v>6392233</v>
      </c>
      <c r="AC55" s="2347"/>
      <c r="AD55" s="2347"/>
      <c r="AE55" s="2347"/>
      <c r="AF55" s="2348"/>
    </row>
    <row r="56" spans="1:76" ht="12.95" customHeight="1">
      <c r="D56" s="404" t="s">
        <v>757</v>
      </c>
      <c r="AB56" s="2346">
        <f>ROUND((IF((Y41&lt;AB55),Y41,AB55)),0)</f>
        <v>6392233</v>
      </c>
      <c r="AC56" s="2347"/>
      <c r="AD56" s="2347"/>
      <c r="AE56" s="2347"/>
      <c r="AF56" s="2348"/>
    </row>
    <row r="57" spans="1:76" ht="12.95" customHeight="1">
      <c r="D57" s="404" t="s">
        <v>756</v>
      </c>
      <c r="AB57" s="2346">
        <f>ROUND((10*AB56*AB50),0)</f>
        <v>54973204</v>
      </c>
      <c r="AC57" s="2347"/>
      <c r="AD57" s="2347"/>
      <c r="AE57" s="2347"/>
      <c r="AF57" s="2348"/>
    </row>
    <row r="58" spans="1:76" ht="12.95" customHeight="1">
      <c r="D58" s="404"/>
      <c r="AB58" s="423"/>
      <c r="AC58" s="423"/>
      <c r="AD58" s="423"/>
      <c r="AE58" s="423"/>
      <c r="AF58" s="423"/>
    </row>
    <row r="59" spans="1:76" ht="12.95" customHeight="1">
      <c r="D59" s="404" t="s">
        <v>755</v>
      </c>
      <c r="AB59" s="2330">
        <f>AB49-AB57</f>
        <v>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590</v>
      </c>
      <c r="C63" s="205" t="s">
        <v>1247</v>
      </c>
      <c r="Y63" s="2341" t="s">
        <v>983</v>
      </c>
      <c r="Z63" s="2341"/>
      <c r="AA63" s="2341"/>
      <c r="AB63" s="2341"/>
      <c r="AC63" s="2341"/>
      <c r="AD63" s="2341" t="s">
        <v>369</v>
      </c>
      <c r="AE63" s="2341"/>
      <c r="AF63" s="2341"/>
      <c r="AG63" s="2341"/>
      <c r="AH63" s="2341"/>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v>
      </c>
      <c r="Z67" s="2331"/>
      <c r="AA67" s="2331"/>
      <c r="AB67" s="2331"/>
      <c r="AC67" s="2331"/>
      <c r="AD67" s="2331">
        <f>IF(Application!Z205="15% set-aside with qualifying low value rehab", 0.95,IF(OR(Application!D211="At-Risk",'Points System'!B13="Yes"),0.13,0))</f>
        <v>0</v>
      </c>
      <c r="AE67" s="2331"/>
      <c r="AF67" s="2331"/>
      <c r="AG67" s="2331"/>
      <c r="AH67" s="2331"/>
    </row>
    <row r="68" spans="1:36" ht="12.95" customHeight="1">
      <c r="C68" s="404"/>
      <c r="D68" s="205" t="s">
        <v>2223</v>
      </c>
      <c r="Y68" s="2332">
        <f>ROUND(Y64*Y67,0)</f>
        <v>0</v>
      </c>
      <c r="Z68" s="2333"/>
      <c r="AA68" s="2333"/>
      <c r="AB68" s="2333"/>
      <c r="AC68" s="2333"/>
      <c r="AD68" s="2332">
        <f>ROUND(AD64*AD67,0)</f>
        <v>0</v>
      </c>
      <c r="AE68" s="2333"/>
      <c r="AF68" s="2333"/>
      <c r="AG68" s="2333"/>
      <c r="AH68" s="2333"/>
    </row>
    <row r="69" spans="1:36" ht="12.95" customHeight="1">
      <c r="C69" s="404"/>
      <c r="D69" s="205" t="s">
        <v>2224</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1249</v>
      </c>
      <c r="AB72" s="2334"/>
      <c r="AC72" s="2335"/>
      <c r="AD72" s="2335"/>
      <c r="AE72" s="2335"/>
      <c r="AF72" s="2336"/>
    </row>
    <row r="73" spans="1:36" ht="12.95" customHeight="1">
      <c r="A73" s="404"/>
      <c r="C73" s="404"/>
      <c r="D73" s="404"/>
      <c r="E73" s="2337" t="s">
        <v>1250</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25">
        <f>ROUND(IF(ISERROR((AB59/AB72)),0,(AB59/AB72)),0)</f>
        <v>0</v>
      </c>
      <c r="AC77" s="2325"/>
      <c r="AD77" s="2325"/>
      <c r="AE77" s="2325"/>
      <c r="AF77" s="2325"/>
    </row>
    <row r="78" spans="1:36" ht="12.95" customHeight="1">
      <c r="C78" s="404"/>
      <c r="D78" s="205" t="s">
        <v>1252</v>
      </c>
      <c r="AB78" s="2326">
        <f>ROUNDUP(MIN(Y69,AB77),0)</f>
        <v>0</v>
      </c>
      <c r="AC78" s="2327"/>
      <c r="AD78" s="2327"/>
      <c r="AE78" s="2327"/>
      <c r="AF78" s="2328"/>
    </row>
    <row r="79" spans="1:36" ht="12.95" customHeight="1">
      <c r="C79" s="404"/>
      <c r="D79" s="205" t="s">
        <v>1253</v>
      </c>
      <c r="AB79" s="2329">
        <f>AB78*AB72</f>
        <v>0</v>
      </c>
      <c r="AC79" s="2329"/>
      <c r="AD79" s="2329"/>
      <c r="AE79" s="2329"/>
      <c r="AF79" s="2329"/>
    </row>
    <row r="80" spans="1:36" ht="12.95" customHeight="1">
      <c r="C80" s="404"/>
      <c r="D80" s="404"/>
      <c r="AB80" s="425"/>
      <c r="AC80" s="425"/>
      <c r="AD80" s="425"/>
      <c r="AE80" s="425"/>
      <c r="AF80" s="425"/>
    </row>
    <row r="81" spans="1:78" ht="12.95" customHeight="1">
      <c r="D81" s="404" t="s">
        <v>755</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06" workbookViewId="0">
      <selection activeCell="H779" sqref="H779:I77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3" t="s">
        <v>1299</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1304</v>
      </c>
      <c r="AF7" s="2404"/>
      <c r="AG7" s="2404"/>
      <c r="AH7" s="2404"/>
      <c r="AI7" s="2404"/>
      <c r="AJ7" s="2404"/>
      <c r="AK7" s="2404"/>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592</v>
      </c>
      <c r="C13" s="2394"/>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592</v>
      </c>
      <c r="C16" s="2394"/>
      <c r="D16" s="547"/>
      <c r="E16" s="2405" t="s">
        <v>1306</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592</v>
      </c>
      <c r="C22" s="2394"/>
      <c r="D22" s="547"/>
      <c r="E22" s="2430" t="s">
        <v>1309</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592</v>
      </c>
      <c r="C25" s="2394"/>
      <c r="D25" s="547"/>
      <c r="E25" s="2395" t="s">
        <v>2032</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592</v>
      </c>
      <c r="C28" s="2394"/>
      <c r="D28" s="547"/>
      <c r="E28" s="2418" t="s">
        <v>2247</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394" t="s">
        <v>592</v>
      </c>
      <c r="C33" s="2394"/>
      <c r="D33" s="547"/>
      <c r="E33" s="2430" t="s">
        <v>2249</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592</v>
      </c>
      <c r="C36" s="2394"/>
      <c r="D36" s="547"/>
      <c r="E36" s="2395" t="s">
        <v>2250</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4" t="s">
        <v>592</v>
      </c>
      <c r="C40" s="2394"/>
      <c r="D40" s="547"/>
      <c r="E40" s="2395" t="s">
        <v>2248</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592</v>
      </c>
      <c r="C45" s="2394"/>
      <c r="D45" s="1142"/>
      <c r="E45" s="2395" t="s">
        <v>2007</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592</v>
      </c>
      <c r="C52" s="2394"/>
      <c r="D52" s="540"/>
      <c r="E52" s="2395" t="s">
        <v>2012</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592</v>
      </c>
      <c r="C56" s="2394"/>
      <c r="D56" s="540"/>
      <c r="E56" s="2415" t="s">
        <v>2013</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592</v>
      </c>
      <c r="C58" s="2394"/>
      <c r="D58" s="540"/>
      <c r="E58" s="2395" t="s">
        <v>2014</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27">
        <f>AO39</f>
        <v>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1313</v>
      </c>
      <c r="AF65" s="2404"/>
      <c r="AG65" s="2404"/>
      <c r="AH65" s="2404"/>
      <c r="AI65" s="2404"/>
      <c r="AJ65" s="2404"/>
      <c r="AK65" s="2404"/>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592</v>
      </c>
      <c r="C68" s="2394"/>
      <c r="D68" s="547" t="s">
        <v>1314</v>
      </c>
      <c r="E68" s="2405" t="s">
        <v>2015</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10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10</v>
      </c>
      <c r="AP71" s="574" t="s">
        <v>1315</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546</v>
      </c>
      <c r="C74" s="2394"/>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592</v>
      </c>
      <c r="F75" s="2394"/>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592</v>
      </c>
      <c r="F76" s="2393"/>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592</v>
      </c>
      <c r="F77" s="2393"/>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546</v>
      </c>
      <c r="F79" s="2394"/>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592</v>
      </c>
      <c r="C81" s="2394"/>
      <c r="D81" s="547" t="s">
        <v>1319</v>
      </c>
      <c r="E81" s="2395" t="s">
        <v>1739</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27">
        <f>IF(AK62&gt;0,0,AO71)</f>
        <v>10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1304</v>
      </c>
      <c r="AF87" s="2404"/>
      <c r="AG87" s="2404"/>
      <c r="AH87" s="2404"/>
      <c r="AI87" s="2404"/>
      <c r="AJ87" s="2404"/>
      <c r="AK87" s="2404"/>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592</v>
      </c>
      <c r="C90" s="2394"/>
      <c r="D90" s="547" t="s">
        <v>1314</v>
      </c>
      <c r="E90" s="2405" t="s">
        <v>1324</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0.6</v>
      </c>
      <c r="F93" s="2389"/>
      <c r="G93" s="2389"/>
      <c r="H93" s="2389"/>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0</v>
      </c>
      <c r="F94" s="2391"/>
      <c r="G94" s="2391"/>
      <c r="H94" s="2391"/>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0</v>
      </c>
      <c r="F95" s="2422"/>
      <c r="G95" s="2422"/>
      <c r="H95" s="2422"/>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546</v>
      </c>
      <c r="C98" s="2394"/>
      <c r="D98" s="547" t="s">
        <v>1316</v>
      </c>
      <c r="E98" s="2405" t="s">
        <v>1724</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0.6</v>
      </c>
      <c r="F103" s="2389"/>
      <c r="G103" s="2389"/>
      <c r="H103" s="2389"/>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0.12734082397003746</v>
      </c>
      <c r="F104" s="2389"/>
      <c r="G104" s="2389"/>
      <c r="H104" s="2389"/>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7.4906367041198504E-2</v>
      </c>
      <c r="F105" s="2389"/>
      <c r="G105" s="2389"/>
      <c r="H105" s="2389"/>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1313</v>
      </c>
      <c r="AF112" s="2404"/>
      <c r="AG112" s="2404"/>
      <c r="AH112" s="2404"/>
      <c r="AI112" s="2404"/>
      <c r="AJ112" s="2404"/>
      <c r="AK112" s="2404"/>
      <c r="AL112" s="540"/>
      <c r="AM112" s="540"/>
      <c r="AN112" s="535"/>
      <c r="AO112" s="536" t="str">
        <f>Application!B718</f>
        <v>1 Bedroom</v>
      </c>
      <c r="AQ112" s="536">
        <f>Application!O718</f>
        <v>837</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1457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1767</v>
      </c>
    </row>
    <row r="115" spans="1:52" s="536" customFormat="1" ht="12.75" customHeight="1">
      <c r="A115" s="540"/>
      <c r="B115" s="2394" t="s">
        <v>546</v>
      </c>
      <c r="C115" s="2394"/>
      <c r="D115" s="547" t="s">
        <v>1314</v>
      </c>
      <c r="E115" s="2405" t="s">
        <v>1856</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2 Bedrooms</v>
      </c>
      <c r="AQ115" s="536">
        <f>Application!O721</f>
        <v>1728</v>
      </c>
      <c r="AU115" s="536" t="s">
        <v>1839</v>
      </c>
      <c r="AV115" s="595" t="s">
        <v>1840</v>
      </c>
      <c r="AW115" s="536" t="s">
        <v>1841</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2 Bedrooms</v>
      </c>
      <c r="AQ116" s="536">
        <f>Application!O722</f>
        <v>2100.1999999999998</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2 Bedrooms</v>
      </c>
      <c r="AQ117" s="536">
        <f>Application!O723</f>
        <v>2472.3999999999996</v>
      </c>
      <c r="AU117" s="856" t="str">
        <f>J124</f>
        <v>1-bedroom</v>
      </c>
      <c r="AV117" s="536">
        <f t="array" ref="AV117">SUM(IF(Application!B718:F752="1 Bedroom",Application!G718:J752))</f>
        <v>120</v>
      </c>
      <c r="AW117" s="1011">
        <f>AV117/AV122</f>
        <v>0.449438202247191</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t="str">
        <f>Application!B724</f>
        <v>3 Bedrooms</v>
      </c>
      <c r="AQ118" s="536">
        <f>Application!O724</f>
        <v>1116</v>
      </c>
      <c r="AU118" s="856" t="str">
        <f>O124</f>
        <v>2-bedroom</v>
      </c>
      <c r="AV118" s="536">
        <f t="array" ref="AV118">SUM(IF(Application!B718:F752="2 Bedrooms",Application!G718:J752))</f>
        <v>78</v>
      </c>
      <c r="AW118" s="1011">
        <f>AV118/AV122</f>
        <v>0.29213483146067415</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t="str">
        <f>Application!B725</f>
        <v>3 Bedrooms</v>
      </c>
      <c r="AQ119" s="536">
        <f>Application!O725</f>
        <v>2836</v>
      </c>
      <c r="AU119" s="856" t="str">
        <f>T124</f>
        <v>3-bedroom</v>
      </c>
      <c r="AV119" s="536">
        <f t="array" ref="AV119">SUM(IF(Application!B718:F752="3 Bedrooms",Application!G718:J752))</f>
        <v>69</v>
      </c>
      <c r="AW119" s="1011">
        <f>AV119/AV122</f>
        <v>0.25842696629213485</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267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1587</v>
      </c>
      <c r="F124" s="2389"/>
      <c r="G124" s="2389"/>
      <c r="H124" s="2389"/>
      <c r="I124" s="577"/>
      <c r="J124" s="2389" t="s">
        <v>1630</v>
      </c>
      <c r="K124" s="2389"/>
      <c r="L124" s="2389"/>
      <c r="M124" s="2389"/>
      <c r="N124" s="577"/>
      <c r="O124" s="2389" t="s">
        <v>1631</v>
      </c>
      <c r="P124" s="2389"/>
      <c r="Q124" s="2389"/>
      <c r="R124" s="2389"/>
      <c r="S124" s="577"/>
      <c r="T124" s="2389" t="s">
        <v>1333</v>
      </c>
      <c r="U124" s="2389"/>
      <c r="V124" s="2389"/>
      <c r="W124" s="2389"/>
      <c r="X124" s="577"/>
      <c r="Y124" s="2389" t="s">
        <v>1632</v>
      </c>
      <c r="Z124" s="2389"/>
      <c r="AA124" s="2389"/>
      <c r="AB124" s="2389"/>
      <c r="AC124" s="577"/>
      <c r="AD124" s="2389" t="s">
        <v>1633</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c r="F127" s="2449"/>
      <c r="G127" s="2449"/>
      <c r="H127" s="2449"/>
      <c r="I127" s="864"/>
      <c r="J127" s="2449">
        <v>2793</v>
      </c>
      <c r="K127" s="2449"/>
      <c r="L127" s="2449"/>
      <c r="M127" s="2449"/>
      <c r="N127" s="864"/>
      <c r="O127" s="2449">
        <v>3377</v>
      </c>
      <c r="P127" s="2449"/>
      <c r="Q127" s="2449"/>
      <c r="R127" s="2449"/>
      <c r="S127" s="864"/>
      <c r="T127" s="2449">
        <v>4138</v>
      </c>
      <c r="U127" s="2449"/>
      <c r="V127" s="2449"/>
      <c r="W127" s="2449"/>
      <c r="X127" s="864"/>
      <c r="Y127" s="2449"/>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0</v>
      </c>
      <c r="F130" s="2442"/>
      <c r="G130" s="2442"/>
      <c r="H130" s="2442"/>
      <c r="I130" s="864"/>
      <c r="J130" s="2442">
        <f>Application!EC670</f>
        <v>1526.7500000000002</v>
      </c>
      <c r="K130" s="2442"/>
      <c r="L130" s="2442"/>
      <c r="M130" s="2442"/>
      <c r="N130" s="864"/>
      <c r="O130" s="2442">
        <f>Application!EH670</f>
        <v>2348.333333333333</v>
      </c>
      <c r="P130" s="2442"/>
      <c r="Q130" s="2442"/>
      <c r="R130" s="2442"/>
      <c r="S130" s="868"/>
      <c r="T130" s="2442">
        <f>Application!EM670</f>
        <v>2661.5072463768115</v>
      </c>
      <c r="U130" s="2442"/>
      <c r="V130" s="2442"/>
      <c r="W130" s="2442"/>
      <c r="X130" s="868"/>
      <c r="Y130" s="2442">
        <f>Application!ER670</f>
        <v>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t="e">
        <f>(E127-E130)/E127</f>
        <v>#DIV/0!</v>
      </c>
      <c r="F133" s="2391"/>
      <c r="G133" s="2391"/>
      <c r="H133" s="2641"/>
      <c r="I133" s="577"/>
      <c r="J133" s="2640">
        <f>(J127-J130)/J127</f>
        <v>0.4533655567490153</v>
      </c>
      <c r="K133" s="2391"/>
      <c r="L133" s="2391"/>
      <c r="M133" s="2641"/>
      <c r="N133" s="577"/>
      <c r="O133" s="2640">
        <f>(O127-O130)/O127</f>
        <v>0.30460961405586823</v>
      </c>
      <c r="P133" s="2391"/>
      <c r="Q133" s="2391"/>
      <c r="R133" s="2641"/>
      <c r="S133" s="577"/>
      <c r="T133" s="2640">
        <f>(T127-T130)/T127</f>
        <v>0.35681313524001657</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t="e">
        <f>IF(((E133-0.1)*AW116)&gt;0,((E133-0.1)*AW116),0)</f>
        <v>#DIV/0!</v>
      </c>
      <c r="F136" s="2444"/>
      <c r="G136" s="2444"/>
      <c r="H136" s="2445"/>
      <c r="I136" s="577"/>
      <c r="J136" s="2443">
        <f>IF(((J133-0.1)*AW117)&gt;0,((J133-0.1)*AW117),0)</f>
        <v>0.15881598056135518</v>
      </c>
      <c r="K136" s="2444"/>
      <c r="L136" s="2444"/>
      <c r="M136" s="2445"/>
      <c r="N136" s="577"/>
      <c r="O136" s="2443">
        <f>IF(((O133-0.1)*AW118)&gt;0,((O133-0.1)*AW118),0)</f>
        <v>5.977359511744465E-2</v>
      </c>
      <c r="P136" s="2444"/>
      <c r="Q136" s="2444"/>
      <c r="R136" s="2445"/>
      <c r="S136" s="577"/>
      <c r="T136" s="2443">
        <f>IF(((T133-0.1)*AW119)&gt;0,((T133-0.1)*AW119),0)</f>
        <v>6.6367439444049242E-2</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0.28000000000000003</v>
      </c>
      <c r="F138" s="2391"/>
      <c r="G138" s="2391"/>
      <c r="H138" s="2641"/>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4" t="s">
        <v>1313</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1337</v>
      </c>
      <c r="AG148" s="2439"/>
      <c r="AH148" s="2439"/>
      <c r="AI148" s="2439"/>
      <c r="AJ148" s="2439"/>
      <c r="AK148" s="2439"/>
      <c r="AL148" s="243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
        <v>2745</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66" t="s">
        <v>1340</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67" t="s">
        <v>592</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66" t="s">
        <v>1342</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2474</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2475</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2473</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592</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1351</v>
      </c>
      <c r="AG168" s="2439"/>
      <c r="AH168" s="2439"/>
      <c r="AI168" s="2439"/>
      <c r="AJ168" s="2439"/>
      <c r="AK168" s="2439"/>
      <c r="AL168" s="2439"/>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1349</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592</v>
      </c>
      <c r="AG172" s="2467"/>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66" t="s">
        <v>1342</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68" t="str">
        <f>Application!AA335</f>
        <v>Solari Enterprises, Inc.</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1313</v>
      </c>
      <c r="AF186" s="2404"/>
      <c r="AG186" s="2404"/>
      <c r="AH186" s="2404"/>
      <c r="AI186" s="2404"/>
      <c r="AJ186" s="2404"/>
      <c r="AK186" s="2404"/>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4" t="s">
        <v>1040</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1362</v>
      </c>
      <c r="AG188" s="2439"/>
      <c r="AH188" s="2439"/>
      <c r="AI188" s="2439"/>
      <c r="AJ188" s="2439"/>
      <c r="AK188" s="2439"/>
      <c r="AL188" s="2439"/>
      <c r="AN188" s="597"/>
      <c r="AP188" s="550" t="s">
        <v>1042</v>
      </c>
      <c r="AQ188" s="550">
        <v>10</v>
      </c>
    </row>
    <row r="189" spans="1:73" s="550" customFormat="1" ht="12.75" customHeight="1">
      <c r="A189" s="536"/>
      <c r="B189" s="2465" t="s">
        <v>1725</v>
      </c>
      <c r="C189" s="2465"/>
      <c r="D189" s="2465"/>
      <c r="E189" s="2465"/>
      <c r="F189" s="2465"/>
      <c r="G189" s="2465"/>
      <c r="H189" s="2465"/>
      <c r="I189" s="2465"/>
      <c r="J189" s="2465"/>
      <c r="K189" s="2465"/>
      <c r="L189" s="2465"/>
      <c r="M189" s="2465"/>
      <c r="N189" s="2465"/>
      <c r="O189" s="2465"/>
      <c r="P189" s="2465"/>
      <c r="Q189" s="2465"/>
      <c r="R189" s="2465"/>
      <c r="S189" s="2465"/>
      <c r="T189" s="2440" t="s">
        <v>592</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1363</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4">
        <f>IF(AK84&gt;0,VLOOKUP($B$188,AP185:AQ191,2,FALSE),0)</f>
        <v>10</v>
      </c>
      <c r="AL191" s="2475"/>
      <c r="AM191" s="2476"/>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1371</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2746</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v>10675000</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1626</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0</v>
      </c>
      <c r="AE209" s="2481"/>
      <c r="AF209" s="2481"/>
      <c r="AG209" s="2481"/>
      <c r="AH209" s="2481"/>
      <c r="AI209" s="2481"/>
      <c r="AJ209" s="2481"/>
      <c r="AK209" s="610"/>
    </row>
    <row r="210" spans="1:37">
      <c r="A210" s="605"/>
      <c r="B210" s="2608" t="s">
        <v>1589</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6">
        <f>SUM(AD199:AJ209)-AD210</f>
        <v>10675000</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1606</v>
      </c>
      <c r="J222" s="2455"/>
      <c r="K222" s="2455"/>
      <c r="L222" s="536"/>
      <c r="M222" s="536"/>
      <c r="N222" s="536"/>
      <c r="O222" s="536"/>
      <c r="P222" s="536"/>
      <c r="Q222" s="536"/>
      <c r="R222" s="536"/>
      <c r="S222" s="536"/>
      <c r="T222" s="2643" t="s">
        <v>1600</v>
      </c>
      <c r="U222" s="2643"/>
      <c r="V222" s="2643"/>
      <c r="W222" s="2643"/>
      <c r="X222" s="2643"/>
      <c r="Y222" s="2643"/>
      <c r="Z222" s="849"/>
      <c r="AA222" s="489"/>
      <c r="AB222" s="2450" t="s">
        <v>1601</v>
      </c>
      <c r="AC222" s="2450"/>
      <c r="AD222" s="2450"/>
      <c r="AE222" s="2450"/>
      <c r="AF222" s="2450"/>
      <c r="AG222" s="2450"/>
      <c r="AH222" s="827"/>
      <c r="AI222" s="827"/>
      <c r="AJ222" s="827"/>
      <c r="AK222" s="610"/>
    </row>
    <row r="223" spans="1:37">
      <c r="A223" s="605"/>
      <c r="B223" s="2453" t="s">
        <v>1586</v>
      </c>
      <c r="C223" s="2453"/>
      <c r="D223" s="2453"/>
      <c r="E223" s="2453"/>
      <c r="F223" s="2453"/>
      <c r="G223" s="2453"/>
      <c r="I223" s="2454" t="s">
        <v>1607</v>
      </c>
      <c r="J223" s="2454"/>
      <c r="K223" s="2454"/>
      <c r="L223" s="1008"/>
      <c r="N223" s="2460" t="s">
        <v>1602</v>
      </c>
      <c r="O223" s="2460"/>
      <c r="P223" s="2460"/>
      <c r="Q223" s="2460"/>
      <c r="R223" s="2460"/>
      <c r="T223" s="2460" t="s">
        <v>1603</v>
      </c>
      <c r="U223" s="2460"/>
      <c r="V223" s="2460"/>
      <c r="W223" s="2460"/>
      <c r="X223" s="2460"/>
      <c r="Y223" s="2460"/>
      <c r="Z223" s="850"/>
      <c r="AA223" s="489"/>
      <c r="AB223" s="2597" t="s">
        <v>1604</v>
      </c>
      <c r="AC223" s="2597"/>
      <c r="AD223" s="2597"/>
      <c r="AE223" s="2597"/>
      <c r="AF223" s="2597"/>
      <c r="AG223" s="2597"/>
      <c r="AH223" s="827"/>
      <c r="AI223" s="827"/>
      <c r="AJ223" s="827"/>
      <c r="AK223" s="610"/>
    </row>
    <row r="224" spans="1:37">
      <c r="A224" s="605"/>
      <c r="B224" s="2457" t="s">
        <v>1183</v>
      </c>
      <c r="C224" s="2457"/>
      <c r="D224" s="2457"/>
      <c r="E224" s="2457"/>
      <c r="F224" s="2457"/>
      <c r="G224" s="2457"/>
      <c r="H224" s="852"/>
      <c r="I224" s="2456"/>
      <c r="J224" s="2456"/>
      <c r="K224" s="2456"/>
      <c r="L224" s="1008"/>
      <c r="N224" s="2461"/>
      <c r="O224" s="2461"/>
      <c r="P224" s="2461"/>
      <c r="Q224" s="2461"/>
      <c r="R224" s="2461"/>
      <c r="T224" s="2609"/>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1183</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1183</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1183</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1183</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1183</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1183</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1183</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1183</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1183</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58">
        <f>SUM(AB224:AB233)</f>
        <v>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0</v>
      </c>
      <c r="AC250" s="2458"/>
      <c r="AD250" s="2458"/>
      <c r="AE250" s="2458"/>
      <c r="AF250" s="2458"/>
      <c r="AG250" s="2458"/>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0</v>
      </c>
      <c r="AC252" s="2491"/>
      <c r="AD252" s="2491"/>
      <c r="AE252" s="2491"/>
      <c r="AF252" s="2491"/>
      <c r="AG252" s="2491"/>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0</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0</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10675000</v>
      </c>
      <c r="AH268" s="2477"/>
      <c r="AI268" s="2477"/>
      <c r="AJ268" s="2477"/>
      <c r="AK268" s="2477"/>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131632292</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0.08</v>
      </c>
      <c r="AH270" s="2478"/>
      <c r="AI270" s="2478"/>
      <c r="AJ270" s="2478"/>
      <c r="AK270" s="2478"/>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546</v>
      </c>
      <c r="D278" s="2471"/>
      <c r="E278" s="547"/>
      <c r="F278" s="2628" t="s">
        <v>2023</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1362</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1381</v>
      </c>
      <c r="B292" s="1629"/>
      <c r="C292" s="2467" t="s">
        <v>592</v>
      </c>
      <c r="D292" s="2471"/>
      <c r="E292" s="547"/>
      <c r="F292" s="2499" t="s">
        <v>1382</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2016</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3" t="s">
        <v>2024</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1383</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1384</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1385</v>
      </c>
      <c r="B302" s="1629"/>
      <c r="C302" s="2471" t="s">
        <v>546</v>
      </c>
      <c r="D302" s="2471"/>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1" t="s">
        <v>2018</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1388</v>
      </c>
      <c r="B310" s="1629"/>
      <c r="C310" s="2471" t="s">
        <v>592</v>
      </c>
      <c r="D310" s="2471"/>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93" t="s">
        <v>2025</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1183</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1183</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688</v>
      </c>
      <c r="H324" s="575"/>
      <c r="I324" s="2509" t="s">
        <v>1183</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9" t="s">
        <v>1183</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9" t="s">
        <v>1391</v>
      </c>
      <c r="B333" s="1629"/>
      <c r="C333" s="2471" t="s">
        <v>592</v>
      </c>
      <c r="D333" s="2471"/>
      <c r="E333" s="547"/>
      <c r="F333" s="2395" t="s">
        <v>2026</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4">
        <f>IF(NOT(OR(Application!M355="Yes",Application!M356="Yes")),0,AP295)</f>
        <v>9</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846</v>
      </c>
      <c r="C341" s="536"/>
      <c r="AC341" s="539"/>
      <c r="AE341" s="2404" t="s">
        <v>1313</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1453</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2091</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2206</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1454</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1455</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7</v>
      </c>
      <c r="AS359" s="539" t="s">
        <v>1456</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0</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582</v>
      </c>
      <c r="AP361" s="696">
        <f>IF(C407="Yes",5,0)</f>
        <v>0</v>
      </c>
      <c r="AS361" s="539" t="s">
        <v>1877</v>
      </c>
    </row>
    <row r="362" spans="1:46" s="550" customFormat="1" ht="12.75" customHeight="1">
      <c r="A362" s="603"/>
      <c r="B362" s="611"/>
      <c r="C362" s="2535" t="s">
        <v>2230</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764</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585</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3</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3" t="s">
        <v>1457</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457</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462</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647</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1">
        <f>Application!DU802-U374</f>
        <v>483</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6">
        <f>IF(AP375&gt;0,AP375,0)</f>
        <v>0</v>
      </c>
      <c r="AR375" s="2536"/>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17" t="s">
        <v>1459</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592</v>
      </c>
      <c r="D381" s="2471"/>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1461</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17" t="s">
        <v>1462</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592</v>
      </c>
      <c r="D389" s="2471"/>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1461</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17" t="s">
        <v>1464</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546</v>
      </c>
      <c r="D397" s="2471"/>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1466</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592</v>
      </c>
      <c r="D399" s="2471"/>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1461</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17" t="s">
        <v>1470</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592</v>
      </c>
      <c r="D407" s="2471"/>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1461</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592</v>
      </c>
      <c r="D409" s="2471"/>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1473</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592</v>
      </c>
      <c r="D412" s="2471"/>
      <c r="E412" s="715" t="s">
        <v>1474</v>
      </c>
      <c r="F412" s="2517" t="s">
        <v>1475</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1461</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17" t="s">
        <v>1477</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592</v>
      </c>
      <c r="D421" s="2471"/>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1461</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546</v>
      </c>
      <c r="D423" s="2471"/>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1473</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17" t="s">
        <v>1481</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592</v>
      </c>
      <c r="D430" s="2471"/>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1461</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17" t="s">
        <v>1484</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592</v>
      </c>
      <c r="D442" s="2471"/>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1461</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17" t="s">
        <v>1487</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592</v>
      </c>
      <c r="D449" s="2471"/>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1461</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592</v>
      </c>
      <c r="D453" s="2521"/>
      <c r="E453" s="715" t="s">
        <v>1496</v>
      </c>
      <c r="F453" s="2517" t="s">
        <v>1497</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1461</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592</v>
      </c>
      <c r="D457" s="2471"/>
      <c r="E457" s="715" t="s">
        <v>1502</v>
      </c>
      <c r="F457" s="2517" t="s">
        <v>1503</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1461</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17" t="s">
        <v>1506</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592</v>
      </c>
      <c r="D466" s="2471"/>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1461</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1509</v>
      </c>
      <c r="C472" s="539"/>
      <c r="E472" s="596"/>
      <c r="AE472" s="2515" t="s">
        <v>1510</v>
      </c>
      <c r="AF472" s="2515"/>
      <c r="AG472" s="2515"/>
      <c r="AH472" s="2515"/>
      <c r="AI472" s="2515"/>
      <c r="AJ472" s="2515"/>
      <c r="AK472" s="2515"/>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0" t="s">
        <v>592</v>
      </c>
      <c r="D478" s="2541"/>
      <c r="E478" s="761" t="s">
        <v>508</v>
      </c>
      <c r="F478" s="2542" t="s">
        <v>1516</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16" t="s">
        <v>592</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7" t="s">
        <v>546</v>
      </c>
      <c r="D482" s="2618"/>
      <c r="E482" s="761" t="s">
        <v>758</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15" t="s">
        <v>592</v>
      </c>
      <c r="W485" s="2615"/>
      <c r="X485" s="2615"/>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15" t="s">
        <v>592</v>
      </c>
      <c r="W487" s="2615"/>
      <c r="X487" s="2615"/>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15" t="s">
        <v>592</v>
      </c>
      <c r="W492" s="2615"/>
      <c r="X492" s="2615"/>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5"/>
      <c r="E495" s="2605"/>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15" t="s">
        <v>592</v>
      </c>
      <c r="W496" s="2615"/>
      <c r="X496" s="2615"/>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15" t="s">
        <v>592</v>
      </c>
      <c r="W498" s="2615"/>
      <c r="X498" s="2615"/>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592</v>
      </c>
      <c r="D501" s="2541"/>
      <c r="E501" s="761" t="s">
        <v>508</v>
      </c>
      <c r="F501" s="2542" t="s">
        <v>1516</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592</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592</v>
      </c>
      <c r="D505" s="2541"/>
      <c r="E505" s="761" t="s">
        <v>758</v>
      </c>
      <c r="F505" s="2612" t="s">
        <v>1538</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592</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592</v>
      </c>
      <c r="D510" s="2541"/>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592</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592</v>
      </c>
      <c r="D515" s="2545"/>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592</v>
      </c>
      <c r="D519" s="2545"/>
      <c r="F519" s="795" t="s">
        <v>1546</v>
      </c>
      <c r="G519" s="2518" t="s">
        <v>1547</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592</v>
      </c>
      <c r="D523" s="2547"/>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592</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1559</v>
      </c>
      <c r="AF538" s="2404"/>
      <c r="AG538" s="2404"/>
      <c r="AH538" s="2404"/>
      <c r="AI538" s="2404"/>
      <c r="AJ538" s="2404"/>
      <c r="AK538" s="2404"/>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546</v>
      </c>
      <c r="D541" s="2471"/>
      <c r="E541" s="551"/>
      <c r="F541" s="2598" t="s">
        <v>1560</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592</v>
      </c>
      <c r="D544" s="2471"/>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1562</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1563</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132034584</v>
      </c>
      <c r="AQ550" s="2620"/>
      <c r="AR550" s="2620"/>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122927565</v>
      </c>
      <c r="AG551" s="2477"/>
      <c r="AH551" s="2477"/>
      <c r="AI551" s="2477"/>
      <c r="AJ551" s="2477"/>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186168763.03999999</v>
      </c>
      <c r="AG552" s="2625"/>
      <c r="AH552" s="2625"/>
      <c r="AI552" s="2625"/>
      <c r="AJ552" s="2625"/>
      <c r="AK552" s="595"/>
      <c r="AL552" s="595"/>
      <c r="AM552" s="595"/>
      <c r="AN552" s="597"/>
      <c r="AP552" s="2620">
        <f>Application!AJ1045</f>
        <v>9242420.8800000008</v>
      </c>
      <c r="AQ552" s="2620"/>
      <c r="AR552" s="2620"/>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0.33</v>
      </c>
      <c r="AG553" s="2626"/>
      <c r="AH553" s="2626"/>
      <c r="AI553" s="2626"/>
      <c r="AJ553" s="2626"/>
      <c r="AK553" s="595"/>
      <c r="AL553" s="595"/>
      <c r="AM553" s="595"/>
      <c r="AN553" s="597"/>
      <c r="AP553" s="2623">
        <f>Application!AJ1049</f>
        <v>31688300.16</v>
      </c>
      <c r="AQ553" s="2623"/>
      <c r="AR553" s="2623"/>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0.31</v>
      </c>
      <c r="AQ554" s="2619"/>
      <c r="AR554" s="2619"/>
      <c r="AS554" s="550" t="s">
        <v>2170</v>
      </c>
    </row>
    <row r="555" spans="1:49" s="550" customFormat="1" ht="12.75" customHeight="1">
      <c r="A555" s="624"/>
      <c r="B555" s="2556" t="s">
        <v>2030</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145238042</v>
      </c>
      <c r="AQ556" s="2529"/>
      <c r="AR556" s="2529"/>
      <c r="AS556" s="550" t="s">
        <v>2172</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186168763.03999999</v>
      </c>
      <c r="AQ557" s="2620"/>
      <c r="AR557" s="2620"/>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65">
        <f>IFERROR(IF(AND(C541="N/A",C544="N/A"),0,IF(AF553=0,0,IF((AF553*100)&gt;12,12,(AF553*100)))),0)</f>
        <v>12</v>
      </c>
      <c r="AL559" s="2565"/>
      <c r="AM559" s="2566"/>
      <c r="AN559" s="597"/>
      <c r="AP559" s="2637">
        <f>AP556+(AP550*AP554)</f>
        <v>186168763.03999999</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1313</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2021</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1337</v>
      </c>
      <c r="AG578" s="2439"/>
      <c r="AH578" s="2439"/>
      <c r="AI578" s="2439"/>
      <c r="AJ578" s="2439"/>
      <c r="AK578" s="2439"/>
      <c r="AL578" s="2439"/>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1395</v>
      </c>
      <c r="AG585" s="2439"/>
      <c r="AH585" s="2439"/>
      <c r="AI585" s="2439"/>
      <c r="AJ585" s="2439"/>
      <c r="AK585" s="2439"/>
      <c r="AL585" s="2439"/>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1377</v>
      </c>
      <c r="AG591" s="2439"/>
      <c r="AH591" s="2439"/>
      <c r="AI591" s="2439"/>
      <c r="AJ591" s="2439"/>
      <c r="AK591" s="2439"/>
      <c r="AL591" s="2439"/>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1398</v>
      </c>
      <c r="AG597" s="2439"/>
      <c r="AH597" s="2439"/>
      <c r="AI597" s="2439"/>
      <c r="AJ597" s="2439"/>
      <c r="AK597" s="2439"/>
      <c r="AL597" s="2439"/>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25" t="s">
        <v>1183</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1351</v>
      </c>
      <c r="AG603" s="2439"/>
      <c r="AH603" s="2439"/>
      <c r="AI603" s="2439"/>
      <c r="AJ603" s="2439"/>
      <c r="AK603" s="2439"/>
      <c r="AL603" s="2439"/>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1399</v>
      </c>
      <c r="E606" s="936"/>
      <c r="F606" s="936"/>
      <c r="G606" s="936"/>
      <c r="H606" s="2523" t="s">
        <v>592</v>
      </c>
      <c r="I606" s="2523"/>
      <c r="J606" s="936"/>
      <c r="K606" s="936"/>
      <c r="L606" s="936"/>
      <c r="N606" s="22"/>
      <c r="O606" s="22"/>
      <c r="P606" s="22"/>
      <c r="Q606" s="1151" t="s">
        <v>2175</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1399</v>
      </c>
      <c r="F614" s="936"/>
      <c r="G614" s="936"/>
      <c r="I614" s="2524" t="s">
        <v>592</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67" t="s">
        <v>592</v>
      </c>
      <c r="C616" s="2467"/>
      <c r="D616" s="642"/>
      <c r="E616" s="2494" t="s">
        <v>1402</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4">
        <f>VLOOKUP($H$606,$AO$586:$AP$591,2,FALSE)+IF(R606=AO594,0,VLOOKUP($I$614,$AO$613:$AP$615,2,FALSE))</f>
        <v>0</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2" t="s">
        <v>1693</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1351</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67" t="s">
        <v>592</v>
      </c>
      <c r="Y634" s="2467"/>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1407</v>
      </c>
      <c r="AG636" s="2439"/>
      <c r="AH636" s="2439"/>
      <c r="AI636" s="2439"/>
      <c r="AJ636" s="2439"/>
      <c r="AK636" s="2439"/>
      <c r="AL636" s="243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3" t="s">
        <v>688</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4">
        <f>VLOOKUP($H$638,$AO$605:$AP$607,2,FALSE)</f>
        <v>3</v>
      </c>
      <c r="AK640" s="2476"/>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4" t="s">
        <v>2096</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1351</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1407</v>
      </c>
      <c r="AG647" s="2439"/>
      <c r="AH647" s="2439"/>
      <c r="AI647" s="2439"/>
      <c r="AJ647" s="2439"/>
      <c r="AK647" s="2439"/>
      <c r="AL647" s="2439"/>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3" t="s">
        <v>510</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4">
        <f>VLOOKUP(H650,AT605:AU607,2,FALSE)</f>
        <v>2</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4" t="s">
        <v>1417</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1377</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4" t="s">
        <v>1418</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1398</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4" t="s">
        <v>1419</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1351</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592</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1396</v>
      </c>
      <c r="E669" s="2494" t="s">
        <v>1420</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1398</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4" t="s">
        <v>1421</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1351</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4" t="s">
        <v>1422</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1407</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1410</v>
      </c>
      <c r="E681" s="2494" t="s">
        <v>1423</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1424</v>
      </c>
      <c r="AG681" s="2439"/>
      <c r="AH681" s="2439"/>
      <c r="AI681" s="2439"/>
      <c r="AJ681" s="2439"/>
      <c r="AK681" s="2439"/>
      <c r="AL681" s="2439"/>
      <c r="AM681" s="596"/>
      <c r="AN681" s="597"/>
      <c r="AO681" s="611" t="s">
        <v>688</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3" t="s">
        <v>510</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4">
        <f>VLOOKUP($H$685,$AO$633:$AP$640,2,FALSE)</f>
        <v>4</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267</v>
      </c>
    </row>
    <row r="691" spans="1:51" s="550" customFormat="1" ht="12.75" customHeight="1">
      <c r="A691" s="679"/>
      <c r="B691" s="536"/>
      <c r="C691" s="948"/>
      <c r="D691" s="663" t="s">
        <v>688</v>
      </c>
      <c r="E691" s="2530" t="s">
        <v>2188</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1351</v>
      </c>
      <c r="AG691" s="2439"/>
      <c r="AH691" s="2439"/>
      <c r="AI691" s="2439"/>
      <c r="AJ691" s="2439"/>
      <c r="AK691" s="2439"/>
      <c r="AL691" s="2439"/>
      <c r="AN691" s="597"/>
      <c r="AW691" s="22" t="s">
        <v>2183</v>
      </c>
      <c r="AX691" s="550">
        <f>Application!DE753</f>
        <v>69</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510</v>
      </c>
      <c r="E694" s="2494" t="s">
        <v>2132</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1351</v>
      </c>
      <c r="AG694" s="2439"/>
      <c r="AH694" s="2439"/>
      <c r="AI694" s="2439"/>
      <c r="AJ694" s="2439"/>
      <c r="AK694" s="2439"/>
      <c r="AL694" s="2439"/>
      <c r="AN694" s="597"/>
      <c r="AW694" s="22" t="s">
        <v>2186</v>
      </c>
      <c r="AX694" s="550">
        <f>AX691+AX692+AX693</f>
        <v>69</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1</v>
      </c>
      <c r="AP695" s="2529"/>
      <c r="AW695" s="22" t="s">
        <v>2187</v>
      </c>
      <c r="AX695" s="550">
        <f>IFERROR(AX694/AX690,0)</f>
        <v>0.25842696629213485</v>
      </c>
      <c r="AY695" s="550">
        <f>IFERROR(AX694/(AX690-AX689),0)</f>
        <v>0.25842696629213485</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4" t="s">
        <v>2133</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1407</v>
      </c>
      <c r="AG699" s="2439"/>
      <c r="AH699" s="2439"/>
      <c r="AI699" s="2439"/>
      <c r="AJ699" s="2439"/>
      <c r="AK699" s="2439"/>
      <c r="AL699" s="2439"/>
      <c r="AN699" s="597"/>
      <c r="AO699" s="611" t="s">
        <v>510</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4" t="s">
        <v>1692</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3" t="s">
        <v>510</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74">
        <f>VLOOKUP($H$709,$AO$703:$AP$706,2,FALSE)</f>
        <v>3</v>
      </c>
      <c r="AK711" s="2476"/>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688</v>
      </c>
      <c r="E715" s="2531" t="s">
        <v>1694</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1351</v>
      </c>
      <c r="AG715" s="2439"/>
      <c r="AH715" s="2439"/>
      <c r="AI715" s="2439"/>
      <c r="AJ715" s="2439"/>
      <c r="AK715" s="2439"/>
      <c r="AL715" s="2439"/>
      <c r="AM715" s="550"/>
      <c r="AN715" s="684"/>
      <c r="AP715" s="570" t="s">
        <v>1431</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510</v>
      </c>
      <c r="E719" s="2532" t="s">
        <v>1434</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1407</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1399</v>
      </c>
      <c r="E723" s="936"/>
      <c r="F723" s="936"/>
      <c r="G723" s="936"/>
      <c r="H723" s="2523" t="s">
        <v>592</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4" t="s">
        <v>1695</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1351</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4" t="s">
        <v>1438</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1407</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3" t="s">
        <v>592</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4" t="s">
        <v>1441</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1351</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4" t="s">
        <v>1442</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1407</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3" t="s">
        <v>592</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4">
        <f>VLOOKUP($H$751,$AO$680:$AP$682,2,FALSE)</f>
        <v>0</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4" t="s">
        <v>1444</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1407</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4" t="s">
        <v>1445</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1424</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3" t="s">
        <v>510</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4">
        <f>VLOOKUP($H$763,$AO$697:$AP$699,2,FALSE)</f>
        <v>1</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4" t="s">
        <v>1691</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1407</v>
      </c>
      <c r="AG769" s="2439"/>
      <c r="AH769" s="2439"/>
      <c r="AI769" s="2439"/>
      <c r="AJ769" s="2439"/>
      <c r="AK769" s="2439"/>
      <c r="AL769" s="2439"/>
      <c r="AM769" s="613"/>
      <c r="AN769" s="684"/>
      <c r="AO769" s="550" t="s">
        <v>592</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1696</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1351</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3" t="s">
        <v>688</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4">
        <f>VLOOKUP($H$779,$AO$769:$AP$771,2,FALSE)</f>
        <v>2</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4" t="s">
        <v>2031</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1351</v>
      </c>
      <c r="AG785" s="2439"/>
      <c r="AH785" s="2439"/>
      <c r="AI785" s="2439"/>
      <c r="AJ785" s="2439"/>
      <c r="AK785" s="2439"/>
      <c r="AL785" s="243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23" t="s">
        <v>592</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1567</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1568</v>
      </c>
      <c r="U802" s="2571"/>
      <c r="V802" s="2571"/>
      <c r="W802" s="2571"/>
      <c r="X802" s="2571"/>
      <c r="Y802" s="2572"/>
      <c r="Z802" s="2570" t="s">
        <v>1569</v>
      </c>
      <c r="AA802" s="2571"/>
      <c r="AB802" s="2571"/>
      <c r="AC802" s="2571"/>
      <c r="AD802" s="2571"/>
      <c r="AE802" s="2572"/>
      <c r="AF802" s="2570" t="s">
        <v>1570</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758</v>
      </c>
      <c r="B804" s="2550" t="s">
        <v>1303</v>
      </c>
      <c r="C804" s="2550"/>
      <c r="D804" s="2550"/>
      <c r="E804" s="2550"/>
      <c r="F804" s="2550"/>
      <c r="G804" s="2550"/>
      <c r="H804" s="2550"/>
      <c r="I804" s="2550"/>
      <c r="J804" s="2550"/>
      <c r="K804" s="2550"/>
      <c r="L804" s="2550"/>
      <c r="M804" s="2550"/>
      <c r="N804" s="2550"/>
      <c r="O804" s="2550"/>
      <c r="P804" s="2550"/>
      <c r="Q804" s="2550"/>
      <c r="R804" s="2550"/>
      <c r="S804" s="2551"/>
      <c r="T804" s="2552">
        <f>AK62</f>
        <v>0</v>
      </c>
      <c r="U804" s="2553"/>
      <c r="V804" s="2553"/>
      <c r="W804" s="2553"/>
      <c r="X804" s="2553"/>
      <c r="Y804" s="2554"/>
      <c r="Z804" s="2555">
        <v>20</v>
      </c>
      <c r="AA804" s="2553"/>
      <c r="AB804" s="2553"/>
      <c r="AC804" s="2553"/>
      <c r="AD804" s="2553"/>
      <c r="AE804" s="2554"/>
      <c r="AF804" s="2536">
        <f>IF(T804&gt;Z804,Z804,T804)</f>
        <v>0</v>
      </c>
      <c r="AG804" s="2536"/>
      <c r="AH804" s="2536"/>
      <c r="AI804" s="2536"/>
      <c r="AJ804" s="2536"/>
      <c r="AK804" s="2536"/>
      <c r="AL804" s="818"/>
      <c r="AM804" s="596"/>
      <c r="AO804" s="816"/>
      <c r="AP804" s="816"/>
      <c r="AQ804" s="816"/>
    </row>
    <row r="805" spans="1:81">
      <c r="A805" s="819" t="s">
        <v>1540</v>
      </c>
      <c r="B805" s="2550" t="s">
        <v>1312</v>
      </c>
      <c r="C805" s="2550"/>
      <c r="D805" s="2550"/>
      <c r="E805" s="2550"/>
      <c r="F805" s="2550"/>
      <c r="G805" s="2550"/>
      <c r="H805" s="2550"/>
      <c r="I805" s="2550"/>
      <c r="J805" s="2550"/>
      <c r="K805" s="2550"/>
      <c r="L805" s="2550"/>
      <c r="M805" s="2550"/>
      <c r="N805" s="2550"/>
      <c r="O805" s="2550"/>
      <c r="P805" s="2550"/>
      <c r="Q805" s="2550"/>
      <c r="R805" s="2550"/>
      <c r="S805" s="2551"/>
      <c r="T805" s="2552">
        <f>AK84</f>
        <v>10</v>
      </c>
      <c r="U805" s="2553"/>
      <c r="V805" s="2553"/>
      <c r="W805" s="2553"/>
      <c r="X805" s="2553"/>
      <c r="Y805" s="2554"/>
      <c r="Z805" s="2555">
        <v>10</v>
      </c>
      <c r="AA805" s="2553"/>
      <c r="AB805" s="2553"/>
      <c r="AC805" s="2553"/>
      <c r="AD805" s="2553"/>
      <c r="AE805" s="2554"/>
      <c r="AF805" s="2536">
        <f>IF(T805&gt;Z805,Z805,T805)</f>
        <v>10</v>
      </c>
      <c r="AG805" s="2536"/>
      <c r="AH805" s="2536"/>
      <c r="AI805" s="2536"/>
      <c r="AJ805" s="2536"/>
      <c r="AK805" s="2536"/>
      <c r="AL805" s="818"/>
      <c r="AM805" s="596"/>
      <c r="AO805" s="816"/>
      <c r="AP805" s="816"/>
      <c r="AQ805" s="816"/>
    </row>
    <row r="806" spans="1:81">
      <c r="A806" s="819" t="s">
        <v>1549</v>
      </c>
      <c r="B806" s="2550" t="s">
        <v>1322</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1571</v>
      </c>
      <c r="B807" s="2550" t="s">
        <v>1332</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1572</v>
      </c>
      <c r="B808" s="2550" t="s">
        <v>1573</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1574</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1575</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1360</v>
      </c>
      <c r="B811" s="2550" t="s">
        <v>1576</v>
      </c>
      <c r="C811" s="2550"/>
      <c r="D811" s="2550"/>
      <c r="E811" s="2550"/>
      <c r="F811" s="2550"/>
      <c r="G811" s="2550"/>
      <c r="H811" s="2550"/>
      <c r="I811" s="2550"/>
      <c r="J811" s="2550"/>
      <c r="K811" s="2550"/>
      <c r="L811" s="2550"/>
      <c r="M811" s="2550"/>
      <c r="N811" s="2550"/>
      <c r="O811" s="2550"/>
      <c r="P811" s="2550"/>
      <c r="Q811" s="2550"/>
      <c r="R811" s="2550"/>
      <c r="S811" s="2551"/>
      <c r="T811" s="2576">
        <f>AK191</f>
        <v>10</v>
      </c>
      <c r="U811" s="2576"/>
      <c r="V811" s="2576"/>
      <c r="W811" s="2576"/>
      <c r="X811" s="2576"/>
      <c r="Y811" s="2576"/>
      <c r="Z811" s="2536">
        <v>10</v>
      </c>
      <c r="AA811" s="2536"/>
      <c r="AB811" s="2536"/>
      <c r="AC811" s="2536"/>
      <c r="AD811" s="2536"/>
      <c r="AE811" s="2536"/>
      <c r="AF811" s="2536">
        <f>IF(T811&gt;Z811,Z811,T811)</f>
        <v>10</v>
      </c>
      <c r="AG811" s="2536"/>
      <c r="AH811" s="2536"/>
      <c r="AI811" s="2536"/>
      <c r="AJ811" s="2536"/>
      <c r="AK811" s="2536"/>
      <c r="AL811" s="818"/>
      <c r="AM811" s="596"/>
    </row>
    <row r="812" spans="1:81">
      <c r="A812" s="819" t="s">
        <v>1369</v>
      </c>
      <c r="B812" s="2550" t="s">
        <v>1370</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590</v>
      </c>
      <c r="B813" s="2550" t="s">
        <v>1577</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0" t="s">
        <v>1578</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0" t="s">
        <v>1380</v>
      </c>
      <c r="C815" s="2550"/>
      <c r="D815" s="2550"/>
      <c r="E815" s="2550"/>
      <c r="F815" s="2550"/>
      <c r="G815" s="2550"/>
      <c r="H815" s="2550"/>
      <c r="I815" s="2550"/>
      <c r="J815" s="2550"/>
      <c r="K815" s="2550"/>
      <c r="L815" s="2550"/>
      <c r="M815" s="2550"/>
      <c r="N815" s="2550"/>
      <c r="O815" s="2550"/>
      <c r="P815" s="2550"/>
      <c r="Q815" s="2550"/>
      <c r="R815" s="2550"/>
      <c r="S815" s="2551"/>
      <c r="T815" s="2576">
        <f>AK338</f>
        <v>9</v>
      </c>
      <c r="U815" s="2576"/>
      <c r="V815" s="2576"/>
      <c r="W815" s="2576"/>
      <c r="X815" s="2576"/>
      <c r="Y815" s="2576"/>
      <c r="Z815" s="2582">
        <v>10</v>
      </c>
      <c r="AA815" s="2583"/>
      <c r="AB815" s="2583"/>
      <c r="AC815" s="2583"/>
      <c r="AD815" s="2583"/>
      <c r="AE815" s="2584"/>
      <c r="AF815" s="2582">
        <f>IF(T815&gt;Z815,Z815,T815)</f>
        <v>9</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69">
        <f>AK338</f>
        <v>9</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0" t="s">
        <v>846</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0" t="s">
        <v>1558</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550" t="s">
        <v>1580</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1581</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1582</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1583</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119</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Riley Jones</cp:lastModifiedBy>
  <cp:lastPrinted>2025-09-06T00:39:03Z</cp:lastPrinted>
  <dcterms:created xsi:type="dcterms:W3CDTF">2007-12-27T18:26:28Z</dcterms:created>
  <dcterms:modified xsi:type="dcterms:W3CDTF">2025-09-09T02:50:09Z</dcterms:modified>
</cp:coreProperties>
</file>