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showInkAnnotation="0" codeName="ThisWorkbook" defaultThemeVersion="124226"/>
  <mc:AlternateContent xmlns:mc="http://schemas.openxmlformats.org/markup-compatibility/2006">
    <mc:Choice Requires="x15">
      <x15ac:absPath xmlns:x15ac="http://schemas.microsoft.com/office/spreadsheetml/2010/11/ac" url="https://wopi.dropbox.com/wopi/files/oid_14214486423847081984/WOPIServiceId_TP_DROPBOX_PLUS/WOPIUserId_-/"/>
    </mc:Choice>
  </mc:AlternateContent>
  <xr:revisionPtr revIDLastSave="230" documentId="13_ncr:1_{276289BD-C303-4998-82E3-948FE3767F01}" xr6:coauthVersionLast="47" xr6:coauthVersionMax="47" xr10:uidLastSave="{E89A238B-B1E1-4F93-98E9-650611A278AC}"/>
  <bookViews>
    <workbookView xWindow="28695" yWindow="-60" windowWidth="14610" windowHeight="15585" tabRatio="754"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6" i="3"/>
  <c r="M18" i="4" l="1"/>
  <c r="M22" i="4"/>
  <c r="C18" i="4"/>
  <c r="M961" i="3" l="1"/>
  <c r="M960" i="3"/>
  <c r="AC886" i="3"/>
  <c r="I56" i="7" l="1"/>
  <c r="K56" i="7"/>
  <c r="M56" i="7"/>
  <c r="O56" i="7"/>
  <c r="Q56" i="7"/>
  <c r="S56" i="7"/>
  <c r="U56" i="7"/>
  <c r="W56" i="7"/>
  <c r="Y56" i="7"/>
  <c r="AA56" i="7"/>
  <c r="AC56" i="7"/>
  <c r="AE56" i="7"/>
  <c r="AG56" i="7"/>
  <c r="G56" i="7"/>
  <c r="E52" i="4" l="1"/>
  <c r="C92" i="4"/>
  <c r="C90" i="4"/>
  <c r="C83" i="4"/>
  <c r="C49" i="4"/>
  <c r="C45" i="4"/>
  <c r="AO629" i="3"/>
  <c r="AO630" i="3"/>
  <c r="AO631" i="3"/>
  <c r="AO628" i="3"/>
  <c r="AM562" i="3"/>
  <c r="W854" i="3"/>
  <c r="H4" i="4" l="1"/>
  <c r="E95" i="4"/>
  <c r="E94" i="4"/>
  <c r="E93" i="4"/>
  <c r="E92" i="4"/>
  <c r="E91" i="4"/>
  <c r="E90" i="4"/>
  <c r="E89" i="4"/>
  <c r="E88" i="4"/>
  <c r="E87" i="4"/>
  <c r="E85" i="4"/>
  <c r="E84" i="4"/>
  <c r="E83" i="4"/>
  <c r="E80" i="4"/>
  <c r="E79" i="4"/>
  <c r="E75" i="4"/>
  <c r="E74" i="4"/>
  <c r="E68" i="4"/>
  <c r="E65" i="4"/>
  <c r="E61" i="4"/>
  <c r="E57" i="4"/>
  <c r="E56" i="4"/>
  <c r="E53" i="4"/>
  <c r="E50" i="4"/>
  <c r="E49" i="4"/>
  <c r="E46" i="4"/>
  <c r="E43" i="4"/>
  <c r="E41" i="4"/>
  <c r="E27" i="4"/>
  <c r="E25" i="4"/>
  <c r="E23" i="4"/>
  <c r="E20" i="4"/>
  <c r="E19" i="4"/>
  <c r="E17" i="4"/>
  <c r="C86" i="4"/>
  <c r="E86" i="4" s="1"/>
  <c r="C72" i="4"/>
  <c r="C69" i="4"/>
  <c r="E69" i="4" s="1"/>
  <c r="C40" i="4"/>
  <c r="E40" i="4" s="1"/>
  <c r="C21" i="4"/>
  <c r="E21" i="4" s="1"/>
  <c r="B150" i="20" l="1"/>
  <c r="O723" i="3"/>
  <c r="O722" i="3"/>
  <c r="O721" i="3"/>
  <c r="O720" i="3"/>
  <c r="O719" i="3"/>
  <c r="O718" i="3"/>
  <c r="C9" i="4" l="1"/>
  <c r="W844" i="3" l="1"/>
  <c r="Q634" i="3"/>
  <c r="Q563" i="3"/>
  <c r="AG442" i="3"/>
  <c r="AG443"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F1026" i="3"/>
  <c r="AF1021" i="3"/>
  <c r="E40" i="7"/>
  <c r="A40" i="7"/>
  <c r="E33" i="7"/>
  <c r="E32" i="7"/>
  <c r="E31" i="7"/>
  <c r="E30" i="7"/>
  <c r="E29" i="7"/>
  <c r="G29" i="7" s="1"/>
  <c r="I29" i="7" s="1"/>
  <c r="K29" i="7" s="1"/>
  <c r="M29" i="7" s="1"/>
  <c r="O29" i="7" s="1"/>
  <c r="Q29" i="7" s="1"/>
  <c r="S29" i="7" s="1"/>
  <c r="U29" i="7" s="1"/>
  <c r="W29" i="7" s="1"/>
  <c r="Y29" i="7" s="1"/>
  <c r="AA29" i="7" s="1"/>
  <c r="AC29" i="7" s="1"/>
  <c r="AE29" i="7" s="1"/>
  <c r="AG29" i="7" s="1"/>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9" i="13"/>
  <c r="B66" i="13"/>
  <c r="B67" i="13"/>
  <c r="B68" i="13"/>
  <c r="B69" i="13"/>
  <c r="A53" i="13"/>
  <c r="H36" i="13"/>
  <c r="E36" i="13"/>
  <c r="B36" i="13"/>
  <c r="H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65" i="13"/>
  <c r="E53" i="13"/>
  <c r="E52" i="13"/>
  <c r="E45"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3" i="4"/>
  <c r="R74" i="4"/>
  <c r="R69" i="4"/>
  <c r="R65" i="4"/>
  <c r="R61" i="4"/>
  <c r="R60" i="4"/>
  <c r="R59" i="4"/>
  <c r="R58" i="4"/>
  <c r="R57" i="4"/>
  <c r="R56" i="4"/>
  <c r="R53" i="4"/>
  <c r="R52" i="4"/>
  <c r="R51" i="4"/>
  <c r="S51" i="4" s="1"/>
  <c r="E51" i="13" s="1"/>
  <c r="R50" i="4"/>
  <c r="S50" i="4" s="1"/>
  <c r="E50" i="13" s="1"/>
  <c r="R49" i="4"/>
  <c r="S49" i="4" s="1"/>
  <c r="E49" i="13" s="1"/>
  <c r="R48" i="4"/>
  <c r="S48" i="4" s="1"/>
  <c r="E48" i="13" s="1"/>
  <c r="R47" i="4"/>
  <c r="S47" i="4" s="1"/>
  <c r="E47" i="13" s="1"/>
  <c r="R46" i="4"/>
  <c r="S46" i="4" s="1"/>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7" i="4"/>
  <c r="S17" i="4" s="1"/>
  <c r="E17" i="13"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B7" i="4"/>
  <c r="E8" i="4"/>
  <c r="F8" i="4"/>
  <c r="G8" i="4"/>
  <c r="H8" i="4"/>
  <c r="I8" i="4"/>
  <c r="I11" i="4"/>
  <c r="J8" i="4"/>
  <c r="J11" i="4"/>
  <c r="J26" i="4"/>
  <c r="J38" i="4"/>
  <c r="J42" i="4"/>
  <c r="J54" i="4"/>
  <c r="J62" i="4"/>
  <c r="J70" i="4"/>
  <c r="J96" i="4"/>
  <c r="J104" i="4"/>
  <c r="K8" i="4"/>
  <c r="K11" i="4"/>
  <c r="L8" i="4"/>
  <c r="L11" i="4"/>
  <c r="M8" i="4"/>
  <c r="M11" i="4"/>
  <c r="N8" i="4"/>
  <c r="O8" i="4"/>
  <c r="Q8" i="4"/>
  <c r="Q11" i="4"/>
  <c r="B9" i="4"/>
  <c r="B10"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38" i="4"/>
  <c r="M42" i="4"/>
  <c r="M62" i="4"/>
  <c r="M70" i="4"/>
  <c r="M77" i="4"/>
  <c r="M96" i="4"/>
  <c r="M104" i="4"/>
  <c r="N26" i="4"/>
  <c r="N38" i="4"/>
  <c r="N42" i="4"/>
  <c r="N54" i="4"/>
  <c r="N62" i="4"/>
  <c r="N70" i="4"/>
  <c r="N77" i="4"/>
  <c r="N96"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F18" i="4" s="1"/>
  <c r="G108" i="4"/>
  <c r="G9" i="4" s="1"/>
  <c r="G11" i="4" s="1"/>
  <c r="H108" i="4"/>
  <c r="H9" i="4" s="1"/>
  <c r="H11" i="4" s="1"/>
  <c r="I108" i="4"/>
  <c r="I72" i="4" s="1"/>
  <c r="I77" i="4" s="1"/>
  <c r="J108" i="4"/>
  <c r="J72" i="4" s="1"/>
  <c r="J77" i="4" s="1"/>
  <c r="K108" i="4"/>
  <c r="L108" i="4"/>
  <c r="L45" i="4" s="1"/>
  <c r="E45" i="4" s="1"/>
  <c r="M108" i="4"/>
  <c r="N108" i="4"/>
  <c r="N99" i="4" s="1"/>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S81" i="4" l="1"/>
  <c r="E81" i="13" s="1"/>
  <c r="S54" i="4"/>
  <c r="E54" i="13" s="1"/>
  <c r="E80" i="13"/>
  <c r="J6" i="8"/>
  <c r="E46" i="13"/>
  <c r="S70" i="4"/>
  <c r="E70" i="13" s="1"/>
  <c r="J4" i="8"/>
  <c r="S42" i="4"/>
  <c r="E42" i="13" s="1"/>
  <c r="S96" i="4"/>
  <c r="E96" i="13" s="1"/>
  <c r="K77" i="4"/>
  <c r="K99" i="4"/>
  <c r="J8" i="8"/>
  <c r="L54" i="4"/>
  <c r="L63" i="4" s="1"/>
  <c r="L97" i="4" s="1"/>
  <c r="L105" i="4" s="1"/>
  <c r="E54" i="4"/>
  <c r="M26" i="4"/>
  <c r="R45" i="4"/>
  <c r="R54" i="4" s="1"/>
  <c r="M54" i="4"/>
  <c r="R72" i="4"/>
  <c r="E9" i="4"/>
  <c r="F26" i="4"/>
  <c r="F63" i="4" s="1"/>
  <c r="F97" i="4" s="1"/>
  <c r="F105" i="4" s="1"/>
  <c r="J9" i="8"/>
  <c r="D35" i="11"/>
  <c r="BE23" i="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N12" i="4"/>
  <c r="I12" i="4"/>
  <c r="B70" i="4"/>
  <c r="D102" i="11"/>
  <c r="P63" i="4"/>
  <c r="P97" i="4" s="1"/>
  <c r="P105" i="4" s="1"/>
  <c r="I63" i="13"/>
  <c r="I97" i="13" s="1"/>
  <c r="I105" i="13" s="1"/>
  <c r="I107" i="13" s="1"/>
  <c r="C63" i="13"/>
  <c r="C97" i="13" s="1"/>
  <c r="C105" i="13" s="1"/>
  <c r="C71" i="11"/>
  <c r="R38" i="4"/>
  <c r="R70" i="4"/>
  <c r="B81" i="4"/>
  <c r="G58" i="7"/>
  <c r="I63" i="4"/>
  <c r="I97" i="4" s="1"/>
  <c r="I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Y1003" i="3"/>
  <c r="I1048" i="3" s="1"/>
  <c r="C798" i="3"/>
  <c r="G40" i="7"/>
  <c r="G43" i="7" s="1"/>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O641" i="3"/>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K97" i="4" l="1"/>
  <c r="B12" i="13"/>
  <c r="Q391" i="3"/>
  <c r="E18" i="4"/>
  <c r="R18" i="4" s="1"/>
  <c r="S18" i="4" s="1"/>
  <c r="M63" i="4"/>
  <c r="M97" i="4" s="1"/>
  <c r="M105" i="4" s="1"/>
  <c r="R26" i="4"/>
  <c r="E26" i="4"/>
  <c r="E99" i="4"/>
  <c r="E104" i="4" s="1"/>
  <c r="K104" i="4"/>
  <c r="K105" i="4" s="1"/>
  <c r="J40" i="8"/>
  <c r="Z809" i="3" s="1"/>
  <c r="E6" i="7" s="1"/>
  <c r="D105" i="11"/>
  <c r="E11" i="4"/>
  <c r="R9" i="4"/>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11" i="4" l="1"/>
  <c r="T9" i="4"/>
  <c r="E18" i="13"/>
  <c r="S26" i="4"/>
  <c r="E63" i="4"/>
  <c r="E97" i="4" s="1"/>
  <c r="E105" i="4" s="1"/>
  <c r="E12" i="4"/>
  <c r="AC455" i="3"/>
  <c r="O20" i="21"/>
  <c r="P20" i="21" s="1" a="1"/>
  <c r="P20" i="21" s="1"/>
  <c r="S20" i="21" s="1"/>
  <c r="O25" i="21"/>
  <c r="P25" i="21" s="1" a="1"/>
  <c r="P25" i="21" s="1"/>
  <c r="S25" i="21" s="1"/>
  <c r="O21" i="21"/>
  <c r="P21" i="21" s="1" a="1"/>
  <c r="P21" i="21" s="1"/>
  <c r="S21" i="21" s="1"/>
  <c r="O24" i="21"/>
  <c r="P24" i="21" s="1" a="1"/>
  <c r="P24" i="21" s="1"/>
  <c r="S24" i="21" s="1"/>
  <c r="O23" i="21"/>
  <c r="P23" i="21" s="1" a="1"/>
  <c r="P23" i="21" s="1"/>
  <c r="S23" i="21" s="1"/>
  <c r="O22" i="21"/>
  <c r="P22" i="21" s="1" a="1"/>
  <c r="P22" i="21" s="1"/>
  <c r="S22" i="21" s="1"/>
  <c r="D64" i="11"/>
  <c r="B105" i="4"/>
  <c r="BE101" i="3"/>
  <c r="AK84" i="20"/>
  <c r="AK191" i="20" s="1"/>
  <c r="T811" i="20" s="1"/>
  <c r="AF811" i="20" s="1"/>
  <c r="BE76" i="3" s="1"/>
  <c r="D13" i="11"/>
  <c r="B97" i="13"/>
  <c r="B97" i="4"/>
  <c r="B105" i="13"/>
  <c r="AG269" i="20"/>
  <c r="O58" i="7"/>
  <c r="Q53" i="7"/>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26" i="13" l="1"/>
  <c r="S63" i="4"/>
  <c r="T11" i="4"/>
  <c r="H9" i="13"/>
  <c r="R12" i="4"/>
  <c r="R63" i="4"/>
  <c r="R97" i="4" s="1"/>
  <c r="AB266" i="20"/>
  <c r="AG268" i="20" s="1"/>
  <c r="AG270" i="20" s="1"/>
  <c r="AK273" i="20" s="1"/>
  <c r="T812" i="20" s="1"/>
  <c r="AF812" i="20" s="1"/>
  <c r="BE77" i="3" s="1"/>
  <c r="AC454" i="3"/>
  <c r="AB47" i="15"/>
  <c r="AB49" i="15" s="1"/>
  <c r="AB54" i="15" s="1"/>
  <c r="AB55" i="15" s="1"/>
  <c r="T805" i="20"/>
  <c r="AF805" i="20" s="1"/>
  <c r="BE72" i="3" s="1"/>
  <c r="N185" i="23"/>
  <c r="BE22" i="3"/>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H11" i="13" l="1"/>
  <c r="T63" i="4"/>
  <c r="E63" i="13"/>
  <c r="S97" i="4"/>
  <c r="AJ1029" i="3"/>
  <c r="AJ994" i="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Z1046" i="3" l="1"/>
  <c r="E97" i="13"/>
  <c r="S105" i="4"/>
  <c r="T97" i="4"/>
  <c r="H63"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E67" i="7" l="1"/>
  <c r="E69" i="7"/>
  <c r="E68" i="7"/>
  <c r="E66" i="7"/>
  <c r="H97" i="13"/>
  <c r="T105" i="4"/>
  <c r="AZ1048" i="3"/>
  <c r="AZ1051" i="3" s="1"/>
  <c r="S107" i="4"/>
  <c r="E105" i="13"/>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G67" i="7" l="1"/>
  <c r="G69" i="7"/>
  <c r="G66" i="7"/>
  <c r="G68" i="7"/>
  <c r="E107" i="13"/>
  <c r="BA1056" i="3"/>
  <c r="BA1055" i="3" s="1"/>
  <c r="BA1059" i="3" s="1"/>
  <c r="H105" i="13"/>
  <c r="T107" i="4"/>
  <c r="H107" i="13" s="1"/>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I69" i="7" l="1"/>
  <c r="I66" i="7"/>
  <c r="I68" i="7"/>
  <c r="I67" i="7"/>
  <c r="AD11" i="15"/>
  <c r="AD23" i="15" s="1"/>
  <c r="AD26" i="15" s="1"/>
  <c r="AD28" i="15" s="1"/>
  <c r="AI11" i="15"/>
  <c r="AI23" i="15" s="1"/>
  <c r="AI26" i="15" s="1"/>
  <c r="AI28" i="15" s="1"/>
  <c r="AC456" i="3"/>
  <c r="T11" i="15"/>
  <c r="T23" i="15" s="1"/>
  <c r="Y11" i="15"/>
  <c r="Y23" i="15" s="1"/>
  <c r="Y26" i="15" s="1"/>
  <c r="Y28" i="15" s="1"/>
  <c r="Y64" i="15" s="1"/>
  <c r="Y68" i="15" s="1"/>
  <c r="Y69" i="15" s="1"/>
  <c r="AF551" i="20"/>
  <c r="AF553" i="20" s="1"/>
  <c r="AK559" i="20" s="1"/>
  <c r="T818" i="20" s="1"/>
  <c r="AF818" i="20" s="1"/>
  <c r="BE81" i="3" s="1"/>
  <c r="AA1056" i="3"/>
  <c r="AA1057" i="3" s="1"/>
  <c r="G1058" i="3" s="1"/>
  <c r="AC53" i="7"/>
  <c r="AA58" i="7"/>
  <c r="U4" i="7"/>
  <c r="S5" i="7"/>
  <c r="M48" i="7"/>
  <c r="M47" i="7"/>
  <c r="M60" i="7"/>
  <c r="O45" i="7"/>
  <c r="O49" i="7"/>
  <c r="K62" i="7"/>
  <c r="Q7" i="7"/>
  <c r="Q11" i="7" s="1"/>
  <c r="Q37" i="7" s="1"/>
  <c r="S6" i="7"/>
  <c r="W22" i="7"/>
  <c r="W35" i="7" s="1"/>
  <c r="Y15" i="7"/>
  <c r="W9" i="7"/>
  <c r="Y8" i="7"/>
  <c r="I70" i="7" l="1"/>
  <c r="I72" i="7" s="1"/>
  <c r="K68" i="7"/>
  <c r="K66" i="7"/>
  <c r="K67" i="7"/>
  <c r="K69" i="7"/>
  <c r="T26" i="15"/>
  <c r="T28" i="15" s="1"/>
  <c r="T29" i="15" s="1"/>
  <c r="AD38" i="15"/>
  <c r="AD40" i="15" s="1"/>
  <c r="Y38" i="15"/>
  <c r="Y40" i="15" s="1"/>
  <c r="AE53" i="7"/>
  <c r="AC58" i="7"/>
  <c r="U5" i="7"/>
  <c r="W4" i="7"/>
  <c r="Q49" i="7"/>
  <c r="Q45" i="7"/>
  <c r="M62" i="7"/>
  <c r="O47" i="7"/>
  <c r="O48" i="7"/>
  <c r="O60" i="7"/>
  <c r="K70" i="7"/>
  <c r="K72" i="7" s="1"/>
  <c r="S7" i="7"/>
  <c r="S11" i="7" s="1"/>
  <c r="S37" i="7" s="1"/>
  <c r="U6" i="7"/>
  <c r="Y22" i="7"/>
  <c r="Y35" i="7" s="1"/>
  <c r="AA15" i="7"/>
  <c r="Y9" i="7"/>
  <c r="AA8" i="7"/>
  <c r="M68" i="7" l="1"/>
  <c r="M69" i="7"/>
  <c r="M67" i="7"/>
  <c r="M66" i="7"/>
  <c r="Y41" i="15"/>
  <c r="AB56" i="15" s="1"/>
  <c r="AG53" i="7"/>
  <c r="AG58" i="7" s="1"/>
  <c r="AE58" i="7"/>
  <c r="M70" i="7"/>
  <c r="M72" i="7" s="1"/>
  <c r="W5" i="7"/>
  <c r="Y4" i="7"/>
  <c r="U7" i="7"/>
  <c r="U11" i="7" s="1"/>
  <c r="U37" i="7" s="1"/>
  <c r="W6" i="7"/>
  <c r="O62" i="7"/>
  <c r="Q60" i="7"/>
  <c r="Q48" i="7"/>
  <c r="Q47" i="7"/>
  <c r="S49" i="7"/>
  <c r="S45" i="7"/>
  <c r="AC15" i="7"/>
  <c r="AA22" i="7"/>
  <c r="AA35" i="7" s="1"/>
  <c r="AC8" i="7"/>
  <c r="AA9" i="7"/>
  <c r="O67" i="7" l="1"/>
  <c r="O66" i="7"/>
  <c r="O69" i="7"/>
  <c r="O68" i="7"/>
  <c r="M26" i="3"/>
  <c r="AB57" i="15"/>
  <c r="AB59" i="15" s="1"/>
  <c r="AB77" i="15" s="1"/>
  <c r="AB78" i="15" s="1"/>
  <c r="AB79" i="15" s="1"/>
  <c r="AB81" i="15" s="1"/>
  <c r="J82" i="15" s="1"/>
  <c r="AA4" i="7"/>
  <c r="Y5" i="7"/>
  <c r="Y6" i="7"/>
  <c r="W7" i="7"/>
  <c r="W11" i="7" s="1"/>
  <c r="W37" i="7" s="1"/>
  <c r="U45" i="7"/>
  <c r="U49" i="7"/>
  <c r="Q62" i="7"/>
  <c r="S48" i="7"/>
  <c r="S47" i="7"/>
  <c r="S60" i="7"/>
  <c r="AE15" i="7"/>
  <c r="AC22" i="7"/>
  <c r="AC35" i="7" s="1"/>
  <c r="AC9" i="7"/>
  <c r="AE8" i="7"/>
  <c r="O70" i="7" l="1"/>
  <c r="O72" i="7" s="1"/>
  <c r="Q67" i="7"/>
  <c r="Q68" i="7"/>
  <c r="Q66" i="7"/>
  <c r="Q69" i="7"/>
  <c r="Q70" i="7" s="1"/>
  <c r="Q72" i="7" s="1"/>
  <c r="BE19" i="3"/>
  <c r="P204" i="3"/>
  <c r="M27" i="3"/>
  <c r="BE20" i="3" s="1"/>
  <c r="I10" i="21"/>
  <c r="I11" i="21" s="1"/>
  <c r="AA5" i="7"/>
  <c r="AC4" i="7"/>
  <c r="S62" i="7"/>
  <c r="U48" i="7"/>
  <c r="U60" i="7"/>
  <c r="U47" i="7"/>
  <c r="W49" i="7"/>
  <c r="W45" i="7"/>
  <c r="Y7" i="7"/>
  <c r="Y11" i="7" s="1"/>
  <c r="Y37" i="7" s="1"/>
  <c r="AA6" i="7"/>
  <c r="AE22" i="7"/>
  <c r="AE35" i="7" s="1"/>
  <c r="AG15" i="7"/>
  <c r="AG22" i="7" s="1"/>
  <c r="AG35" i="7" s="1"/>
  <c r="AE9" i="7"/>
  <c r="AG8" i="7"/>
  <c r="AG9" i="7" s="1"/>
  <c r="S69" i="7" l="1"/>
  <c r="S68" i="7"/>
  <c r="S66" i="7"/>
  <c r="S67" i="7"/>
  <c r="I18" i="21"/>
  <c r="H4" i="21" s="1"/>
  <c r="P205" i="3"/>
  <c r="AC5" i="7"/>
  <c r="AE4" i="7"/>
  <c r="AC6" i="7"/>
  <c r="AA7" i="7"/>
  <c r="AA11" i="7" s="1"/>
  <c r="AA37" i="7" s="1"/>
  <c r="U62" i="7"/>
  <c r="Y49" i="7"/>
  <c r="Y45" i="7"/>
  <c r="W60" i="7"/>
  <c r="W47" i="7"/>
  <c r="W48" i="7"/>
  <c r="S70" i="7" l="1"/>
  <c r="S72" i="7" s="1"/>
  <c r="U66" i="7"/>
  <c r="U67" i="7"/>
  <c r="U68" i="7"/>
  <c r="U69" i="7"/>
  <c r="AE5" i="7"/>
  <c r="AG4" i="7"/>
  <c r="AA45" i="7"/>
  <c r="AA49" i="7"/>
  <c r="W62" i="7"/>
  <c r="Y47" i="7"/>
  <c r="Y48" i="7"/>
  <c r="Y60" i="7"/>
  <c r="AE6" i="7"/>
  <c r="AC7" i="7"/>
  <c r="AC11" i="7" s="1"/>
  <c r="AC37" i="7" s="1"/>
  <c r="U70" i="7" l="1"/>
  <c r="U72" i="7" s="1"/>
  <c r="W67" i="7"/>
  <c r="W66" i="7"/>
  <c r="W68" i="7"/>
  <c r="W69" i="7"/>
  <c r="AG5" i="7"/>
  <c r="AA60" i="7"/>
  <c r="AA47" i="7"/>
  <c r="AA48" i="7"/>
  <c r="AC45" i="7"/>
  <c r="AC49" i="7"/>
  <c r="AE7" i="7"/>
  <c r="AE11" i="7" s="1"/>
  <c r="AE37" i="7" s="1"/>
  <c r="AG6" i="7"/>
  <c r="Y62" i="7"/>
  <c r="W70" i="7" l="1"/>
  <c r="W72" i="7" s="1"/>
  <c r="Y66" i="7"/>
  <c r="Y67" i="7"/>
  <c r="Y68" i="7"/>
  <c r="Y69" i="7"/>
  <c r="Y70" i="7"/>
  <c r="Y72" i="7" s="1"/>
  <c r="AG7" i="7"/>
  <c r="AG11" i="7" s="1"/>
  <c r="AG37" i="7" s="1"/>
  <c r="AE49" i="7"/>
  <c r="AE45" i="7"/>
  <c r="AC60" i="7"/>
  <c r="AC48" i="7"/>
  <c r="AC47" i="7"/>
  <c r="AA62" i="7"/>
  <c r="AA67" i="7" l="1"/>
  <c r="AA68" i="7"/>
  <c r="AA69" i="7"/>
  <c r="AA66" i="7"/>
  <c r="AC62" i="7"/>
  <c r="AE47" i="7"/>
  <c r="AE60" i="7"/>
  <c r="AE48" i="7"/>
  <c r="AG49" i="7"/>
  <c r="AG45" i="7"/>
  <c r="AA70" i="7" l="1"/>
  <c r="AA72" i="7" s="1"/>
  <c r="AC67" i="7"/>
  <c r="AC69" i="7"/>
  <c r="AC66" i="7"/>
  <c r="AC68" i="7"/>
  <c r="AG48" i="7"/>
  <c r="AG60" i="7"/>
  <c r="AG47" i="7"/>
  <c r="AE62" i="7"/>
  <c r="AC70" i="7"/>
  <c r="AC72" i="7" s="1"/>
  <c r="AE69" i="7" l="1"/>
  <c r="AE67" i="7"/>
  <c r="AE66" i="7"/>
  <c r="AE68" i="7"/>
  <c r="AG62" i="7"/>
  <c r="AE70" i="7" l="1"/>
  <c r="AE72" i="7" s="1"/>
  <c r="AG69" i="7"/>
  <c r="AG66" i="7"/>
  <c r="AG68" i="7"/>
  <c r="AG67" i="7"/>
  <c r="AG70" i="7" s="1"/>
  <c r="AG72" i="7" s="1"/>
  <c r="BH753" i="3"/>
  <c r="AC753" i="3" s="1"/>
  <c r="BE42" i="3" l="1"/>
  <c r="E93" i="20"/>
  <c r="E94" i="20" s="1"/>
  <c r="E95" i="20" s="1"/>
  <c r="E103" i="20"/>
  <c r="E106" i="20" s="1"/>
  <c r="AP106" i="20" s="1"/>
  <c r="AK109" i="20" s="1"/>
  <c r="T806" i="20" s="1"/>
  <c r="AF806" i="20" s="1"/>
  <c r="BE73" i="3" l="1"/>
  <c r="AF821" i="20"/>
  <c r="BE70" i="3" s="1"/>
  <c r="H3" i="21"/>
  <c r="H5" i="21" l="1"/>
  <c r="BE83" i="3" s="1"/>
  <c r="R99" i="4" l="1"/>
  <c r="N104" i="4"/>
  <c r="N105" i="4" s="1"/>
  <c r="R104"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Kylie Gelormini</author>
    <author>Ferguson, Gina</author>
    <author>Gullikson, Sarah</author>
    <author>Chen, Zhuo</author>
    <author>State Treasurer's Office</author>
  </authors>
  <commentList>
    <comment ref="X176" authorId="0" shapeId="0" xr:uid="{F4CF0F22-D21A-4A0E-99A5-7325F95EE40F}">
      <text>
        <r>
          <rPr>
            <b/>
            <sz val="9"/>
            <color indexed="81"/>
            <rFont val="Tahoma"/>
            <family val="2"/>
          </rPr>
          <t xml:space="preserve">Kylie Gelormini:
</t>
        </r>
        <r>
          <rPr>
            <sz val="9"/>
            <color indexed="81"/>
            <rFont val="Tahoma"/>
            <family val="2"/>
          </rPr>
          <t>We also applied for 9% LIHTC in the last round, the application number for that was CA-25-075</t>
        </r>
      </text>
    </comment>
    <comment ref="Z205" authorId="1"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2"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2"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1" shapeId="0" xr:uid="{EED2BCA4-2F9A-416B-B02E-C75BB055B248}">
      <text>
        <r>
          <rPr>
            <sz val="9"/>
            <color indexed="81"/>
            <rFont val="Tahoma"/>
            <family val="2"/>
          </rPr>
          <t>Input tax-exempt bond amount.  This cell is linked to the tie breaker.  Do not include any taxable bond amount.</t>
        </r>
      </text>
    </comment>
    <comment ref="AE693" authorId="0" shapeId="0" xr:uid="{6EB9E60F-242E-4212-955A-1561D4230975}">
      <text>
        <r>
          <rPr>
            <b/>
            <sz val="9"/>
            <color indexed="81"/>
            <rFont val="Tahoma"/>
            <family val="2"/>
          </rPr>
          <t>Kylie Gelormini:</t>
        </r>
        <r>
          <rPr>
            <sz val="9"/>
            <color indexed="81"/>
            <rFont val="Tahoma"/>
            <family val="2"/>
          </rPr>
          <t xml:space="preserve">
Per the 8/5/2025 adopted regulations that were updted based on th updates to Section 42 of the IRS code, the minimum percentage of bond financing is 25%.  We will meet the 25% requirement. </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<sst xmlns="http://schemas.openxmlformats.org/spreadsheetml/2006/main" count="5127" uniqueCount="2805">
  <si>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</si>
  <si>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</si>
  <si>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</si>
  <si>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</si>
  <si>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</si>
  <si>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</si>
  <si>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</si>
  <si>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</si>
  <si>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</si>
  <si>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</si>
  <si>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</si>
  <si>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</si>
  <si>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</si>
  <si>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</si>
  <si>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</si>
  <si>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</si>
  <si>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</si>
  <si>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</si>
  <si>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</si>
  <si>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</si>
  <si>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</si>
  <si>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</si>
  <si>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</si>
  <si>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</si>
  <si>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</si>
  <si>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</si>
  <si>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</si>
  <si>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</si>
  <si>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</si>
  <si>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</si>
  <si>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</si>
  <si>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</si>
  <si>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</si>
  <si>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</si>
  <si>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</si>
  <si>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</si>
  <si>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</si>
  <si>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</si>
  <si>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</si>
  <si>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</si>
  <si>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</si>
  <si>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</si>
  <si>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</si>
  <si>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</si>
  <si>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</si>
  <si>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</si>
  <si>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</si>
  <si>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</si>
  <si>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</si>
  <si>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</si>
  <si>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</si>
  <si>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</si>
  <si>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</si>
  <si>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</si>
  <si>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</si>
  <si>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</si>
  <si>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</si>
  <si>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</si>
  <si>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</si>
  <si>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</si>
  <si>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</si>
  <si>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</si>
  <si>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</si>
  <si>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</si>
  <si>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</si>
  <si>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</si>
  <si>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</si>
  <si>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</si>
  <si>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</si>
  <si>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</si>
  <si>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</si>
  <si>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</si>
  <si>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</si>
  <si>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</si>
  <si>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</si>
  <si>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</si>
  <si>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</si>
  <si>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</si>
  <si>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</si>
  <si>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</si>
  <si>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</si>
  <si>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</si>
  <si>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</si>
  <si>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</si>
  <si>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</si>
  <si>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</si>
  <si>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</si>
  <si>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</si>
  <si>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</si>
  <si>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</si>
  <si>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</si>
  <si>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</si>
  <si>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</si>
  <si>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</si>
  <si>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</si>
  <si>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</si>
  <si>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</si>
  <si>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</si>
  <si>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</si>
  <si>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</si>
  <si>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</si>
  <si>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</si>
  <si>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</si>
  <si>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</si>
  <si>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</si>
  <si>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</si>
  <si>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</si>
  <si>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</si>
  <si>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</si>
  <si>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</si>
  <si>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</si>
  <si>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</si>
  <si>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</si>
  <si>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</si>
  <si>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</si>
  <si>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</si>
  <si>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</si>
  <si>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</si>
  <si>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</si>
  <si>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</si>
  <si>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</si>
  <si>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</si>
  <si>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</si>
  <si>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</si>
  <si>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</si>
  <si>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</si>
  <si>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</si>
  <si>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</si>
  <si>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</si>
  <si>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</si>
  <si>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</si>
  <si>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</si>
  <si>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</si>
  <si>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</si>
  <si>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</si>
  <si>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</si>
  <si>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</si>
  <si>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</si>
  <si>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</si>
  <si>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</si>
  <si>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</si>
  <si>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</si>
  <si>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</si>
  <si>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</si>
  <si>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</si>
  <si>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</si>
  <si>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</si>
  <si>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</si>
  <si>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</si>
  <si>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</si>
  <si>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</si>
  <si>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</si>
  <si>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</si>
  <si>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</si>
  <si>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</si>
  <si>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</si>
  <si>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</si>
  <si>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</si>
  <si>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</si>
  <si>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</si>
  <si>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</si>
  <si>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</si>
  <si>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</si>
  <si>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</si>
  <si>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</si>
  <si>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</si>
  <si>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</si>
  <si>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</si>
  <si>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</si>
  <si>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</si>
  <si>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</si>
  <si>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</si>
  <si>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</si>
  <si>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</si>
  <si>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</si>
  <si>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</si>
  <si>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</si>
  <si>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</si>
  <si>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</si>
  <si>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</si>
  <si>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</si>
  <si>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</si>
  <si>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</si>
  <si>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</si>
  <si>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</si>
  <si>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</si>
  <si>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</si>
  <si>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</si>
  <si>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</si>
  <si>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</si>
  <si>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</si>
  <si>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</si>
  <si>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</si>
  <si>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</si>
  <si>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</si>
  <si>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</si>
  <si>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</si>
  <si>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</si>
  <si>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</si>
  <si>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</si>
  <si>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</si>
  <si>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</si>
  <si>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</si>
  <si>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</si>
  <si>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</si>
  <si>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</si>
  <si>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</si>
  <si>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</si>
  <si>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</si>
  <si>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</si>
  <si>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</si>
  <si>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</si>
  <si>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</si>
  <si>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</si>
  <si>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</si>
  <si>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</si>
  <si>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</si>
  <si>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</si>
  <si>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</si>
  <si>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</si>
  <si>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</si>
  <si>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</si>
  <si>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</si>
  <si>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</si>
  <si>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</si>
  <si>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</si>
  <si>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</si>
  <si>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</si>
  <si>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</si>
  <si>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</si>
  <si>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</si>
  <si>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</si>
  <si>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</si>
  <si>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</si>
  <si>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</si>
  <si>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</si>
  <si>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</si>
  <si>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</si>
  <si>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</si>
  <si>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</si>
  <si>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</si>
  <si>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</si>
  <si>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</si>
  <si>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</si>
  <si>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</si>
  <si>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</si>
  <si>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</si>
  <si>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</si>
  <si>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</si>
  <si>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</si>
  <si>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</si>
  <si>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</si>
  <si>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</si>
  <si>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</si>
  <si>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</si>
  <si>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</si>
  <si>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</si>
  <si>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</si>
  <si>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</si>
  <si>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</si>
  <si>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</si>
  <si>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</si>
  <si>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</si>
  <si>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</si>
  <si>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</si>
  <si>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</si>
  <si>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</si>
  <si>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</si>
  <si>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</si>
  <si>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</si>
  <si>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</si>
  <si>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</si>
  <si>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</si>
  <si>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</si>
  <si>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</si>
  <si>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</si>
  <si>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</si>
  <si>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</si>
  <si>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</si>
  <si>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</si>
  <si>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</si>
  <si>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</si>
  <si>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</si>
  <si>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</si>
  <si>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</si>
  <si>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</si>
  <si>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</si>
  <si>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</si>
  <si>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</si>
  <si>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</si>
  <si>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</si>
  <si>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</si>
  <si>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</si>
  <si>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</si>
  <si>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</si>
  <si>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</si>
  <si>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</si>
  <si>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</si>
  <si>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</si>
  <si>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</si>
  <si>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</si>
  <si>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</si>
  <si>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</si>
  <si>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</si>
  <si>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</si>
  <si>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</si>
  <si>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</si>
  <si>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</si>
  <si>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</si>
  <si>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</si>
  <si>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</si>
  <si>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</si>
  <si>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</si>
  <si>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</si>
  <si>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</si>
  <si>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</si>
  <si>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</si>
  <si>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</si>
  <si>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</si>
  <si>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</si>
  <si>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</si>
  <si>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</si>
  <si>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</si>
  <si>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</si>
  <si>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</si>
  <si>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</si>
  <si>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</si>
  <si>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</si>
  <si>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</si>
  <si>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</si>
  <si>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</si>
  <si>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</si>
  <si>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</si>
  <si>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</si>
  <si>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</si>
  <si>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</si>
  <si>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</si>
  <si>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</si>
  <si>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</si>
  <si>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</si>
  <si>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</si>
  <si>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</si>
  <si>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</si>
  <si>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</si>
  <si>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</si>
  <si>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</si>
  <si>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</si>
  <si>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</si>
  <si>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</si>
  <si>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</si>
  <si>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</si>
  <si>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</si>
  <si>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</si>
  <si>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</si>
  <si>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</si>
  <si>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</si>
  <si>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</si>
  <si>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</si>
  <si>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</si>
  <si>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</si>
  <si>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</si>
  <si>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</si>
  <si>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</si>
  <si>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</si>
  <si>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</si>
  <si>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</si>
  <si>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</si>
  <si>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</si>
  <si>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</si>
  <si>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</si>
  <si>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</si>
  <si>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</si>
  <si>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</si>
  <si>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</si>
  <si>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</si>
  <si>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</si>
  <si>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</si>
  <si>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</si>
  <si>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</si>
  <si>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</si>
  <si>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</si>
  <si>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</si>
  <si>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</si>
  <si>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</si>
  <si>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</si>
  <si>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</si>
  <si>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</si>
  <si>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</si>
  <si>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</si>
  <si>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</si>
  <si>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</si>
  <si>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</si>
  <si>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</si>
  <si>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</si>
  <si>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</si>
  <si>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</si>
  <si>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</si>
  <si>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</si>
  <si>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</si>
  <si>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</si>
  <si>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</si>
  <si>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</si>
  <si>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</si>
  <si>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</si>
  <si>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</si>
  <si>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</si>
  <si>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</si>
  <si>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</si>
  <si>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</si>
  <si>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</si>
  <si>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</si>
  <si>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</si>
  <si>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</si>
  <si>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</si>
  <si>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</si>
  <si>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</si>
  <si>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</si>
  <si>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</si>
  <si>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</si>
  <si>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</si>
  <si>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</si>
  <si>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</si>
  <si>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</si>
  <si>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</si>
  <si>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</si>
  <si>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</si>
  <si>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</si>
  <si>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</si>
  <si>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</si>
  <si>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</si>
  <si>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</si>
  <si>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</si>
  <si>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</si>
  <si>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</si>
  <si>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</si>
  <si>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</si>
  <si>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</si>
  <si>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</si>
  <si>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</si>
  <si>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</si>
  <si>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</si>
  <si>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</si>
  <si>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</si>
  <si>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</si>
  <si>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</si>
  <si>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</si>
  <si>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</si>
  <si>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</si>
  <si>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</si>
  <si>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</si>
  <si>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</si>
  <si>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</si>
  <si>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</si>
  <si>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</si>
  <si>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</si>
  <si>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</si>
  <si>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</si>
  <si>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</si>
  <si>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</si>
  <si>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</si>
  <si>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</si>
  <si>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</si>
  <si>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</si>
  <si>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</si>
  <si>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</si>
  <si>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</si>
  <si>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</si>
  <si>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</si>
  <si>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</si>
  <si>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</si>
  <si>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</si>
  <si>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</si>
  <si>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</si>
  <si>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</si>
  <si>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</si>
  <si>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</si>
  <si>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</si>
  <si>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</si>
  <si>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</si>
  <si>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</si>
  <si>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</si>
  <si>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</si>
  <si>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</si>
  <si>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</si>
  <si>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</si>
  <si>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</si>
  <si>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</si>
  <si>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</si>
  <si>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</si>
  <si>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</si>
  <si>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</si>
  <si>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</si>
  <si>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</si>
  <si>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</si>
  <si>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</si>
  <si>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</si>
  <si>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</si>
  <si>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</si>
  <si>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</si>
  <si>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</si>
  <si>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</si>
  <si>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</si>
  <si>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</si>
  <si>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</si>
  <si>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</si>
  <si>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</si>
  <si>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</si>
  <si>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</si>
  <si>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</si>
  <si>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</si>
  <si>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</si>
  <si>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</si>
  <si>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</si>
  <si>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</si>
  <si>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</si>
  <si>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</si>
  <si>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</si>
  <si>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</si>
  <si>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</si>
  <si>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</si>
  <si>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</si>
  <si>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</si>
  <si>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</si>
  <si>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</si>
  <si>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</si>
  <si>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</si>
  <si>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</si>
  <si>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</si>
  <si>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</si>
  <si>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</si>
  <si>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</si>
  <si>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</si>
  <si>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</si>
  <si>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</si>
  <si>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</si>
  <si>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</si>
  <si>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</si>
  <si>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</si>
  <si>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</si>
  <si>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</si>
  <si>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</si>
  <si>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</si>
  <si>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</si>
  <si>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</si>
  <si>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</si>
  <si>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</si>
  <si>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</si>
  <si>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</si>
  <si>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</si>
  <si>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</si>
  <si>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</si>
  <si>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</si>
  <si>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</si>
  <si>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</si>
  <si>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</si>
  <si>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</si>
  <si>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</si>
  <si>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</si>
  <si>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</si>
  <si>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</si>
  <si>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</si>
  <si>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</si>
  <si>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</si>
  <si>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</si>
  <si>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</si>
  <si>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</si>
  <si>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</si>
  <si>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</si>
  <si>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</si>
  <si>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</si>
  <si>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</si>
  <si>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</si>
  <si>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</si>
  <si>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</si>
  <si>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</si>
  <si>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</si>
  <si>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</si>
  <si>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</si>
  <si>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</si>
  <si>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</si>
  <si>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</si>
  <si>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</si>
  <si>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</si>
  <si>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</si>
  <si>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</si>
  <si>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</si>
  <si>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</si>
  <si>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</si>
  <si>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</si>
  <si>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</si>
  <si>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</si>
  <si>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</si>
  <si>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</si>
  <si>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</si>
  <si>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</si>
  <si>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</si>
  <si>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</si>
  <si>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</si>
  <si>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</si>
  <si>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</si>
  <si>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</si>
  <si>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</si>
  <si>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</si>
  <si>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</si>
  <si>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</si>
  <si>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</si>
  <si>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</si>
  <si>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</si>
  <si>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</si>
  <si>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</si>
  <si>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</si>
  <si>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</si>
  <si>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</si>
  <si>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</si>
  <si>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</si>
  <si>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</si>
  <si>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</si>
  <si>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</si>
  <si>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</si>
  <si>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</si>
  <si>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</si>
  <si>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</si>
  <si>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</si>
  <si>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</si>
  <si>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</si>
  <si>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</si>
  <si>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</si>
  <si>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</si>
  <si>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</si>
  <si>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</si>
  <si>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</si>
  <si>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</si>
  <si>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</si>
  <si>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</si>
  <si>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</si>
  <si>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</si>
  <si>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</si>
  <si>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</si>
  <si>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</si>
  <si>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</si>
  <si>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</si>
  <si>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</si>
  <si>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</si>
  <si>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</si>
  <si>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</si>
  <si>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</si>
  <si>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</si>
  <si>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</si>
  <si>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</si>
  <si>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</si>
  <si>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</si>
  <si>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</si>
  <si>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</si>
  <si>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</si>
  <si>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</si>
  <si>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</si>
  <si>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</si>
  <si>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</si>
  <si>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</si>
  <si>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</si>
  <si>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</si>
  <si>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</si>
  <si>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</si>
  <si>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</si>
  <si>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</si>
  <si>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</si>
  <si>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</si>
  <si>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</si>
  <si>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</si>
  <si>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</si>
  <si>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</si>
  <si>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</si>
  <si>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</si>
  <si>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</si>
  <si>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</si>
  <si>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</si>
  <si>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</si>
  <si>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</si>
  <si>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</si>
  <si>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</si>
  <si>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</si>
  <si>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</si>
  <si>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</si>
  <si>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</si>
  <si>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</si>
  <si>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</si>
  <si>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</si>
  <si>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</si>
  <si>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</si>
  <si>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</si>
  <si>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</si>
  <si>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</si>
  <si>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</si>
  <si>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</si>
  <si>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</si>
  <si>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</si>
  <si>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</si>
  <si>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</si>
  <si>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</si>
  <si>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</si>
  <si>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</si>
  <si>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</si>
  <si>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</si>
  <si>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</si>
  <si>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</si>
  <si>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</si>
  <si>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</si>
  <si>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</si>
  <si>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</si>
  <si>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</si>
  <si>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</si>
  <si>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</si>
  <si>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</si>
  <si>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</si>
  <si>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</si>
  <si>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</si>
  <si>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</si>
  <si>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</si>
  <si>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</si>
  <si>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</si>
  <si>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</si>
  <si>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</si>
  <si>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</si>
  <si>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</si>
  <si>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</si>
  <si>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</si>
  <si>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</si>
  <si>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</si>
  <si>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</si>
  <si>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</si>
  <si>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</si>
  <si>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</si>
  <si>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</si>
  <si>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</si>
  <si>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</si>
  <si>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</si>
  <si>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</si>
  <si>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</si>
  <si>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</si>
  <si>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</si>
  <si>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</si>
  <si>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</si>
  <si>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</si>
  <si>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</si>
  <si>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</si>
  <si>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</si>
  <si>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</si>
  <si>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</si>
  <si>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</si>
  <si>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</si>
  <si>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</si>
  <si>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</si>
  <si>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</si>
  <si>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</si>
  <si>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</si>
  <si>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</si>
  <si>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</si>
  <si>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</si>
  <si>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</si>
  <si>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</si>
  <si>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</si>
  <si>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</si>
  <si>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</si>
  <si>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</si>
  <si>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</si>
  <si>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</si>
  <si>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</si>
  <si>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</si>
  <si>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</si>
  <si>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</si>
  <si>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</si>
  <si>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</si>
  <si>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</si>
  <si>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</si>
  <si>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</si>
  <si>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</si>
  <si>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</si>
  <si>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</si>
  <si>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</si>
  <si>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</si>
  <si>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</si>
  <si>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</si>
  <si>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</si>
  <si>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</si>
  <si>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</si>
  <si>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</si>
  <si>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</si>
  <si>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</si>
  <si>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</si>
  <si>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</si>
  <si>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</si>
  <si>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</si>
  <si>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</si>
  <si>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</si>
  <si>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</si>
  <si>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</si>
  <si>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</si>
  <si>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</si>
  <si>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</si>
  <si>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</si>
  <si>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</si>
  <si>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</si>
  <si>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</si>
  <si>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</si>
  <si>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</si>
  <si>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</si>
  <si>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</si>
  <si>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</si>
  <si>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</si>
  <si>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</si>
  <si>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</si>
  <si>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</si>
  <si>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</si>
  <si>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</si>
  <si>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</si>
  <si>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</si>
  <si>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</si>
  <si>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</si>
  <si>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</si>
  <si>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</si>
  <si>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</si>
  <si>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</si>
  <si>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</si>
  <si>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</si>
  <si>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</si>
  <si>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</si>
  <si>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</si>
  <si>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</si>
  <si>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</si>
  <si>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</si>
  <si>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</si>
  <si>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</si>
  <si>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</si>
  <si>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</si>
  <si>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</si>
  <si>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</si>
  <si>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</si>
  <si>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</si>
  <si>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</si>
  <si>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</si>
  <si>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</si>
  <si>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</si>
  <si>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</si>
  <si>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</si>
  <si>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</si>
  <si>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</si>
  <si>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</si>
  <si>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</si>
  <si>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</si>
  <si>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</si>
  <si>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</si>
  <si>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</si>
  <si>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</si>
  <si>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</si>
  <si>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</si>
  <si>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</si>
  <si>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</si>
  <si>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</si>
  <si>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</si>
  <si>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</si>
  <si>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</si>
  <si>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</si>
  <si>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</si>
  <si>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</si>
  <si>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</si>
  <si>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</si>
  <si>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</si>
  <si>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</si>
  <si>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</si>
  <si>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</si>
  <si>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</si>
  <si>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</si>
  <si>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</si>
  <si>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</si>
  <si>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</si>
  <si>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</si>
  <si>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</si>
  <si>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</si>
  <si>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</si>
  <si>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</si>
  <si>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</si>
  <si>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</si>
  <si>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</si>
  <si>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</si>
  <si>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</si>
  <si>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</si>
  <si>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</si>
  <si>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</si>
  <si>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</si>
  <si>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</si>
  <si>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</si>
  <si>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</si>
  <si>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</si>
  <si>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</si>
  <si>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</si>
  <si>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</si>
  <si>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</si>
  <si>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</si>
  <si>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</si>
  <si>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</si>
  <si>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</si>
  <si>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</si>
  <si>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</si>
  <si>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</si>
  <si>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</si>
  <si>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</si>
  <si>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</si>
  <si>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</si>
  <si>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</si>
  <si>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</si>
  <si>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</si>
  <si>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</si>
  <si>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</si>
  <si>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</si>
  <si>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</si>
  <si>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</si>
  <si>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</si>
  <si>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</si>
  <si>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</si>
  <si>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</si>
  <si>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</si>
  <si>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</si>
  <si>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</si>
  <si>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</si>
  <si>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</si>
  <si>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</si>
  <si>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</si>
  <si>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</si>
  <si>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</si>
  <si>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</si>
  <si>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</si>
  <si>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</si>
  <si>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</si>
  <si>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</si>
  <si>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</si>
  <si>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</si>
  <si>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</si>
  <si>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</si>
  <si>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</si>
  <si>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</si>
  <si>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</si>
  <si>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</si>
  <si>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</si>
  <si>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</si>
  <si>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</si>
  <si>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</si>
  <si>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</si>
  <si>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</si>
  <si>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</si>
  <si>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</si>
  <si>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</si>
  <si>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</si>
  <si>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</si>
  <si>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</si>
  <si>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</si>
  <si>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</si>
  <si>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</si>
  <si>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</si>
  <si>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</si>
  <si>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</si>
  <si>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</si>
  <si>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</si>
  <si>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</si>
  <si>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</si>
  <si>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</si>
  <si>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</si>
  <si>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</si>
  <si>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</si>
  <si>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</si>
  <si>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</si>
  <si>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</si>
  <si>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</si>
  <si>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</si>
  <si>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</si>
  <si>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</si>
  <si>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</si>
  <si>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</si>
  <si>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</si>
  <si>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</si>
  <si>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</si>
  <si>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</si>
  <si>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</si>
  <si>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</si>
  <si>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</si>
  <si>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</si>
  <si>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</si>
  <si>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</si>
  <si>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</si>
  <si>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</si>
  <si>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</si>
  <si>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</si>
  <si>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</si>
  <si>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</si>
  <si>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</si>
  <si>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</si>
  <si>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</si>
  <si>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</si>
  <si>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</si>
  <si>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</si>
  <si>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</si>
  <si>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</si>
  <si>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</si>
  <si>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</si>
  <si>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</si>
  <si>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</si>
  <si>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</si>
  <si>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</si>
  <si>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</si>
  <si>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</si>
  <si>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</si>
  <si>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</si>
  <si>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</si>
  <si>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</si>
  <si>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</si>
  <si>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</si>
  <si>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</si>
  <si>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</si>
  <si>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</si>
  <si>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</si>
  <si>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</si>
  <si>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</si>
  <si>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</si>
  <si>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</si>
  <si>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</si>
  <si>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</si>
  <si>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</si>
  <si>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</si>
  <si>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</si>
  <si>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</si>
  <si>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</si>
  <si>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</si>
  <si>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</si>
  <si>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</si>
  <si>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</si>
  <si>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</si>
  <si>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</si>
  <si>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</si>
  <si>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</si>
  <si>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</si>
  <si>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</si>
  <si>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</si>
  <si>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</si>
  <si>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</si>
  <si>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</si>
  <si>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</si>
  <si>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</si>
  <si>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</si>
  <si>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</si>
  <si>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</si>
  <si>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</si>
  <si>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</si>
  <si>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</si>
  <si>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</si>
  <si>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</si>
  <si>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</si>
  <si>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</si>
  <si>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</si>
  <si>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</si>
  <si>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</si>
  <si>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</si>
  <si>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</si>
  <si>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</si>
  <si>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</si>
  <si>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</si>
  <si>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</si>
  <si>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</si>
  <si>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</si>
  <si>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</si>
  <si>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</si>
  <si>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</si>
  <si>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</si>
  <si>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</si>
  <si>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</si>
  <si>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</si>
  <si>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</si>
  <si>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</si>
  <si>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</si>
  <si>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</si>
  <si>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</si>
  <si>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</si>
  <si>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</si>
  <si>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</si>
  <si>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</si>
  <si>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</si>
  <si>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</si>
  <si>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</si>
  <si>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</si>
  <si>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</si>
  <si>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</si>
  <si>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</si>
  <si>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</si>
  <si>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</si>
  <si>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</si>
  <si>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</si>
  <si>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</si>
  <si>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</si>
  <si>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</si>
  <si>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</si>
  <si>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</si>
  <si>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</si>
  <si>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</si>
  <si>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</si>
  <si>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</si>
  <si>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</si>
  <si>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</si>
  <si>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</si>
  <si>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</si>
  <si>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</si>
  <si>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</si>
  <si>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</si>
  <si>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</si>
  <si>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</si>
  <si>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</si>
  <si>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</si>
  <si>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</si>
  <si>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</si>
  <si>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</si>
  <si>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</si>
  <si>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</si>
  <si>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</si>
  <si>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</si>
  <si>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</si>
  <si>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</si>
  <si>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</si>
  <si>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</si>
  <si>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</si>
  <si>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</si>
  <si>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</si>
  <si>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</si>
  <si>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</si>
  <si>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</si>
  <si>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</si>
  <si>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</si>
  <si>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</si>
  <si>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</si>
  <si>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</si>
  <si>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</si>
  <si>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</si>
  <si>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</si>
  <si>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</si>
  <si>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</si>
  <si>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</si>
  <si>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</si>
  <si>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</si>
  <si>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</si>
  <si>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</si>
  <si>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</si>
  <si>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</si>
  <si>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</si>
  <si>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</si>
  <si>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</si>
  <si>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</si>
  <si>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</si>
  <si>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</si>
  <si>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</si>
  <si>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</si>
  <si>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</si>
  <si>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</si>
  <si>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</si>
  <si>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</si>
  <si>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</si>
  <si>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</si>
  <si>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</si>
  <si>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</si>
  <si>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</si>
  <si>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</si>
  <si>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</si>
  <si>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</si>
  <si>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</si>
  <si>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</si>
  <si>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</si>
  <si>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</si>
  <si>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</si>
  <si>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</si>
  <si>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</si>
  <si>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</si>
  <si>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</si>
  <si>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</si>
  <si>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</si>
  <si>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</si>
  <si>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</si>
  <si>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</si>
  <si>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</si>
  <si>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</si>
  <si>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</si>
  <si>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</si>
  <si>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</si>
  <si>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</si>
  <si>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</si>
  <si>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</si>
  <si>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</si>
  <si>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</si>
  <si>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</si>
  <si>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</si>
  <si>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</si>
  <si>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</si>
  <si>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</si>
  <si>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</si>
  <si>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</si>
  <si>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</si>
  <si>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</si>
  <si>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</si>
  <si>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</si>
  <si>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</si>
  <si>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</si>
  <si>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</si>
  <si>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</si>
  <si>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</si>
  <si>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</si>
  <si>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</si>
  <si>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</si>
  <si>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</si>
  <si>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</si>
  <si>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</si>
  <si>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</si>
  <si>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</si>
  <si>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</si>
  <si>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</si>
  <si>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</si>
  <si>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</si>
  <si>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</si>
  <si>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</si>
  <si>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</si>
  <si>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</si>
  <si>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</si>
  <si>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</si>
  <si>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</si>
  <si>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</si>
  <si>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</si>
  <si>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</si>
  <si>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</si>
  <si>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</si>
  <si>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</si>
  <si>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</si>
  <si>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</si>
  <si>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</si>
  <si>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</si>
  <si>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</si>
  <si>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</si>
  <si>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</si>
  <si>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</si>
  <si>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</si>
  <si>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</si>
  <si>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</si>
  <si>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</si>
  <si>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</si>
  <si>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</si>
  <si>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</si>
  <si>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</si>
  <si>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</si>
  <si>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</si>
  <si>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</si>
  <si>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</si>
  <si>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</si>
  <si>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</si>
  <si>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</si>
  <si>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</si>
  <si>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</si>
  <si>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</si>
  <si>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</si>
  <si>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</si>
  <si>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</si>
  <si>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</si>
  <si>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</si>
  <si>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</si>
  <si>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</si>
  <si>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</si>
  <si>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</si>
  <si>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</si>
  <si>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</si>
  <si>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</si>
  <si>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</si>
  <si>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</si>
  <si>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</si>
  <si>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</si>
  <si>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</si>
  <si>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</si>
  <si>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</si>
  <si>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</si>
  <si>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</si>
  <si>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</si>
  <si>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</si>
  <si>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</si>
  <si>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</si>
  <si>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</si>
  <si>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</si>
  <si>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</si>
  <si>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</si>
  <si>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</si>
  <si>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</si>
  <si>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</si>
  <si>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</si>
  <si>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</si>
  <si>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</si>
  <si>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</si>
  <si>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</si>
  <si>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</si>
  <si>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</si>
  <si>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</si>
  <si>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</si>
  <si>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</si>
  <si>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</si>
  <si>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</si>
  <si>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</si>
  <si>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</si>
  <si>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</si>
  <si>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</si>
  <si>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</si>
  <si>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</si>
  <si>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</si>
  <si>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</si>
  <si>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</si>
  <si>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</si>
  <si>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</si>
  <si>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</si>
  <si>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</si>
  <si>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</si>
  <si>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</si>
  <si>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</si>
  <si>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</si>
  <si>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</si>
  <si>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</si>
  <si>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</si>
  <si>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</si>
  <si>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</si>
  <si>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</si>
  <si>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</si>
  <si>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</si>
  <si>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</si>
  <si>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</si>
  <si>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</si>
  <si>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</si>
  <si>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</si>
  <si>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</si>
  <si>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</si>
  <si>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</si>
  <si>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</si>
  <si>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</si>
  <si>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</si>
  <si>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</si>
  <si>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</si>
  <si>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</si>
  <si>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</si>
  <si>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</si>
  <si>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</si>
  <si>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</si>
  <si>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</si>
  <si>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</si>
  <si>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</si>
  <si>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</si>
  <si>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</si>
  <si>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</si>
  <si>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</si>
  <si>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</si>
  <si>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</si>
  <si>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</si>
  <si>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</si>
  <si>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</si>
  <si>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</si>
  <si>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</si>
  <si>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</si>
  <si>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</si>
  <si>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</si>
  <si>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</si>
  <si>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</si>
  <si>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</si>
  <si>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</si>
  <si>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</si>
  <si>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</si>
  <si>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</si>
  <si>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</si>
  <si>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</si>
  <si>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</si>
  <si>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</si>
  <si>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</si>
  <si>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</si>
  <si>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</si>
  <si>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</si>
  <si>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</si>
  <si>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</si>
  <si>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</si>
  <si>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</si>
  <si>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</si>
  <si>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</si>
  <si>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</si>
  <si>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</si>
  <si>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</si>
  <si>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</si>
  <si>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</si>
  <si>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</si>
  <si>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</si>
  <si>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</si>
  <si>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</si>
  <si>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</si>
  <si>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</si>
  <si>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</si>
  <si>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</si>
  <si>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</si>
  <si>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</si>
  <si>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</si>
  <si>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</si>
  <si>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</si>
  <si>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</si>
  <si>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</si>
  <si>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</si>
  <si>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</si>
  <si>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</si>
  <si>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</si>
  <si>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</si>
  <si>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</si>
  <si>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</si>
  <si>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</si>
  <si>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</si>
  <si>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</si>
  <si>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</si>
  <si>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</si>
  <si>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</si>
  <si>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</si>
  <si>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</si>
  <si>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</si>
  <si>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</si>
  <si>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</si>
  <si>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</si>
  <si>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</si>
  <si>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</si>
  <si>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</si>
  <si>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</si>
  <si>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</si>
  <si>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</si>
  <si>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</si>
  <si>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</si>
  <si>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</si>
  <si>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</si>
  <si>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</si>
  <si>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</si>
  <si>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</si>
  <si>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</si>
  <si>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</si>
  <si>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</si>
  <si>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</si>
  <si>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</si>
  <si>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</si>
  <si>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</si>
  <si>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</si>
  <si>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</si>
  <si>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</si>
  <si>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</si>
  <si>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</si>
  <si>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</si>
  <si>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</si>
  <si>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</si>
  <si>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</si>
  <si>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</si>
  <si>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</si>
  <si>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</si>
  <si>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</si>
  <si>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</si>
  <si>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</si>
  <si>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</si>
  <si>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</si>
  <si>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</si>
  <si>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</si>
  <si>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</si>
  <si>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</si>
  <si>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</si>
  <si>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</si>
  <si>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</si>
  <si>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</si>
  <si>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</si>
  <si>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</si>
  <si>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</si>
  <si>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</si>
  <si>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</si>
  <si>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</si>
  <si>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</si>
  <si>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</si>
  <si>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</si>
  <si>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</si>
  <si>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</si>
  <si>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</si>
  <si>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</si>
  <si>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</si>
  <si>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</si>
  <si>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</si>
  <si>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</si>
  <si>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</si>
  <si>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</si>
  <si>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</si>
  <si>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</si>
  <si>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</si>
  <si>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</si>
  <si>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</si>
  <si>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</si>
  <si>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</si>
  <si>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</si>
  <si>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</si>
  <si>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</si>
  <si>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</si>
  <si>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</si>
  <si>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</si>
  <si>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</si>
  <si>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</si>
  <si>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</si>
  <si>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</si>
  <si>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</si>
  <si>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</si>
  <si>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</si>
  <si>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</si>
  <si>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</si>
  <si>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</si>
  <si>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</si>
  <si>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</si>
  <si>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</si>
  <si>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</si>
  <si>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</si>
  <si>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</si>
  <si>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</si>
  <si>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</si>
  <si>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</si>
  <si>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</si>
  <si>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</si>
  <si>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</si>
  <si>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</si>
  <si>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</si>
  <si>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</si>
  <si>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</si>
  <si>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</si>
  <si>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</si>
  <si>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</si>
  <si>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</si>
  <si>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</si>
  <si>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</si>
  <si>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</si>
  <si>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</si>
  <si>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</si>
  <si>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</si>
  <si>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</si>
  <si>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</si>
  <si>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</si>
  <si>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</si>
  <si>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</si>
  <si>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</si>
  <si>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</si>
  <si>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</si>
  <si>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</si>
  <si>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</si>
  <si>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</si>
  <si>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</si>
  <si>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</si>
  <si>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</si>
  <si>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</si>
  <si>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</si>
  <si>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</si>
  <si>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</si>
  <si>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</si>
  <si>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</si>
  <si>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</si>
  <si>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</si>
  <si>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</si>
  <si>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</si>
  <si>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</si>
  <si>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</si>
  <si>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</si>
  <si>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</si>
  <si>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</si>
  <si>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</si>
  <si>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</si>
  <si>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</si>
  <si>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</si>
  <si>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</si>
  <si>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</si>
  <si>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</si>
  <si>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</si>
  <si>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</si>
  <si>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</si>
  <si>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</si>
  <si>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</si>
  <si>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</si>
  <si>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</si>
  <si>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</si>
  <si>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</si>
  <si>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</si>
  <si>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</si>
  <si>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</si>
  <si>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</si>
  <si>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</si>
  <si>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</si>
  <si>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</si>
  <si>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</si>
  <si>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</si>
  <si>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</si>
  <si>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</si>
  <si>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</si>
  <si>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</si>
  <si>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</si>
  <si>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</si>
  <si>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</si>
  <si>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</si>
  <si>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</si>
  <si>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</si>
  <si>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</si>
  <si>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</si>
  <si>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</si>
  <si>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</si>
  <si>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</si>
  <si>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</si>
  <si>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</si>
  <si>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</si>
  <si>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</si>
  <si>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</si>
  <si>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</si>
  <si>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</si>
  <si>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</si>
  <si>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</si>
  <si>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</si>
  <si>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</si>
  <si>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</si>
  <si>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</si>
  <si>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</si>
  <si>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</si>
  <si>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</si>
  <si>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</si>
  <si>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</si>
  <si>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</si>
  <si>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</si>
  <si>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</si>
  <si>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</si>
  <si>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</si>
  <si>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</si>
  <si>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</si>
  <si>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</si>
  <si>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</si>
  <si>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</si>
  <si>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</si>
  <si>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</si>
  <si>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</si>
  <si>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</si>
  <si>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</si>
  <si>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</si>
  <si>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</si>
  <si>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</si>
  <si>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</si>
  <si>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</si>
  <si>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</si>
  <si>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</si>
  <si>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</si>
  <si>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</si>
  <si>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</si>
  <si>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</si>
  <si>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</si>
  <si>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</si>
  <si>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</si>
  <si>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</si>
  <si>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</si>
  <si>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</si>
  <si>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</si>
  <si>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</si>
  <si>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</si>
  <si>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</si>
  <si>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</si>
  <si>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</si>
  <si>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</si>
  <si>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</si>
  <si>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</si>
  <si>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</si>
  <si>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</si>
  <si>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</si>
  <si>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</si>
  <si>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</si>
  <si>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</si>
  <si>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</si>
  <si>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</si>
  <si>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</si>
  <si>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</si>
  <si>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</si>
  <si>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</si>
  <si>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</si>
  <si>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</si>
  <si>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</si>
  <si>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</si>
  <si>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</si>
  <si>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</si>
  <si>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</si>
  <si>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</si>
  <si>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</si>
  <si>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</si>
  <si>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</si>
  <si>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</si>
  <si>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</si>
  <si>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</si>
  <si>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</si>
  <si>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</si>
  <si>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</si>
  <si>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</si>
  <si>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</si>
  <si>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</si>
  <si>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</si>
  <si>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</si>
  <si>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</si>
  <si>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</si>
  <si>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</si>
  <si>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</si>
  <si>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</si>
  <si>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</si>
  <si>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</si>
  <si>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</si>
  <si>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</si>
  <si>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</si>
  <si>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</si>
  <si>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</si>
  <si>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</si>
  <si>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</si>
  <si>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</si>
  <si>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</si>
  <si>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</si>
  <si>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</si>
  <si>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</si>
  <si>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</si>
  <si>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</si>
  <si>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</si>
  <si>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</si>
  <si>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</si>
  <si>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</si>
  <si>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</si>
  <si>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</si>
  <si>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</si>
  <si>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</si>
  <si>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</si>
  <si>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</si>
  <si>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</si>
  <si>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</si>
  <si>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</si>
  <si>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</si>
  <si>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</si>
  <si>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</si>
  <si>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</si>
  <si>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</si>
  <si>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</si>
  <si>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</si>
  <si>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</si>
  <si>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</si>
  <si>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</si>
  <si>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</si>
  <si>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</si>
  <si>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</si>
  <si>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</si>
  <si>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</si>
  <si>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</si>
  <si>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</si>
  <si>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</si>
  <si>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</si>
  <si>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</si>
  <si>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</si>
  <si>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</si>
  <si>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</si>
  <si>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</si>
  <si>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</si>
  <si>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</si>
  <si>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</si>
  <si>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</si>
  <si>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</si>
  <si>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</si>
  <si>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</si>
  <si>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</si>
  <si>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</si>
  <si>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</si>
  <si>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</si>
  <si>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</si>
  <si>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</si>
  <si>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</si>
  <si>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</si>
  <si>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</si>
  <si>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</si>
  <si>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</si>
  <si>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</si>
  <si>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</si>
  <si>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</si>
  <si>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</si>
  <si>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</si>
  <si>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</si>
  <si>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</si>
  <si>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</si>
  <si>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</si>
  <si>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</si>
  <si>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</si>
  <si>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</si>
  <si>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</si>
  <si>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</si>
  <si>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</si>
  <si>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</si>
  <si>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</si>
  <si>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</si>
  <si>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</si>
  <si>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</si>
  <si>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</si>
  <si>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</si>
  <si>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</si>
  <si>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</si>
  <si>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</si>
  <si>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</si>
  <si>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</si>
  <si>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</si>
  <si>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</si>
  <si>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</si>
  <si>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</si>
  <si>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</si>
  <si>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</si>
  <si>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</si>
  <si>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</si>
  <si>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</si>
  <si>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</si>
  <si>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</si>
  <si>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</si>
  <si>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</si>
  <si>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</si>
  <si>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</si>
  <si>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</si>
  <si>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</si>
  <si>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</si>
  <si>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</si>
  <si>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</si>
  <si>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</si>
  <si>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</si>
  <si>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</si>
  <si>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</si>
  <si>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</si>
  <si>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</si>
  <si>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</si>
  <si>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</si>
  <si>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</si>
  <si>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</si>
  <si>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</si>
  <si>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</si>
  <si>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</si>
  <si>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</si>
  <si>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</si>
  <si>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</si>
  <si>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</si>
  <si>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</si>
  <si>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</si>
  <si>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</si>
  <si>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</si>
  <si>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</si>
  <si>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</si>
  <si>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</si>
  <si>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</si>
  <si>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</si>
  <si>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</si>
  <si>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</si>
  <si>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</si>
  <si>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</si>
  <si>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</si>
  <si>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</si>
  <si>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</si>
  <si>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</si>
  <si>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</si>
  <si>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</si>
  <si>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</si>
  <si>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</si>
  <si>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</si>
  <si>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</si>
  <si>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</si>
  <si>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</si>
  <si>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</si>
  <si>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</si>
  <si>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</si>
  <si>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</si>
  <si>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</si>
  <si>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</si>
  <si>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</si>
  <si>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</si>
  <si>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</si>
  <si>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</si>
  <si>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</si>
  <si>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</si>
  <si>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</si>
  <si>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</si>
  <si>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</si>
  <si>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</si>
  <si>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</si>
  <si>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</si>
  <si>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</si>
  <si>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</si>
  <si>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</si>
  <si>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</si>
  <si>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</si>
  <si>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</si>
  <si>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</si>
  <si>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</si>
  <si>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</si>
  <si>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</si>
  <si>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</si>
  <si>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</si>
  <si>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</si>
  <si>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</si>
  <si>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</si>
  <si>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</si>
  <si>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</si>
  <si>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</si>
  <si>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</si>
  <si>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</si>
  <si>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</si>
  <si>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</si>
  <si>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</si>
  <si>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</si>
  <si>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</si>
  <si>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</si>
  <si>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</si>
  <si>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</si>
  <si>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</si>
  <si>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</si>
  <si>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</si>
  <si>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</si>
  <si>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</si>
  <si>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</si>
  <si>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</si>
  <si>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</si>
  <si>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</si>
  <si>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</si>
  <si>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</si>
  <si>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</si>
  <si>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</si>
  <si>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</si>
  <si>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</si>
  <si>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</si>
  <si>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</si>
  <si>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</si>
  <si>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</si>
  <si>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</si>
  <si>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</si>
  <si>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</si>
  <si>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</si>
  <si>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</si>
  <si>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</si>
  <si>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</si>
  <si>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</si>
  <si>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</si>
  <si>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</si>
  <si>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</si>
  <si>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</si>
  <si>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</si>
  <si>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</si>
  <si>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</si>
  <si>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</si>
  <si>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</si>
  <si>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</si>
  <si>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</si>
  <si>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</si>
  <si>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</si>
  <si>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</si>
  <si>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</si>
  <si>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</si>
  <si>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</si>
  <si>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</si>
  <si>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</si>
  <si>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</si>
  <si>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</si>
  <si>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</si>
  <si>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</si>
  <si>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</si>
  <si>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</si>
  <si>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</si>
  <si>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</si>
  <si>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</si>
  <si>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</si>
  <si>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</si>
  <si>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</si>
  <si>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</si>
  <si>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</si>
  <si>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</si>
  <si>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</si>
  <si>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</si>
  <si>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</si>
  <si>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</si>
  <si>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</si>
  <si>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</si>
  <si>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</si>
  <si>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</si>
  <si>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</si>
  <si>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</si>
  <si>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</si>
  <si>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</si>
  <si>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</si>
  <si>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</si>
  <si>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</si>
  <si>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</si>
  <si>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</si>
  <si>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</si>
  <si>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</si>
  <si>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</si>
  <si>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</si>
  <si>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</si>
  <si>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</si>
  <si>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</si>
  <si>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</si>
  <si>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</si>
  <si>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</si>
  <si>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</si>
  <si>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</si>
  <si>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</si>
  <si>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</si>
  <si>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</si>
  <si>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</si>
  <si>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</si>
  <si>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</si>
  <si>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</si>
  <si>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</si>
  <si>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</si>
  <si>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</si>
  <si>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</si>
  <si>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</si>
  <si>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</si>
  <si>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</si>
  <si>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</si>
  <si>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</si>
  <si>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</si>
  <si>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</si>
  <si>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</si>
  <si>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</si>
  <si>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</si>
  <si>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</si>
  <si>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</si>
  <si>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</si>
  <si>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</si>
  <si>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</si>
  <si>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</si>
  <si>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</si>
  <si>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</si>
  <si>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</si>
  <si>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</si>
  <si>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</si>
  <si>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</si>
  <si>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</si>
  <si>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</si>
  <si>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</si>
  <si>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</si>
  <si>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</si>
  <si>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</si>
  <si>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</si>
  <si>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</si>
  <si>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</si>
  <si>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</si>
  <si>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</si>
  <si>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</si>
  <si>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</si>
  <si>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</si>
  <si>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</si>
  <si>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</si>
  <si>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</si>
  <si>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</si>
  <si>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</si>
  <si>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</si>
  <si>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</si>
  <si>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</si>
  <si>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</si>
  <si>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</si>
  <si>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</si>
  <si>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</si>
  <si>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</si>
  <si>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</si>
  <si>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</si>
  <si>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</si>
  <si>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</si>
  <si>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</si>
  <si>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</si>
  <si>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</si>
  <si>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</si>
  <si>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</si>
  <si>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</si>
  <si>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</si>
  <si>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</si>
  <si>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</si>
  <si>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</si>
  <si>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</si>
  <si>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</si>
  <si>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</si>
  <si>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</si>
  <si>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</si>
  <si>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</si>
  <si>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</si>
  <si>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</si>
  <si>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</si>
  <si>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</si>
  <si>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</si>
  <si>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</si>
  <si>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</si>
  <si>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</si>
  <si>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</si>
  <si>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</si>
  <si>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</si>
  <si>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</si>
  <si>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</si>
  <si>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</si>
  <si>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</si>
  <si>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</si>
  <si>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</si>
  <si>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</si>
  <si>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</si>
  <si>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</si>
  <si>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</si>
  <si>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</si>
  <si>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</si>
  <si>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</si>
  <si>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</si>
  <si>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</si>
  <si>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</si>
  <si>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</si>
  <si>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</si>
  <si>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</si>
  <si>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</si>
  <si>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</si>
  <si>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</si>
  <si>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</si>
  <si>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</si>
  <si>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</si>
  <si>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</si>
  <si>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</si>
  <si>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</si>
  <si>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</si>
  <si>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</si>
  <si>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</si>
  <si>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</si>
  <si>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</si>
  <si>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</si>
  <si>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</si>
  <si>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</si>
  <si>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</si>
  <si>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</si>
  <si>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</si>
  <si>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</si>
  <si>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</si>
  <si>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</si>
  <si>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</si>
  <si>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</si>
  <si>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</si>
  <si>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</si>
  <si>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</si>
  <si>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</si>
  <si>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</si>
  <si>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</si>
  <si>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</si>
  <si>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</si>
  <si>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</si>
  <si>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</si>
  <si>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</si>
  <si>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</si>
  <si>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</si>
  <si>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</si>
  <si>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</si>
  <si>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</si>
  <si>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</si>
  <si>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</si>
  <si>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</si>
  <si>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</si>
  <si>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</si>
  <si>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</si>
  <si>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</si>
  <si>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</si>
  <si>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</si>
  <si>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</si>
  <si>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</si>
  <si>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</si>
  <si>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</si>
  <si>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</si>
  <si>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</si>
  <si>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</si>
  <si>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</si>
  <si>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</si>
  <si>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</si>
  <si>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</si>
  <si>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</si>
  <si>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</si>
  <si>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</si>
  <si>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</si>
  <si>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</si>
  <si>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</si>
  <si>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</si>
  <si>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</si>
  <si>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</si>
  <si>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</si>
  <si>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</si>
  <si>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</si>
  <si>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</si>
  <si>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</si>
  <si>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</si>
  <si>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</si>
  <si>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</si>
  <si>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</si>
  <si>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</si>
  <si>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</si>
  <si>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</si>
  <si>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</si>
  <si>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</si>
  <si>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</si>
  <si>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</si>
  <si>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</si>
  <si>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</si>
  <si>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</si>
  <si>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</si>
  <si>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</si>
  <si>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</si>
  <si>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</si>
  <si>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</si>
  <si>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</si>
  <si>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</si>
  <si>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</si>
  <si>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</si>
  <si>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</si>
  <si>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</si>
  <si>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</si>
  <si>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</si>
  <si>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</si>
  <si>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</si>
  <si>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</si>
  <si>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</si>
  <si>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</si>
  <si>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</si>
  <si>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</si>
  <si>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</si>
  <si>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</si>
  <si>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</si>
  <si>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</si>
  <si>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</si>
  <si>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</si>
  <si>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</si>
  <si>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</si>
  <si>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</si>
  <si>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</si>
  <si>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</si>
  <si>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</si>
  <si>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</si>
  <si>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</si>
  <si>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</si>
  <si>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</si>
  <si>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</si>
  <si>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</si>
  <si>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</si>
  <si>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</si>
  <si>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</si>
  <si>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</si>
  <si>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</si>
  <si>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</si>
  <si>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</si>
  <si>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</si>
  <si>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</si>
  <si>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</si>
  <si>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</si>
  <si>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</si>
  <si>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</si>
  <si>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</si>
  <si>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</si>
  <si>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</si>
  <si>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</si>
  <si>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</si>
  <si>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</si>
  <si>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</si>
  <si>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</si>
  <si>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</si>
  <si>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</si>
  <si>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</si>
  <si>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</si>
  <si>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</si>
  <si>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</si>
  <si>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</si>
  <si>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</si>
  <si>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</si>
  <si>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</si>
  <si>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</si>
  <si>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</si>
  <si>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</si>
  <si>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</si>
  <si>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</si>
  <si>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</si>
  <si>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</si>
  <si>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</si>
  <si>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</si>
  <si>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</si>
  <si>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</si>
  <si>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</si>
  <si>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</si>
  <si>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</si>
  <si>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</si>
  <si>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</si>
  <si>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</si>
  <si>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</si>
  <si>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</si>
  <si>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</si>
  <si>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</si>
  <si>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</si>
  <si>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</si>
  <si>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</si>
  <si>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</si>
  <si>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</si>
  <si>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</si>
  <si>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</si>
  <si>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</si>
  <si>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</si>
  <si>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</si>
  <si>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</si>
  <si>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</si>
  <si>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</si>
  <si>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</si>
  <si>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</si>
  <si>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</si>
  <si>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</si>
  <si>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</si>
  <si>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</si>
  <si>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</si>
  <si>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</si>
  <si>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</si>
  <si>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</si>
  <si>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</si>
  <si>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</si>
  <si>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</si>
  <si>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</si>
  <si>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</si>
  <si>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</si>
  <si>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</si>
  <si>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</si>
  <si>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</si>
  <si>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</si>
  <si>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</si>
  <si>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</si>
  <si>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</si>
  <si>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</si>
  <si>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</si>
  <si>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</si>
  <si>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</si>
  <si>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</si>
  <si>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</si>
  <si>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</si>
  <si>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</si>
  <si>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</si>
  <si>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</si>
  <si>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</si>
  <si>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</si>
  <si>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</si>
  <si>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</si>
  <si>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</si>
  <si>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</si>
  <si>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</si>
  <si>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</si>
  <si>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</si>
  <si>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</si>
  <si>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</si>
  <si>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</si>
  <si>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</si>
  <si>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</si>
  <si>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</si>
  <si>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</si>
  <si>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</si>
  <si>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</si>
  <si>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</si>
  <si>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</si>
  <si>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</si>
  <si>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</si>
  <si>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</si>
  <si>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</si>
  <si>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</si>
  <si>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</si>
  <si>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</si>
  <si>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</si>
  <si>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</si>
  <si>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</si>
  <si>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</si>
  <si>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</si>
  <si>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</si>
  <si>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</si>
  <si>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</si>
  <si>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</si>
  <si>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</si>
  <si>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</si>
  <si>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</si>
  <si>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</si>
  <si>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</si>
  <si>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</si>
  <si>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</si>
  <si>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</si>
  <si>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</si>
  <si>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</si>
  <si>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</si>
  <si>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</si>
  <si>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</si>
  <si>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</si>
  <si>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</si>
  <si>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</si>
  <si>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</si>
  <si>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</si>
  <si>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</si>
  <si>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</si>
  <si>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</si>
  <si>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</si>
  <si>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</si>
  <si>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</si>
  <si>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</si>
  <si>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</si>
  <si>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</si>
  <si>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</si>
  <si>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</si>
  <si>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</si>
  <si>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</si>
  <si>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</si>
  <si>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</si>
  <si>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</si>
  <si>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</si>
  <si>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</si>
  <si>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</si>
  <si>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</si>
  <si>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</si>
  <si>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</si>
  <si>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</si>
  <si>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</si>
  <si>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</si>
  <si>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</si>
  <si>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</si>
  <si>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</si>
  <si>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</si>
  <si>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</si>
  <si>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</si>
  <si>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</si>
  <si>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</si>
  <si>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</si>
  <si>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</si>
  <si>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</si>
  <si>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</si>
  <si>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</si>
  <si>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</si>
  <si>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</si>
  <si>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</si>
  <si>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</si>
  <si>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</si>
  <si>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</si>
  <si>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</si>
  <si>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</si>
  <si>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</si>
  <si>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</si>
  <si>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</si>
  <si>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</si>
  <si>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</si>
  <si>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</si>
  <si>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</si>
  <si>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</si>
  <si>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</si>
  <si>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</si>
  <si>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</si>
  <si>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</si>
  <si>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</si>
  <si>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</si>
  <si>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</si>
  <si>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</si>
  <si>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</si>
  <si>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</si>
  <si>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</si>
  <si>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</si>
  <si>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</si>
  <si>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</si>
  <si>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</si>
  <si>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</si>
  <si>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</si>
  <si>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</si>
  <si>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</si>
  <si>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</si>
  <si>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</si>
  <si>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</si>
  <si>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</si>
  <si>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</si>
  <si>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</si>
  <si>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</si>
  <si>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</si>
  <si>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</si>
  <si>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</si>
  <si>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</si>
  <si>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</si>
  <si>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</si>
  <si>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</si>
  <si>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</si>
  <si>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</si>
  <si>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</si>
  <si>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</si>
  <si>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</si>
  <si>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</si>
  <si>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</si>
  <si>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</si>
  <si>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</si>
  <si>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</si>
  <si>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</si>
  <si>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</si>
  <si>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</si>
  <si>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</si>
  <si>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</si>
  <si>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</si>
  <si>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</si>
  <si>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</si>
  <si>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</si>
  <si>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</si>
  <si>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</si>
  <si>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</si>
  <si>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</si>
  <si>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</si>
  <si>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</si>
  <si>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</si>
  <si>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</si>
  <si>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</si>
  <si>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</si>
  <si>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</si>
  <si>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</si>
  <si>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</si>
  <si>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</si>
  <si>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</si>
  <si>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</si>
  <si>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</si>
  <si>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</si>
  <si>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</si>
  <si>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</si>
  <si>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</si>
  <si>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</si>
  <si>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</si>
  <si>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</si>
  <si>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</si>
  <si>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</si>
  <si>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</si>
  <si>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</si>
  <si>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</si>
  <si>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</si>
  <si>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</si>
  <si>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</si>
  <si>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</si>
  <si>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</si>
  <si>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</si>
  <si>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</si>
  <si>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</si>
  <si>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</si>
  <si>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</si>
  <si>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</si>
  <si>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</si>
  <si>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</si>
  <si>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</si>
  <si>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</si>
  <si>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</si>
  <si>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</si>
  <si>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</si>
  <si>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</si>
  <si>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</si>
  <si>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</si>
  <si>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</si>
  <si>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</si>
  <si>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</si>
  <si>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</si>
  <si>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</si>
  <si>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</si>
  <si>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</si>
  <si>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</si>
  <si>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</si>
  <si>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</si>
  <si>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</si>
  <si>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</si>
  <si>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</si>
  <si>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</si>
  <si>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</si>
  <si>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</si>
  <si>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</si>
  <si>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</si>
  <si>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</si>
  <si>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</si>
  <si>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</si>
  <si>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</si>
  <si>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</si>
  <si>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</si>
  <si>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</si>
  <si>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</si>
  <si>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</si>
  <si>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</si>
  <si>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</si>
  <si>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</si>
  <si>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</si>
  <si>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</si>
  <si>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</si>
  <si>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</si>
  <si>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</si>
  <si>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</si>
  <si>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</si>
  <si>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</si>
  <si>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</si>
  <si>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</si>
  <si>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</si>
  <si>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</si>
  <si>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</si>
  <si>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</si>
  <si>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</si>
  <si>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</si>
  <si>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</si>
  <si>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</si>
  <si>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</si>
  <si>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</si>
  <si>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</si>
  <si>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</si>
  <si>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</si>
  <si>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</si>
  <si>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</si>
  <si>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</si>
  <si>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</si>
  <si>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</si>
  <si>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</si>
  <si>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</si>
  <si>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</si>
  <si>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</si>
  <si>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</si>
  <si>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</si>
  <si>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</si>
  <si>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</si>
  <si>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Castlewood Terrace</t>
  </si>
  <si>
    <t>Castlewood Terrace, LP</t>
  </si>
  <si>
    <t xml:space="preserve">Community Revitalization and Development Corporation </t>
  </si>
  <si>
    <t>Administrative GP</t>
  </si>
  <si>
    <t>Barker Management, Incorporated</t>
  </si>
  <si>
    <t>16020 &amp; 16930 Chatsworth Street</t>
  </si>
  <si>
    <t>Granada Hills</t>
  </si>
  <si>
    <t xml:space="preserve">September </t>
  </si>
  <si>
    <t>Bishop</t>
  </si>
  <si>
    <t>, Georgia.</t>
  </si>
  <si>
    <t>Mark J. Kemp</t>
  </si>
  <si>
    <t xml:space="preserve">President of the Managing GP </t>
  </si>
  <si>
    <t>Mr. Timothy Elliott</t>
  </si>
  <si>
    <t>1200 W. 7th Street, 8th Floor</t>
  </si>
  <si>
    <t>timothy.elliott@lacity.org</t>
  </si>
  <si>
    <t>40%/60%</t>
  </si>
  <si>
    <t>1720 Gracewood Parkway</t>
  </si>
  <si>
    <t>GA</t>
  </si>
  <si>
    <t>Mark Kemp</t>
  </si>
  <si>
    <t>mkemp@rebuildamericainc.com</t>
  </si>
  <si>
    <t xml:space="preserve">Castlewood GP, Inc. </t>
  </si>
  <si>
    <t>Managing GP</t>
  </si>
  <si>
    <t xml:space="preserve">Rebuild America, Inc. </t>
  </si>
  <si>
    <t>1918 West Street</t>
  </si>
  <si>
    <t>Redding</t>
  </si>
  <si>
    <t>CA</t>
  </si>
  <si>
    <t>David Rutledge</t>
  </si>
  <si>
    <t>david@crdc.com</t>
  </si>
  <si>
    <t>Mansermar Development, LLC (fka Psalms 127, LLC)</t>
  </si>
  <si>
    <t>Ali Watson</t>
  </si>
  <si>
    <t>awatson@mansermar.com</t>
  </si>
  <si>
    <t xml:space="preserve">Developer </t>
  </si>
  <si>
    <t>Bishop, GA 30621</t>
  </si>
  <si>
    <t>Basis Architecture &amp; Consulting Inc</t>
  </si>
  <si>
    <t>2130 Fourth Street, Suite B</t>
  </si>
  <si>
    <t>San Rafael, CA 94901</t>
  </si>
  <si>
    <t>Anthony Tumminello</t>
  </si>
  <si>
    <t>Michael M. Stein, Inc.</t>
  </si>
  <si>
    <t>18757 Burbank Blvd., Suite 102</t>
  </si>
  <si>
    <t>Tarzana, CA 91356</t>
  </si>
  <si>
    <t>Mike Stein</t>
  </si>
  <si>
    <t>Icon National</t>
  </si>
  <si>
    <t>15721 N Greenway Hayden Loop, Suite 200</t>
  </si>
  <si>
    <t>Scottsdale, AZ 85260</t>
  </si>
  <si>
    <t>Michael Saucerman</t>
  </si>
  <si>
    <t>Aprio</t>
  </si>
  <si>
    <t>2002 Summit Boulevard, Suite 120</t>
  </si>
  <si>
    <t>Atlanta, GA 30319-1498</t>
  </si>
  <si>
    <t>Grant Gooding</t>
  </si>
  <si>
    <t>Partner Energy</t>
  </si>
  <si>
    <t>680 Knox Street, Suite 150</t>
  </si>
  <si>
    <t>Los Angeles, CA 90502</t>
  </si>
  <si>
    <t>Matthew D. Smith</t>
  </si>
  <si>
    <t>atumminello@basisarch.com</t>
  </si>
  <si>
    <t>706-338-9682</t>
  </si>
  <si>
    <t>818-774-1200</t>
  </si>
  <si>
    <t>770-353-5329</t>
  </si>
  <si>
    <t>Grant.Gooding@aprio.com</t>
  </si>
  <si>
    <t>mstein@mmsteininc.com</t>
  </si>
  <si>
    <t>msaucerman@iconnational.com</t>
  </si>
  <si>
    <t>916-910-0770</t>
  </si>
  <si>
    <t>msmith@ptrenergy.com</t>
  </si>
  <si>
    <t>Red Stone Equity Partners</t>
  </si>
  <si>
    <t>5800 Armada Drive, Suite 235</t>
  </si>
  <si>
    <t>Carlsbad, CA 92008</t>
  </si>
  <si>
    <t>Matt Grosz</t>
  </si>
  <si>
    <t>858-752-2066</t>
  </si>
  <si>
    <t xml:space="preserve">matt.grosz@redstoneequity.com										</t>
  </si>
  <si>
    <t xml:space="preserve">Kidder Mathews Valuation Advisory Services										</t>
  </si>
  <si>
    <t xml:space="preserve">12230 El Camino Real, 4th Floor										</t>
  </si>
  <si>
    <t xml:space="preserve">San Diego, CA 92130										</t>
  </si>
  <si>
    <t>Michael Thiel</t>
  </si>
  <si>
    <t xml:space="preserve">michael.thiel@kidder.com										</t>
  </si>
  <si>
    <t>Kinetic Valuation Group</t>
  </si>
  <si>
    <t>3901 S 147th Street, Suite 144</t>
  </si>
  <si>
    <t>Omaha, NE 68144</t>
  </si>
  <si>
    <t>Jay Wortmann</t>
  </si>
  <si>
    <t>jay@kvgteam.com</t>
  </si>
  <si>
    <t>Los Angeles Housing Department</t>
  </si>
  <si>
    <t>1910 Sunset Blvd, Suite 300</t>
  </si>
  <si>
    <t>Los Angeles, CA 90026</t>
  </si>
  <si>
    <t>Danielle Thompson</t>
  </si>
  <si>
    <t>Dominion Due Dilligence Group</t>
  </si>
  <si>
    <t>201 Wylderose Drive</t>
  </si>
  <si>
    <t>Midlothian, VA 23113</t>
  </si>
  <si>
    <t>Matt Sweet</t>
  </si>
  <si>
    <t>m.sweet@d3g.com</t>
  </si>
  <si>
    <t>(213)-808-8624</t>
  </si>
  <si>
    <t>danielle.thompson@lacity.org</t>
  </si>
  <si>
    <t>1101 E. Orangewood Ave, Suite 200</t>
  </si>
  <si>
    <t>Anaheim, CA 92805</t>
  </si>
  <si>
    <t>Peter Barker</t>
  </si>
  <si>
    <t>714-533-3450</t>
  </si>
  <si>
    <t>pbarker@barkermgt.com</t>
  </si>
  <si>
    <t xml:space="preserve">Mansermar, Inc. </t>
  </si>
  <si>
    <t>3237 Satellite Blvd, Suite 310</t>
  </si>
  <si>
    <t>Duluth, GA 30096</t>
  </si>
  <si>
    <t>Glenda Leduc</t>
  </si>
  <si>
    <t>687-330-2003</t>
  </si>
  <si>
    <t>gleduc@mansermar.com</t>
  </si>
  <si>
    <t>Appraisal</t>
  </si>
  <si>
    <t>22 &amp; 25</t>
  </si>
  <si>
    <t>3 &amp; 4</t>
  </si>
  <si>
    <t>Residential multifamily, affordable housing for seniors (62+) and physically disabled</t>
  </si>
  <si>
    <t>Gerald E. Eickoff</t>
  </si>
  <si>
    <t xml:space="preserve">President </t>
  </si>
  <si>
    <t>Castlewood Terrace, Inc.; Castlewood II Corporation</t>
  </si>
  <si>
    <t>3237 Satellite Blvd., Suite 310</t>
  </si>
  <si>
    <t xml:space="preserve">678-330-2003					</t>
  </si>
  <si>
    <t>None</t>
  </si>
  <si>
    <t>Tax Exempt</t>
  </si>
  <si>
    <t>Secured by Fee Interest</t>
  </si>
  <si>
    <t>Other (Specify below)</t>
  </si>
  <si>
    <t xml:space="preserve">Built in 2000 and 2003 as a 68 and 91 unit, 3 and 4 story apartment complex with 4 total elevators (2 in each building). Currently 91 parking spaces including 26 covered spaces. </t>
  </si>
  <si>
    <t>NA</t>
  </si>
  <si>
    <t>This property is currently has a HUD Section 202 PRAC contract to serve elderly 62+ and physically disabled.</t>
  </si>
  <si>
    <t xml:space="preserve">At closing the PRAC contract will be converted to a Section 8 20 year HAP contract that will require the property to </t>
  </si>
  <si>
    <t>continue to serve the same tenant population.</t>
  </si>
  <si>
    <t>Multiple Dwelling Zone (R3-1)</t>
  </si>
  <si>
    <t>Affordable Residential; 178 units</t>
  </si>
  <si>
    <t>45'</t>
  </si>
  <si>
    <t>0.5 spaces/1 BR unit</t>
  </si>
  <si>
    <t>HUD GRRP Surplus Cash Loan</t>
  </si>
  <si>
    <t>Variable</t>
  </si>
  <si>
    <t>Fixed</t>
  </si>
  <si>
    <t>Reserve Carryover - Castlewood Terrace, Inc.</t>
  </si>
  <si>
    <t>Reserve Carryover - Castlewood II, Corporation</t>
  </si>
  <si>
    <t>Operating Income - Castlewood Terrace, LP</t>
  </si>
  <si>
    <t>LIHTC Equity - Redstone Equity Partners</t>
  </si>
  <si>
    <t xml:space="preserve">Costs Deferred until Conversion </t>
  </si>
  <si>
    <t xml:space="preserve">HUD GRRP Surplus Cash Loan </t>
  </si>
  <si>
    <t>Tax Exempt Construction Loan - Citibank</t>
  </si>
  <si>
    <t>Taxable Construction Loan - Citibank</t>
  </si>
  <si>
    <t>7400 W. Camino Real, Suite 130-A</t>
  </si>
  <si>
    <t>Boca Raton, FL 33433</t>
  </si>
  <si>
    <t>Adam Hurwitz</t>
  </si>
  <si>
    <t>(561)-347-3231</t>
  </si>
  <si>
    <t>Tax Exempt Loan</t>
  </si>
  <si>
    <t>Jerry Eickhoff</t>
  </si>
  <si>
    <t>678-330-2003</t>
  </si>
  <si>
    <t>Reserve Transfer, Acquired</t>
  </si>
  <si>
    <t>Celia C. Watson</t>
  </si>
  <si>
    <t>451 7th Street, S.W</t>
  </si>
  <si>
    <t>Washington, DC</t>
  </si>
  <si>
    <t>706-354-3885</t>
  </si>
  <si>
    <t>770-335-3922</t>
  </si>
  <si>
    <t xml:space="preserve">Deferred Costs </t>
  </si>
  <si>
    <t>619-535-3903</t>
  </si>
  <si>
    <t>LIHTC Equity</t>
  </si>
  <si>
    <t xml:space="preserve">Surplus Cash Loan </t>
  </si>
  <si>
    <t>Perm Loan - Citibank</t>
  </si>
  <si>
    <t xml:space="preserve">Deferred Developer Fee - Mansermar Development, LLC </t>
  </si>
  <si>
    <t xml:space="preserve">GP Capital Contribution </t>
  </si>
  <si>
    <t>Other 1 BR CAST II</t>
  </si>
  <si>
    <t>Per Department of Housing and Urban Development Determination</t>
  </si>
  <si>
    <t xml:space="preserve">Equipment/Other Admin </t>
  </si>
  <si>
    <t>Admin Salaries/payroll taxes</t>
  </si>
  <si>
    <t>Other Maintenance Contracts/Supplies</t>
  </si>
  <si>
    <t>Property Insurance</t>
  </si>
  <si>
    <t>Fidelity Bond Insurance</t>
  </si>
  <si>
    <t>Misc. Taxes, Licenses, and Permits</t>
  </si>
  <si>
    <t>HUD</t>
  </si>
  <si>
    <t>RAD conversion - PBVs</t>
  </si>
  <si>
    <t>Project Rental Assistance Contracts</t>
  </si>
  <si>
    <t>HUD GRRP Funds</t>
  </si>
  <si>
    <t>Conventional Loan</t>
  </si>
  <si>
    <t>Seller Note</t>
  </si>
  <si>
    <t>Existing Project Reserves</t>
  </si>
  <si>
    <t xml:space="preserve">Operating Income </t>
  </si>
  <si>
    <t>Ally Jevens</t>
  </si>
  <si>
    <t>202.789.5941</t>
  </si>
  <si>
    <t>Other: Payment and Performance Bond</t>
  </si>
  <si>
    <t xml:space="preserve">Other: Inspection &amp; Bond Counsel </t>
  </si>
  <si>
    <t>Other: PNA</t>
  </si>
  <si>
    <t xml:space="preserve">Other: Accessibility &amp; Energy Consultant </t>
  </si>
  <si>
    <t xml:space="preserve">Other: Plumbing, Zoning, etc. </t>
  </si>
  <si>
    <t>Other: Conversion Fee</t>
  </si>
  <si>
    <t xml:space="preserve">Other: Borrower Legal Counsel </t>
  </si>
  <si>
    <t>1 bedroom</t>
  </si>
  <si>
    <t>Above residual receipts line for cash flow</t>
  </si>
  <si>
    <t>Issuer Fee</t>
  </si>
  <si>
    <t>Seller Notes-Castlewood Terrace, Inc.</t>
  </si>
  <si>
    <t xml:space="preserve">Seller Note- Castlewood II Corporation </t>
  </si>
  <si>
    <t>GRRP Funds</t>
  </si>
  <si>
    <t>Property Insurance, Misc. Taxes, Licenses, and Permits</t>
  </si>
  <si>
    <t>Provided</t>
  </si>
  <si>
    <t>Not Applicable</t>
  </si>
  <si>
    <t>2684-001-080 &amp; 2648-001-082</t>
  </si>
  <si>
    <t>3/7/25; 8/20/25</t>
  </si>
  <si>
    <t>Taxable Loan</t>
  </si>
  <si>
    <t>1 month SOFR</t>
  </si>
  <si>
    <t>Operating Income</t>
  </si>
  <si>
    <t xml:space="preserve">Seller Note - Castlewood Terrace, Inc. </t>
  </si>
  <si>
    <t>Seller Note - Castlewood II, Corporation</t>
  </si>
  <si>
    <t>Seller Note - Castlewood Terrace,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</si>
</sst>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9569">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169" fontId="186" fillId="0" borderId="0"/>
  </cellStyleXfs>
  <cellXfs count="2698">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166" fontId="2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43" borderId="6" xfId="0"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168" fontId="17" fillId="5" borderId="114" xfId="0" applyNumberFormat="1" applyFont="1" applyFill="1" applyBorder="1"/>
    <xf numFmtId="3" fontId="17" fillId="0" borderId="114" xfId="0" applyNumberFormat="1" applyFont="1" applyBorder="1"/>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17" fillId="0" borderId="11" xfId="0" applyFont="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7" fillId="0" borderId="3" xfId="0" applyNumberFormat="1" applyFont="1" applyBorder="1" applyAlignment="1">
      <alignment horizontal="left" vertical="top"/>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17" fillId="5" borderId="11" xfId="0" applyFont="1" applyFill="1" applyBorder="1" applyAlignment="1" applyProtection="1">
      <alignment horizontal="left" vertical="center" wrapText="1"/>
      <protection locked="0"/>
    </xf>
    <xf numFmtId="0" fontId="17" fillId="5" borderId="11" xfId="0" applyFont="1" applyFill="1" applyBorder="1" applyAlignment="1" applyProtection="1">
      <alignment vertical="center" wrapText="1"/>
      <protection locked="0"/>
    </xf>
    <xf numFmtId="0" fontId="0" fillId="0" borderId="0" xfId="0" applyAlignment="1">
      <alignment horizontal="center"/>
    </xf>
    <xf numFmtId="0" fontId="0" fillId="0" borderId="12" xfId="0"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0" fontId="26" fillId="0" borderId="11" xfId="0" applyNumberFormat="1" applyFont="1" applyBorder="1" applyAlignment="1">
      <alignment horizontal="center"/>
    </xf>
    <xf numFmtId="0" fontId="24" fillId="0" borderId="6" xfId="0" applyFont="1" applyBorder="1" applyAlignment="1">
      <alignment horizontal="center"/>
    </xf>
    <xf numFmtId="0" fontId="24" fillId="0" borderId="10" xfId="0" applyFont="1" applyBorder="1" applyAlignment="1">
      <alignment horizontal="center"/>
    </xf>
    <xf numFmtId="0" fontId="26" fillId="5" borderId="4" xfId="0"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3" fontId="26" fillId="0" borderId="11" xfId="0"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2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166" fontId="26" fillId="5" borderId="4" xfId="0" applyNumberFormat="1"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17" fillId="0" borderId="11" xfId="543" applyBorder="1" applyAlignment="1">
      <alignment horizontal="center"/>
    </xf>
    <xf numFmtId="0" fontId="17" fillId="5" borderId="11" xfId="0" applyFont="1" applyFill="1" applyBorder="1" applyAlignment="1" applyProtection="1">
      <alignment horizontal="left" wrapText="1"/>
      <protection locked="0"/>
    </xf>
    <xf numFmtId="0" fontId="0" fillId="5" borderId="6" xfId="0" applyFill="1" applyBorder="1" applyAlignment="1" applyProtection="1">
      <alignment horizontal="center"/>
      <protection locked="0"/>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26" fillId="5" borderId="4" xfId="0" applyFont="1" applyFill="1" applyBorder="1" applyAlignment="1" applyProtection="1">
      <alignment wrapText="1"/>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0" fontId="0" fillId="43" borderId="4"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3" fontId="26" fillId="5" borderId="11" xfId="0" applyNumberFormat="1" applyFont="1" applyFill="1" applyBorder="1" applyAlignment="1" applyProtection="1">
      <alignment horizontal="center"/>
      <protection locked="0"/>
    </xf>
    <xf numFmtId="0" fontId="36" fillId="5" borderId="6" xfId="0" applyFont="1"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1" fontId="2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26" fillId="5" borderId="4" xfId="0" applyNumberFormat="1" applyFont="1" applyFill="1" applyBorder="1" applyAlignment="1" applyProtection="1">
      <alignment horizontal="right"/>
      <protection locked="0"/>
    </xf>
    <xf numFmtId="0" fontId="0" fillId="0" borderId="3" xfId="0" applyBorder="1" applyAlignment="1">
      <alignment horizontal="left"/>
    </xf>
    <xf numFmtId="3" fontId="0" fillId="0" borderId="6" xfId="0" applyNumberFormat="1" applyBorder="1" applyAlignment="1">
      <alignment horizontal="right"/>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7" fillId="5" borderId="6" xfId="0" applyFont="1" applyFill="1" applyBorder="1" applyAlignment="1" applyProtection="1">
      <alignment horizontal="left"/>
      <protection locked="0"/>
    </xf>
    <xf numFmtId="0" fontId="17" fillId="43" borderId="4" xfId="0" applyFont="1" applyFill="1" applyBorder="1" applyAlignment="1" applyProtection="1">
      <alignment horizontal="left" wrapText="1"/>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0" fontId="26" fillId="5" borderId="6" xfId="0" applyFont="1" applyFill="1" applyBorder="1" applyAlignment="1" applyProtection="1">
      <alignment horizontal="left" wrapText="1"/>
      <protection locked="0"/>
    </xf>
    <xf numFmtId="0" fontId="17" fillId="5" borderId="6" xfId="0" applyFont="1" applyFill="1" applyBorder="1" applyAlignment="1" applyProtection="1">
      <alignment horizontal="left" wrapText="1"/>
      <protection locked="0"/>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17" fillId="0" borderId="6" xfId="0" applyFont="1" applyBorder="1" applyAlignment="1" applyProtection="1">
      <alignment horizontal="center"/>
      <protection locked="0"/>
    </xf>
    <xf numFmtId="0" fontId="17" fillId="5" borderId="6" xfId="244" applyFon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0" borderId="0" xfId="0" applyAlignment="1">
      <alignment wrapText="1"/>
    </xf>
    <xf numFmtId="0" fontId="26" fillId="0" borderId="0" xfId="0" applyFont="1" applyAlignment="1">
      <alignment horizontal="left" vertical="top"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2" fontId="0" fillId="0" borderId="6" xfId="0" applyNumberFormat="1" applyBorder="1" applyAlignment="1">
      <alignment horizontal="center"/>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17" fillId="5" borderId="3"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0" fontId="17" fillId="0" borderId="3" xfId="0" applyFont="1" applyBorder="1"/>
    <xf numFmtId="0" fontId="17" fillId="0" borderId="4" xfId="0" applyFont="1" applyBorder="1"/>
    <xf numFmtId="0" fontId="17"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4" fontId="0" fillId="5" borderId="4" xfId="0" applyNumberFormat="1" applyFill="1" applyBorder="1" applyAlignment="1" applyProtection="1">
      <alignment horizontal="center"/>
      <protection locked="0"/>
    </xf>
    <xf numFmtId="0" fontId="17" fillId="0" borderId="1" xfId="0" applyFont="1" applyBorder="1" applyAlignment="1">
      <alignment horizontal="center" vertical="top" wrapText="1"/>
    </xf>
    <xf numFmtId="0" fontId="24" fillId="0" borderId="11" xfId="0" applyFont="1" applyBorder="1" applyAlignment="1">
      <alignment horizontal="center" vertical="center"/>
    </xf>
    <xf numFmtId="0" fontId="17" fillId="5" borderId="4" xfId="0" applyFont="1" applyFill="1" applyBorder="1" applyAlignment="1" applyProtection="1">
      <alignment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24" fillId="0" borderId="11" xfId="0" applyFont="1" applyBorder="1" applyAlignment="1">
      <alignment horizontal="center" vertical="center" wrapText="1"/>
    </xf>
    <xf numFmtId="172" fontId="24" fillId="0" borderId="11" xfId="0" applyNumberFormat="1"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17" fillId="43" borderId="11" xfId="0" applyFont="1" applyFill="1" applyBorder="1" applyAlignment="1" applyProtection="1">
      <alignment horizontal="center"/>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24" fillId="0" borderId="9" xfId="0" applyFont="1" applyBorder="1" applyAlignment="1">
      <alignment horizontal="right"/>
    </xf>
    <xf numFmtId="0" fontId="24" fillId="0" borderId="10" xfId="0" applyFont="1" applyBorder="1" applyAlignment="1">
      <alignment horizontal="right"/>
    </xf>
    <xf numFmtId="0" fontId="26" fillId="5" borderId="6" xfId="271" applyFill="1" applyBorder="1" applyProtection="1">
      <protection locked="0"/>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9" fontId="17"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4" fontId="0" fillId="5" borderId="3" xfId="0" applyNumberFormat="1" applyFill="1" applyBorder="1" applyAlignment="1" applyProtection="1">
      <alignment horizontal="right"/>
      <protection locked="0"/>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xf numFmtId="14" fontId="17" fillId="5" borderId="4" xfId="0" applyNumberFormat="1" applyFont="1" applyFill="1" applyBorder="1" applyAlignment="1" applyProtection="1">
      <alignment horizontal="right"/>
      <protection locked="0"/>
    </xf>
    <xf numFmtId="0" fontId="17" fillId="43" borderId="4" xfId="0" applyFont="1" applyFill="1" applyBorder="1" applyAlignment="1" applyProtection="1">
      <alignment horizontal="center"/>
      <protection locked="0"/>
    </xf>
  </cellXfs>
  <cellStyles count="9569">
    <cellStyle name="20% - Accent1" xfId="1" builtinId="30" customBuiltin="1"/>
    <cellStyle name="20% - Accent1 10" xfId="4504" xr:uid="{00000000-0005-0000-0000-000001000000}"/>
    <cellStyle name="20% - Accent1 11" xfId="8736" xr:uid="{2B03C3CC-AE72-4ACF-AA4F-873CE9ED5067}"/>
    <cellStyle name="20% - Accent1 2" xfId="2" xr:uid="{00000000-0005-0000-0000-000002000000}"/>
    <cellStyle name="20% - Accent1 2 10" xfId="8737" xr:uid="{A60EA1DC-6E78-47C6-A5DC-8DA60159497A}"/>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156" xr:uid="{2F80127F-5CB0-44BC-90B6-D06DDA640D8B}"/>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8739" xr:uid="{D2D241E3-F005-464B-8C8A-705041F63595}"/>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155" xr:uid="{9730552F-4BD0-4CE8-9195-931F752ED87A}"/>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738" xr:uid="{2F746EF3-A70E-4AC0-B47F-E3BDF1FE68F1}"/>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157" xr:uid="{193051EE-7217-4820-A38B-BD256BF3D957}"/>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8740" xr:uid="{0F6A534F-947B-45EB-83DA-028EDAB7774A}"/>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154" xr:uid="{F820A730-3BE7-4976-95AF-76E1533A810A}"/>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159" xr:uid="{07346132-B916-4405-94CD-DC34A9232B77}"/>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8742" xr:uid="{618116B4-644B-4F9F-AA3F-DF3E25C8675C}"/>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158" xr:uid="{F943D771-BDB7-478A-84C0-8C2B58BEA2A8}"/>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741" xr:uid="{FA65D74E-1288-47B2-858B-0C1A3A6A7297}"/>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160" xr:uid="{4C3779D5-4815-454E-B9C9-A569F5229E2A}"/>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743" xr:uid="{F423D6AE-6A3B-4415-9BE8-6D48DA0DB2D1}"/>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53" xr:uid="{CA343C23-8277-4F77-965E-D290B0835F83}"/>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44" xr:uid="{CE002A33-8BA8-4790-B56D-43D6545D434C}"/>
    <cellStyle name="20% - Accent2 2" xfId="10" xr:uid="{00000000-0005-0000-0000-0000A2000000}"/>
    <cellStyle name="20% - Accent2 2 10" xfId="8745" xr:uid="{C0A8EB20-6055-42A1-8F44-771A547B39D6}"/>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164" xr:uid="{285216B1-C0A1-41E3-9CE7-0605660E6B7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8747" xr:uid="{0981EEA4-78CE-42C2-AD2F-D188DB9C6219}"/>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163" xr:uid="{46DCDEF2-94E0-4A4F-B5A9-02255E336DEF}"/>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746" xr:uid="{20EF3FB9-D124-441C-8607-6DC4A8DB195A}"/>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165" xr:uid="{115EB644-AA1E-4EA5-B6F0-C27CABDC9661}"/>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8748" xr:uid="{8BE42BF3-81F2-4D35-8BBD-9A3893F0AE0A}"/>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162" xr:uid="{FA7FEA6A-5CF4-49D3-8BD7-0EAED4375CA7}"/>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167" xr:uid="{BAAE2183-EA17-462A-A080-0254511BE4D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8750" xr:uid="{22F3C1EC-CD0A-4C48-ADB3-2D2BDCFEC426}"/>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166" xr:uid="{00111B23-EF57-49A7-8C82-8F91C689A9B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749" xr:uid="{7DF798F4-A29B-4ADD-94CF-B951F5D794EA}"/>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168" xr:uid="{355487AF-2A74-4DD3-8D20-58326981471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751" xr:uid="{D34A8F40-6BAF-4AE7-ADF7-1CD3B69343E4}"/>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61" xr:uid="{4A58F514-907B-4C22-9064-D98ECFFFBC04}"/>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52" xr:uid="{8EB659E2-5C86-4F35-BE3F-E2CB71FF2C97}"/>
    <cellStyle name="20% - Accent3 2" xfId="18" xr:uid="{00000000-0005-0000-0000-000042010000}"/>
    <cellStyle name="20% - Accent3 2 10" xfId="8753" xr:uid="{12D909C9-BAD4-4718-AC98-417F6277DA72}"/>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172" xr:uid="{458F2BCC-BBA3-461B-B9F4-DC96D6A078C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8755" xr:uid="{807BAB5F-D006-4A43-83FF-FF04558E6D55}"/>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171" xr:uid="{49BD385E-3116-49F3-89BB-DE932E90E9ED}"/>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754" xr:uid="{B79841F8-098D-4E46-B577-951207514E86}"/>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173" xr:uid="{225C90A8-0E3F-4466-A199-5D7F0BAA7F8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756" xr:uid="{8569FD67-307A-4DF1-9016-BBF03350E9EB}"/>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170" xr:uid="{C5E77110-75DD-4C1C-93B1-BD18A1E663FC}"/>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175" xr:uid="{C644D35F-F80F-4357-9F39-B948EAE1180D}"/>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8758" xr:uid="{2B6CC03D-0CD7-41DE-B317-CA04E820649F}"/>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174" xr:uid="{B7BC4D33-D335-4D9E-BC02-89C2FF9657F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757" xr:uid="{E5311F4E-4B46-4699-9724-F7E2EA1FEA93}"/>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176" xr:uid="{9D25F97B-EB17-46C3-8185-515CFEEDFF31}"/>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759" xr:uid="{20F3271A-2BC0-4E0B-9A39-DEBA5174B77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69" xr:uid="{C1B44286-22C0-4D69-8CA1-828FF344320F}"/>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0" xr:uid="{00D28753-A876-4509-8AB0-89D8F12EC2BB}"/>
    <cellStyle name="20% - Accent4 2" xfId="26" xr:uid="{00000000-0005-0000-0000-0000E2010000}"/>
    <cellStyle name="20% - Accent4 2 10" xfId="8761" xr:uid="{48E26739-26F8-4AE7-9108-0DF24E0C02EE}"/>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180" xr:uid="{0F5D8433-C4FE-435E-B905-110C35E0D9A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8763" xr:uid="{D991E023-D70F-40FC-8771-B198E818716A}"/>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179" xr:uid="{C20E2DC7-84EE-46D1-87D2-94E234068DC2}"/>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762" xr:uid="{85F2C2DC-2EC8-4889-802B-E726DA3D32F1}"/>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181" xr:uid="{CE6A3740-0B33-4F4C-A37D-A89CCEF3038E}"/>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8764" xr:uid="{AEF8066B-5BA7-496B-BC37-99A6B5CC468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178" xr:uid="{F9DA799C-4287-461E-BE92-ADB010ECB3F3}"/>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183" xr:uid="{7023187B-87F0-4087-AFE7-1097A5602FC5}"/>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8766" xr:uid="{7129F00A-EC3E-4155-8D26-4FB810B7B387}"/>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182" xr:uid="{CE3336A6-4976-4429-AAE3-DBB31E9C5F35}"/>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765" xr:uid="{E0C256A3-EDCA-480A-89E2-C01A4788FA2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184" xr:uid="{A6255B91-785C-4456-9CA2-CE0582627C28}"/>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767" xr:uid="{D8A648E5-A974-4800-BCA6-4DD500BE567E}"/>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77" xr:uid="{4E28F648-6745-4334-B2DC-92D606B6ED61}"/>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8" xr:uid="{E99C0F31-0E22-45B2-8A32-9BC4C6689A82}"/>
    <cellStyle name="20% - Accent5 2" xfId="34" xr:uid="{00000000-0005-0000-0000-000082020000}"/>
    <cellStyle name="20% - Accent5 2 10" xfId="8769" xr:uid="{0EA63539-3E45-43D3-B38F-E738EE4AE9FF}"/>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188" xr:uid="{0E3E345B-2737-4542-BF3B-3FC19FD59734}"/>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8771" xr:uid="{69256F9D-5409-4C41-ACA7-2AD2496CFBB4}"/>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187" xr:uid="{894F240E-06A9-4F41-BDFC-F1AC1411191C}"/>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770" xr:uid="{43002160-B6BC-4494-ACE0-4C849497BC8D}"/>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189" xr:uid="{AC85A1B3-4450-46F1-A5D2-A557BD52C03A}"/>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8772" xr:uid="{05625486-BAFA-4438-8A8A-4147D7DE9A83}"/>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186" xr:uid="{AA44FBB9-B4DA-4BB4-89AB-966928E26796}"/>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191" xr:uid="{52455195-2D9E-429A-B97C-82E1ACF179E6}"/>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8774" xr:uid="{87FE3C3F-50A2-4E89-B70D-7C61A2421129}"/>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190" xr:uid="{F870AC7F-A70B-461C-9F5C-579CC749124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773" xr:uid="{77F7B6D1-1A03-4B04-B953-5150E2B4B3D8}"/>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192" xr:uid="{B6AC8C9F-9EAB-4EF8-97FD-76CD679395B6}"/>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775" xr:uid="{4778A8E4-8739-413C-91F8-EAB8FDE4A0F5}"/>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5" xr:uid="{A0F182C3-BC81-44AF-BB8E-41E6A50B659A}"/>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76" xr:uid="{78EC501F-B4DD-4D0D-95F8-506D6E29D23A}"/>
    <cellStyle name="20% - Accent6 2" xfId="42" xr:uid="{00000000-0005-0000-0000-000022030000}"/>
    <cellStyle name="20% - Accent6 2 10" xfId="8777" xr:uid="{8FD6AA87-89CD-493A-AC10-03A360531D97}"/>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196" xr:uid="{7D81E85D-E5A5-4BC5-9796-1EF68B3F1316}"/>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8779" xr:uid="{84CA77ED-A2C0-47C2-BB05-942808B96BBB}"/>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195" xr:uid="{19B94D23-5D48-4097-9BEA-A17C2318EFE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778" xr:uid="{0A3E6E52-77E1-4826-9F5A-96E3AE361A1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197" xr:uid="{35FA382A-51E2-4F80-B4AC-2AA85095E298}"/>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8780" xr:uid="{D1633C8F-D9BC-47AB-9D9F-EA98501C4AFA}"/>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194" xr:uid="{D5021527-95D5-4740-A9C5-E8F9079D4FDB}"/>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199" xr:uid="{6F0AB270-1F12-4D6C-BF67-E67722CA8706}"/>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8782" xr:uid="{D574B75C-48D7-48DE-A927-C28B757780B2}"/>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198" xr:uid="{89B47D0A-F6FA-4C01-A54E-AA748ACB591C}"/>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781" xr:uid="{817888A2-DD2F-4477-9DD6-A10E769DF15B}"/>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200" xr:uid="{4B5A8386-AA29-48A0-B16D-3D4E01D6A3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783" xr:uid="{DC70BB76-A937-4E43-941A-50AF3AE3F3B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3" xr:uid="{1A523615-E92B-44F6-BAC6-7E14D083BF13}"/>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84" xr:uid="{ED1E14BF-9B19-4590-9C37-F4A91312D4CA}"/>
    <cellStyle name="40% - Accent1 2" xfId="50" xr:uid="{00000000-0005-0000-0000-0000C2030000}"/>
    <cellStyle name="40% - Accent1 2 10" xfId="8785" xr:uid="{18382354-DCD9-4BB5-B695-7D24BA2EDA41}"/>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204" xr:uid="{51194949-065E-4FEF-965F-62B0D907897C}"/>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8787" xr:uid="{0C006A5D-B1D8-4C98-8FB0-7814AD3568E5}"/>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203" xr:uid="{0811DF4A-CC44-4D26-8F96-673EF26C3627}"/>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786" xr:uid="{4F8C29D8-FAE0-4F38-B1D0-A4AED9B0A3B5}"/>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205" xr:uid="{DCFB394A-B08F-4B80-B038-79BE33D8E8C2}"/>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8788" xr:uid="{A730CE8D-635D-4422-9C5A-B11DF2717636}"/>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02" xr:uid="{040D7278-4D32-4098-B313-6856B6BAF5E8}"/>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207" xr:uid="{BD72517C-3547-46CA-A96B-3FA670B45ED5}"/>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8790" xr:uid="{13CA8AB1-89B4-46DF-AE35-73830349467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06" xr:uid="{5693537C-6267-46B6-936F-E52ECD08214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789" xr:uid="{E9CFF2EB-B585-4287-B567-BD0633F6DD5D}"/>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208" xr:uid="{C8759022-F33F-434E-8037-78D4F5802C63}"/>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791" xr:uid="{F611BE2E-D71F-4A1E-8794-5A27514DB3C2}"/>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201" xr:uid="{6D68D79E-3E93-4715-BA43-D3A50BB7E3C8}"/>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92" xr:uid="{05C68C70-EAF6-4FA9-BB53-901FF5732314}"/>
    <cellStyle name="40% - Accent2 2" xfId="58" xr:uid="{00000000-0005-0000-0000-000062040000}"/>
    <cellStyle name="40% - Accent2 2 10" xfId="8793" xr:uid="{1199D66D-606F-4874-9943-9566AAB08AB8}"/>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212" xr:uid="{0F3E9577-31A6-4D79-BFD3-8310BDFCCB45}"/>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8795" xr:uid="{FFCE26F2-9441-4D95-91AD-B22483D4CDA4}"/>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211" xr:uid="{32C201CE-3030-493B-9963-C7DEEE37938D}"/>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794" xr:uid="{3AFB7A2B-7F8F-4C88-BCCA-DC23126A9625}"/>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213" xr:uid="{802F3CCF-1A6C-41FD-A586-E040AB24F93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8796" xr:uid="{0358B79F-46A3-4DCE-84DB-6C45408D5398}"/>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10" xr:uid="{E274D735-3F1F-4E80-9280-565FAE3747C1}"/>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215" xr:uid="{D0F41B33-3ACE-4EE9-A81E-A2DD05BA0281}"/>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8798" xr:uid="{6EDC51AD-0419-4B15-9B2F-9C8CB5F89DFC}"/>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14" xr:uid="{AA70F3A4-E7BF-4381-BAB1-A42003B4DC5B}"/>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797" xr:uid="{06C890EE-0577-4A61-A870-EAE84C8613C7}"/>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216" xr:uid="{3B5B78C4-F61F-4A42-9668-BB29E25ADD1E}"/>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799" xr:uid="{01061809-DD3B-4AA2-89CC-58798B149E66}"/>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209" xr:uid="{047AED2C-11FC-43E7-B951-40A562A23E8F}"/>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800" xr:uid="{00BB37EF-948F-4F57-9458-C4110393E97D}"/>
    <cellStyle name="40% - Accent3 2" xfId="66" xr:uid="{00000000-0005-0000-0000-000002050000}"/>
    <cellStyle name="40% - Accent3 2 10" xfId="8801" xr:uid="{0DE36AEE-3FC2-4A58-A6DD-C813DF0D2C18}"/>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220" xr:uid="{228954FE-912D-4AA9-8CE4-FA301A364351}"/>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8803" xr:uid="{FA1DE870-7467-44D0-B2CD-0506C0CECC62}"/>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219" xr:uid="{5B20A34E-7BB3-4EC7-886E-7BE1414C76F3}"/>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802" xr:uid="{A0E61226-2968-4F99-9825-592511E0EBB4}"/>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221" xr:uid="{CA3D4159-3848-4FA1-95B8-370AD7F2D279}"/>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8804" xr:uid="{BFBD8223-0DF7-4378-ADCE-C8D1A50E9B57}"/>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18" xr:uid="{CE03D978-3653-474B-8C00-7A008F96B583}"/>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223" xr:uid="{3C470F0E-18E8-48FC-9C71-4EB04EA3B18E}"/>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8806" xr:uid="{977C239C-5C09-42BA-92FB-9000337ECE27}"/>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22" xr:uid="{A49F35F0-AC34-46E1-BE64-E2813613DA9C}"/>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05" xr:uid="{5CC07224-9C8B-4761-8F62-A81AD13C96DE}"/>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224" xr:uid="{8EDA4F1F-D659-4CC3-A603-8DD72E66ACE6}"/>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807" xr:uid="{C52B9F5B-8F9D-4BFB-B008-91F7D6567145}"/>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217" xr:uid="{D7C43F93-9494-47CC-8ABA-940FDB5F7CAE}"/>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808" xr:uid="{A87604E2-D774-4A34-9777-AFB7F2485BBE}"/>
    <cellStyle name="40% - Accent4 2" xfId="74" xr:uid="{00000000-0005-0000-0000-0000A2050000}"/>
    <cellStyle name="40% - Accent4 2 10" xfId="8809" xr:uid="{D8E0A64B-8403-4D01-BE55-2918CDC93FD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228" xr:uid="{67ACC6FD-601D-4D69-AC55-29CDF9D66CE7}"/>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8811" xr:uid="{BE73B481-2A61-4142-9687-678D9A20985D}"/>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227" xr:uid="{668B2AE8-2F52-42AC-9C77-E0D934A0FE5A}"/>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810" xr:uid="{FA5CC1F7-22F7-401D-BA9D-112596B00E0A}"/>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229" xr:uid="{E1C435DA-45BB-4E4A-BE0F-7675C17CD8C4}"/>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8812" xr:uid="{A2F0E203-8D58-439E-A8A7-760676DD13FD}"/>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6" xr:uid="{F5EF10C1-FE7D-406D-B338-6C60483B9D86}"/>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231" xr:uid="{8C622716-82D5-49C5-846A-02FCCFE6E8E9}"/>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8814" xr:uid="{0A871F31-FE32-4851-98FA-1BB19C0EA04D}"/>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30" xr:uid="{AB7965ED-95C4-43DE-89A2-AC1531C23F4C}"/>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13" xr:uid="{9B3ADD3E-44D4-43CF-B177-811045FC7C36}"/>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232" xr:uid="{64320A94-C8C6-4963-BE02-3D79D34A849A}"/>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815" xr:uid="{C0833487-ADDD-414A-964A-651AB2CF49D6}"/>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225" xr:uid="{E2DB52ED-8284-4A0B-835F-E6D2AF74419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816" xr:uid="{25F6D7D2-5728-4E8D-BD43-BD33CCFCF47E}"/>
    <cellStyle name="40% - Accent5 2" xfId="82" xr:uid="{00000000-0005-0000-0000-000042060000}"/>
    <cellStyle name="40% - Accent5 2 10" xfId="8817" xr:uid="{B849DF94-3D79-44E6-BDA4-485A76DF3DEE}"/>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236" xr:uid="{30EBC19E-DD12-4F34-BEB6-5919FED8BE67}"/>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8819" xr:uid="{4CAB579D-2EDE-4A1B-9735-83E02E8A4719}"/>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235" xr:uid="{8D864E1C-36D1-49EC-9B96-DDE4A65EF7BD}"/>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818" xr:uid="{7C57BFE2-A30C-4F3A-9221-F596EAC1C57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237" xr:uid="{5D60B432-7EF6-4958-BC97-7B34364D3C46}"/>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8820" xr:uid="{CD42DBE2-6D22-4FFE-87BB-E0D2D4A28A28}"/>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34" xr:uid="{0ED9FA7C-2299-4001-A3EA-C7CC39FC15ED}"/>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239" xr:uid="{0244750D-C639-4128-AAFD-8205322267F1}"/>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8822" xr:uid="{1D3F0E69-9B13-4E93-9D38-EAEDA478493F}"/>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38" xr:uid="{7EF38735-9E72-4612-BDBC-91F84A6488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21" xr:uid="{F7F57FD3-BB52-477D-A102-74E4E464BBF8}"/>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240" xr:uid="{2C87C771-D856-4A62-8306-40AC803703EB}"/>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823" xr:uid="{1CCC2825-3641-4892-865F-520DB9A99C67}"/>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233" xr:uid="{B58E0DB4-6FB6-4483-B0C9-F034BF170A98}"/>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824" xr:uid="{90328247-CE7A-48D7-8DF3-E01DE558D99C}"/>
    <cellStyle name="40% - Accent6 2" xfId="90" xr:uid="{00000000-0005-0000-0000-0000E2060000}"/>
    <cellStyle name="40% - Accent6 2 10" xfId="8825" xr:uid="{C6B70AEC-1DF3-43CA-B520-72D3876A3AC4}"/>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244" xr:uid="{3241FE99-FF92-47A0-A03D-CA7285A7B91F}"/>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8827" xr:uid="{1E748202-4397-4559-BD8D-1101496A4D39}"/>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243" xr:uid="{7FE93BF1-1BFA-4911-B28C-79B868D019A7}"/>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826" xr:uid="{70E72FBB-BB7C-4B98-BAEC-38D397A3ED6C}"/>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245" xr:uid="{38CD4391-5FF7-43D6-BF09-7F854AD97BCD}"/>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8828" xr:uid="{1D2C3744-65DB-4FC1-9073-2B064B6F8686}"/>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42" xr:uid="{F8A5DA4C-6E7C-4AA4-9E3F-96F6EA170E6D}"/>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247" xr:uid="{F76AB924-A9B8-4735-A367-43FBF7A56063}"/>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8830" xr:uid="{848BDBC1-6DBC-4667-97B8-ACDFC4AD963E}"/>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46" xr:uid="{D6FA0D00-9797-4FD2-8D85-E98EE6E108AF}"/>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29" xr:uid="{837F93A8-91D8-41CB-881A-1C112DBB0F4B}"/>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248" xr:uid="{398C5711-F915-49A6-8377-1DC39188CDE1}"/>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831" xr:uid="{42EF3C68-0313-49CE-AEEC-1A8D337BA967}"/>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241" xr:uid="{34B73C11-9E45-4053-8048-13C5823FCAFB}"/>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32" xr:uid="{0AF99F22-9DE4-418F-862D-CA52008D08F0}"/>
    <cellStyle name="Comma 4 2 2 2 2" xfId="129" xr:uid="{00000000-0005-0000-0000-0000A4070000}"/>
    <cellStyle name="Comma 4 2 2 2 2 10" xfId="4601" xr:uid="{00000000-0005-0000-0000-0000A5070000}"/>
    <cellStyle name="Comma 4 2 2 2 2 11" xfId="8833" xr:uid="{2FCAFC49-4DC7-4E51-8942-3B4C7451DB75}"/>
    <cellStyle name="Comma 4 2 2 2 2 2" xfId="130" xr:uid="{00000000-0005-0000-0000-0000A6070000}"/>
    <cellStyle name="Comma 4 2 2 2 2 2 10" xfId="8834" xr:uid="{A812DAAE-6012-42FB-9237-7A26DBB7444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251" xr:uid="{85CE9EC1-D974-4199-B0EC-320C6EAF8FF7}"/>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250" xr:uid="{F5769A10-0B0F-48B2-8693-DA15C27E7BAD}"/>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8835" xr:uid="{DBE9BEF5-F9F2-49F5-B136-BF95BF4E9804}"/>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252" xr:uid="{D6262EC9-D912-4609-AA06-A78C7403A461}"/>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49" xr:uid="{F856DE89-9F0F-41F6-A654-7B8639008012}"/>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36" xr:uid="{509F15E4-D41B-4121-BE3C-7C82F975D7CF}"/>
    <cellStyle name="Comma 4 2 2 3 2" xfId="133" xr:uid="{00000000-0005-0000-0000-0000FE070000}"/>
    <cellStyle name="Comma 4 2 2 3 2 10" xfId="8837" xr:uid="{9CD3C81C-6E82-4B13-B4E3-7571AFAF17E9}"/>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254" xr:uid="{7A8BF689-EFF9-4F05-BD81-8D3A8175551A}"/>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253" xr:uid="{39B4D8F7-9E1C-4FB5-AAF7-3DE45AB3BD9C}"/>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838" xr:uid="{1E2FDB8E-B644-4E9F-AC70-CE850FC759ED}"/>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255" xr:uid="{E82C3172-6156-4740-859E-7DE3A114F133}"/>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8839" xr:uid="{7098E496-53F3-4B03-9A41-E02D0908BBED}"/>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256" xr:uid="{62126384-DF7E-48BC-8CDE-66C0B2E5F971}"/>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40" xr:uid="{83CEC748-B360-4583-AA0A-F54DF356EA92}"/>
    <cellStyle name="Comma 4 2 3 2" xfId="137" xr:uid="{00000000-0005-0000-0000-00005C080000}"/>
    <cellStyle name="Comma 4 2 3 2 10" xfId="4609" xr:uid="{00000000-0005-0000-0000-00005D080000}"/>
    <cellStyle name="Comma 4 2 3 2 11" xfId="8841" xr:uid="{E7D0F722-A6BF-4DEB-B477-ECD3BBCB9A26}"/>
    <cellStyle name="Comma 4 2 3 2 2" xfId="138" xr:uid="{00000000-0005-0000-0000-00005E080000}"/>
    <cellStyle name="Comma 4 2 3 2 2 10" xfId="8842" xr:uid="{6B50C4B1-DBE3-43CB-8FC3-D56EB4C4128E}"/>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259" xr:uid="{016E1806-8D15-46E1-841B-68305E00746C}"/>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258" xr:uid="{6001CBA3-25CA-4FE1-867B-C94294569AEF}"/>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8843" xr:uid="{F6B92CC7-2765-43BC-B8A6-93086DD326FF}"/>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260" xr:uid="{3D1AE323-6D61-49A1-874E-575BBE5692CE}"/>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57" xr:uid="{6525736B-FA5C-418A-89D7-FC1108102C2B}"/>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44" xr:uid="{CD7F7622-7160-4FB2-A3B3-529501B2B132}"/>
    <cellStyle name="Comma 4 2 4 2" xfId="141" xr:uid="{00000000-0005-0000-0000-0000B6080000}"/>
    <cellStyle name="Comma 4 2 4 2 10" xfId="8845" xr:uid="{E0E8373A-113E-430B-B06B-EB9616064855}"/>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262" xr:uid="{24D1923D-4EF5-4665-AFE0-2E3927208605}"/>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61" xr:uid="{C265DA50-EDB6-461B-BFFD-0622C7B63F13}"/>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846" xr:uid="{FD61F686-BCE1-4C7B-B7E9-8216EDB2DD1C}"/>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263" xr:uid="{B7ABD164-16FB-4BD9-B057-DD570470E1B3}"/>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8847" xr:uid="{D0ED1D59-A16C-414E-A7F2-8AE2A410D35D}"/>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264" xr:uid="{B1DD956E-8FC5-4614-B737-3838295C4618}"/>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48" xr:uid="{5221B5DB-0ECA-47BF-BF18-2EEBA7CCE378}"/>
    <cellStyle name="Comma 4 3 2 2" xfId="146" xr:uid="{00000000-0005-0000-0000-000015090000}"/>
    <cellStyle name="Comma 4 3 2 2 10" xfId="4617" xr:uid="{00000000-0005-0000-0000-000016090000}"/>
    <cellStyle name="Comma 4 3 2 2 11" xfId="8849" xr:uid="{95A390C0-7BF2-4DD5-B49F-49E87DE1F829}"/>
    <cellStyle name="Comma 4 3 2 2 2" xfId="147" xr:uid="{00000000-0005-0000-0000-000017090000}"/>
    <cellStyle name="Comma 4 3 2 2 2 10" xfId="8850" xr:uid="{40585CA6-FB17-4F53-A63B-500D3BDD09F6}"/>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267" xr:uid="{CC4FDFE5-2B5A-4C77-9F55-60AC60B2D60A}"/>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266" xr:uid="{C9504353-8813-49D1-8A0D-C98D57CB86A7}"/>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8851" xr:uid="{89341440-EB0C-4460-803C-057F4BF0F358}"/>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268" xr:uid="{4EA91A29-AB05-45CC-B43D-EABC25AC0CD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65" xr:uid="{DF18E078-F21C-482A-90F7-FD8A8FBAB2D4}"/>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52" xr:uid="{D4712BC3-14A1-42F4-9ADD-5C78FFDBF9DA}"/>
    <cellStyle name="Comma 4 3 3 2" xfId="150" xr:uid="{00000000-0005-0000-0000-00006F090000}"/>
    <cellStyle name="Comma 4 3 3 2 10" xfId="8853" xr:uid="{BD7D8F55-D790-4C29-BC09-AEF47C1D6D3E}"/>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270" xr:uid="{40A36F86-9D8F-402C-9F03-A2C00CCA030C}"/>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269" xr:uid="{B32328A0-C62C-4848-B190-93D06795372D}"/>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854" xr:uid="{644A88F7-EA1B-4CDE-80C4-361EFD7DAB3E}"/>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271" xr:uid="{EBF47219-8F4E-4B83-B098-51C3966D9F4F}"/>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8855" xr:uid="{7FDCD25F-D2D0-4509-89D2-8553353B678C}"/>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272" xr:uid="{A04A3489-92C2-463B-8E92-D9EF471B15C7}"/>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56" xr:uid="{50B20578-58A5-4532-AACE-14B797211049}"/>
    <cellStyle name="Comma 4 4 2" xfId="154" xr:uid="{00000000-0005-0000-0000-0000CD090000}"/>
    <cellStyle name="Comma 4 4 2 10" xfId="4625" xr:uid="{00000000-0005-0000-0000-0000CE090000}"/>
    <cellStyle name="Comma 4 4 2 11" xfId="8857" xr:uid="{933F7863-1B90-4489-BA0E-5C6D42A5A099}"/>
    <cellStyle name="Comma 4 4 2 2" xfId="155" xr:uid="{00000000-0005-0000-0000-0000CF090000}"/>
    <cellStyle name="Comma 4 4 2 2 10" xfId="8858" xr:uid="{D22585C5-13BD-4EAC-927B-82412F741C9E}"/>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275" xr:uid="{28068F35-D0D9-4497-A410-27F666E7D321}"/>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274" xr:uid="{F0574D84-5B45-4FD0-AA8E-F2758F4BB43E}"/>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8859" xr:uid="{579BF493-F972-448C-BFC4-F9489F34B141}"/>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276" xr:uid="{FABFE71E-2BF7-42BF-A3E3-E95754D110F3}"/>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73" xr:uid="{96DBE06B-718E-4369-BC6E-6CD688FFFA6B}"/>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60" xr:uid="{E6FE85E1-8447-4594-99E7-11BDA3432C25}"/>
    <cellStyle name="Comma 4 5 2" xfId="158" xr:uid="{00000000-0005-0000-0000-0000270A0000}"/>
    <cellStyle name="Comma 4 5 2 10" xfId="8861" xr:uid="{3D7ED595-D5DD-4D30-BDB3-F9713ABC1C7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278" xr:uid="{585B3144-C71D-43D2-ACE2-D28949AB7828}"/>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7" xr:uid="{CA504316-D52A-4F79-B4B5-90FF397E2DD1}"/>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862" xr:uid="{D02D4A94-F9DF-4FC1-AE7F-8C2A51981C73}"/>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279" xr:uid="{28EE8AA2-A7DB-4179-8B53-F835F0DE36E3}"/>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8863" xr:uid="{7C0204E7-B275-4305-9778-BB67B591DE56}"/>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280" xr:uid="{F78AF47D-D6DF-4789-8F12-8C2D24B3ADA5}"/>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151" xr:uid="{58D7CFA7-CEF4-4962-9FD7-1A89C672BB11}"/>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64" xr:uid="{F5CAD951-7AB9-44E8-AC3E-399901D8F6BF}"/>
    <cellStyle name="Currency 3 2 2 2" xfId="179" xr:uid="{00000000-0005-0000-0000-0000A60A0000}"/>
    <cellStyle name="Currency 3 2 2 2 10" xfId="4633" xr:uid="{00000000-0005-0000-0000-0000A70A0000}"/>
    <cellStyle name="Currency 3 2 2 2 11" xfId="8865" xr:uid="{E7C9F911-9395-4DAA-9292-92D972DD8AB9}"/>
    <cellStyle name="Currency 3 2 2 2 2" xfId="180" xr:uid="{00000000-0005-0000-0000-0000A80A0000}"/>
    <cellStyle name="Currency 3 2 2 2 2 10" xfId="8866" xr:uid="{1E075E48-A99A-44CF-8A98-618E5D9338D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283" xr:uid="{6B97C71C-9BB6-4966-876C-BD0059A30475}"/>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282" xr:uid="{266A53A9-9A80-484C-AECA-1F586EA3960A}"/>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8867" xr:uid="{7F2FE5E9-B194-462B-A2EC-E0EFD0A8AA1A}"/>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284" xr:uid="{DEC07694-752A-46E2-A52F-A2243DA4B8DF}"/>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81" xr:uid="{05E2AAD6-A0F6-4E25-8457-2C109F3F03DC}"/>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68" xr:uid="{E33CE4C3-0A6C-4CBF-87BA-8A3F03005B49}"/>
    <cellStyle name="Currency 3 2 3 2" xfId="183" xr:uid="{00000000-0005-0000-0000-0000000B0000}"/>
    <cellStyle name="Currency 3 2 3 2 10" xfId="8869" xr:uid="{C97B482C-AAF9-4DC0-A575-B8EE24E38533}"/>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286" xr:uid="{943DB021-AEE0-4A36-B9C0-B0AA95A5AFEC}"/>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285" xr:uid="{EE317983-D380-422F-8E80-929BE6B73B1F}"/>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870" xr:uid="{294B8024-E703-4D68-9A56-CEC727CA933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287" xr:uid="{B117D97F-B2FA-4DCA-858B-EC6A49AEA194}"/>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8871" xr:uid="{5717EC8A-3557-457C-863B-EB47DE3A9666}"/>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288" xr:uid="{DD208678-3BAB-4174-A65D-434E4B26886B}"/>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72" xr:uid="{498FD9BB-F5F8-48CA-83F4-A6D225567AA0}"/>
    <cellStyle name="Currency 5 2 2 2 2" xfId="197" xr:uid="{00000000-0005-0000-0000-00006D0B0000}"/>
    <cellStyle name="Currency 5 2 2 2 2 10" xfId="4641" xr:uid="{00000000-0005-0000-0000-00006E0B0000}"/>
    <cellStyle name="Currency 5 2 2 2 2 11" xfId="8873" xr:uid="{D0461291-FDA2-4C59-9DDF-6916E698C922}"/>
    <cellStyle name="Currency 5 2 2 2 2 2" xfId="198" xr:uid="{00000000-0005-0000-0000-00006F0B0000}"/>
    <cellStyle name="Currency 5 2 2 2 2 2 10" xfId="8874" xr:uid="{ED7FD3F9-10AF-4477-A51F-ECE2AC97A4BC}"/>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291" xr:uid="{34FBFAF7-E5AC-47A6-B761-E2CB9FE8826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290" xr:uid="{ED54740D-60A4-44C8-89D2-8FFA963D7C02}"/>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8875" xr:uid="{DF7932D7-ED03-4DE2-9166-33B36EC97784}"/>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292" xr:uid="{6D7D275B-B826-4DF0-8A1C-4C4810F15FD6}"/>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89" xr:uid="{C1B3BDED-67B8-4DE4-9755-81E29C01A9A4}"/>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76" xr:uid="{4087CD2A-7BBB-4D98-9A68-65DE3A93C195}"/>
    <cellStyle name="Currency 5 2 2 3 2" xfId="201" xr:uid="{00000000-0005-0000-0000-0000C70B0000}"/>
    <cellStyle name="Currency 5 2 2 3 2 10" xfId="8877" xr:uid="{64944BE4-3A24-4F4A-8C0F-5B81370E055F}"/>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294" xr:uid="{95028802-AAC1-4AF9-B471-2073E9DCF2CC}"/>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293" xr:uid="{8D18A336-BB8D-405C-8749-B79AD2DDF69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878" xr:uid="{AC47993E-3446-43A8-8522-795D7DBD7A24}"/>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295" xr:uid="{B0AC1E03-6C20-412D-A1C8-B136B51FABF5}"/>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8879" xr:uid="{0B62E763-A746-4CC8-BFBE-4F96650C7FDC}"/>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296" xr:uid="{6AA62472-8E2A-4911-AFCA-B9A369DB0B65}"/>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80" xr:uid="{0CACBCC7-B44B-409D-8C18-C122C0B68D31}"/>
    <cellStyle name="Currency 5 2 4 2" xfId="206" xr:uid="{00000000-0005-0000-0000-0000250C0000}"/>
    <cellStyle name="Currency 5 2 4 2 10" xfId="8881" xr:uid="{741C7786-BCB0-4CF8-960E-33B06A85334F}"/>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298" xr:uid="{F502D538-CF9D-43A3-85DA-C33F38BF39F8}"/>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97" xr:uid="{68945F33-8798-4C79-A8E9-136DEBE88E7F}"/>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882" xr:uid="{46890668-7CC5-47C0-BE90-D3E0644812F5}"/>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299" xr:uid="{5F2A27A1-13D4-42F9-9423-7AA2BF03A5FB}"/>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8883" xr:uid="{D26782E1-5617-4F94-89C1-258A4A08292E}"/>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300" xr:uid="{C0404BB0-F110-48CC-85EB-1B27BCE4E56E}"/>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84" xr:uid="{3FFCBA42-D590-4A15-9F9A-25E74BA2CF47}"/>
    <cellStyle name="Currency 5 3 2 2" xfId="211" xr:uid="{00000000-0005-0000-0000-0000850C0000}"/>
    <cellStyle name="Currency 5 3 2 2 10" xfId="4653" xr:uid="{00000000-0005-0000-0000-0000860C0000}"/>
    <cellStyle name="Currency 5 3 2 2 11" xfId="8885" xr:uid="{C7012EDF-F6D3-4580-9F09-FDB999F000EE}"/>
    <cellStyle name="Currency 5 3 2 2 2" xfId="212" xr:uid="{00000000-0005-0000-0000-0000870C0000}"/>
    <cellStyle name="Currency 5 3 2 2 2 10" xfId="8886" xr:uid="{A1830F1B-E104-4975-A7E0-189A65BD3EA8}"/>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303" xr:uid="{8E24530C-1CAE-46FE-9AB0-E0DAD121FF0B}"/>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02" xr:uid="{F613C264-9231-4B3A-9C6A-C8ADD774410A}"/>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8887" xr:uid="{A8A0CE1C-6F4A-49F1-9205-E586E5C12323}"/>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304" xr:uid="{1326ABC1-FFE0-4079-A2AC-60F3700EF1A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301" xr:uid="{2938EB5D-67CD-40E2-83FA-C2D777E321E6}"/>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8" xr:uid="{26D1A6A0-C842-4B88-9913-491BADCE3240}"/>
    <cellStyle name="Currency 5 3 3 2" xfId="215" xr:uid="{00000000-0005-0000-0000-0000DF0C0000}"/>
    <cellStyle name="Currency 5 3 3 2 10" xfId="8889" xr:uid="{CFF69D40-1881-4E0E-9048-5C3BAB0D1D04}"/>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306" xr:uid="{7A787EAD-7B9C-48C7-8919-FAE84BFF9655}"/>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5" xr:uid="{71E62665-3409-41D9-BAC7-4979E04DB6AD}"/>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890" xr:uid="{9D7A41A4-6779-4D86-B72A-6866AB302675}"/>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307" xr:uid="{9531F069-CF1E-4AD9-A1FB-51385C941C9B}"/>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8891" xr:uid="{C1D70546-20A2-4DF0-B8DE-330268ACA666}"/>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308" xr:uid="{CC0D9EC0-4293-45D1-938C-9D7F08E63C01}"/>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92" xr:uid="{0A04C33F-C2EC-4F33-88AF-801C08291648}"/>
    <cellStyle name="Currency 5 5 2" xfId="220" xr:uid="{00000000-0005-0000-0000-00003D0D0000}"/>
    <cellStyle name="Currency 5 5 2 10" xfId="8893" xr:uid="{C4B40B91-FFC2-421F-BF30-DD7FFFFE39B6}"/>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310" xr:uid="{FC828E92-7563-46E8-86CE-FBEE5D87F5CD}"/>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309" xr:uid="{672EE54E-D341-4519-9222-46F1B8F70505}"/>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894" xr:uid="{9E0EC0E6-B491-435D-A99E-EB50CE4CA0A2}"/>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11" xr:uid="{414486ED-E284-4CE1-855B-47C6BBA01B45}"/>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8895" xr:uid="{2C82746C-2989-451B-A2B7-FAD9B076ABF3}"/>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312" xr:uid="{7ECDC2DE-1BA3-4642-93E8-AD861FA82BD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313" xr:uid="{3A3889EF-B854-48BA-862D-5E4E118ECB62}"/>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896" xr:uid="{C853AE64-1371-4463-BC92-33B5506AC83C}"/>
    <cellStyle name="Normal 12 2" xfId="260" xr:uid="{00000000-0005-0000-0000-0000CD0D0000}"/>
    <cellStyle name="Normal 12 2 10" xfId="8897" xr:uid="{B0391B97-6DFB-4C47-9EB3-25FA11D20905}"/>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317" xr:uid="{7FE1E8AF-0F6E-4447-8491-CB9C09752D01}"/>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8899" xr:uid="{03AA536E-A67C-44FF-9BE8-56B752E5AD3F}"/>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16" xr:uid="{8FA78883-62AA-4DCD-BAA8-2917E03D1E26}"/>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898" xr:uid="{44C2EA52-023A-4993-9F9B-3C34D67F5218}"/>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318" xr:uid="{6AF3B844-3A6F-487B-A105-198652842A0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8900" xr:uid="{80F509FB-2C55-4001-B0F2-F414499185C4}"/>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315" xr:uid="{22C6C9CC-CF07-4BA5-901A-3E551E5E352D}"/>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320" xr:uid="{A2D2A406-7CA4-4F6F-A53B-A359E1275A0B}"/>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8902" xr:uid="{549D00CF-09CF-46A6-81C6-9DA76E6FC857}"/>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319" xr:uid="{A6066E53-F785-4E0C-A8CF-5D2D5E084B73}"/>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901" xr:uid="{558B3724-1F04-42AF-B5A3-82CBA0129FC6}"/>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321" xr:uid="{AD281B3B-F984-4428-A20B-9FB9B9B7EB0C}"/>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03" xr:uid="{F61453E4-8FFD-4418-9DB8-4BEACD261BC1}"/>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314" xr:uid="{8F466FD1-0466-4937-8D03-DF9ED4C94B98}"/>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22" xr:uid="{7028BAFE-B526-4727-8C36-6C5D81C0B62F}"/>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04" xr:uid="{661976DD-E0FC-4184-A7BE-1AFB0DA5EB13}"/>
    <cellStyle name="Normal 15" xfId="4496" xr:uid="{00000000-0005-0000-0000-0000800E0000}"/>
    <cellStyle name="Normal 15 2" xfId="9150" xr:uid="{88FDCCBB-488C-4017-94EF-4CD9D3F82757}"/>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4" xfId="9568" xr:uid="{D6CBC97A-4DEE-407B-AE43-387D3EA62B69}"/>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323" xr:uid="{16D99AD6-994E-4CA4-8A09-99289927C6BF}"/>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905" xr:uid="{F7372F41-5AF7-4F4E-8540-C4371FCF9739}"/>
    <cellStyle name="Normal 2 4 2 2" xfId="280" xr:uid="{00000000-0005-0000-0000-0000950E0000}"/>
    <cellStyle name="Normal 2 4 2 3" xfId="281" xr:uid="{00000000-0005-0000-0000-0000960E0000}"/>
    <cellStyle name="Normal 2 4 2 3 10" xfId="4674" xr:uid="{00000000-0005-0000-0000-0000970E0000}"/>
    <cellStyle name="Normal 2 4 2 3 11" xfId="8906" xr:uid="{2FCBBCBF-01EC-4BBC-8C6F-AFCDB424FDCF}"/>
    <cellStyle name="Normal 2 4 2 3 2" xfId="282" xr:uid="{00000000-0005-0000-0000-0000980E0000}"/>
    <cellStyle name="Normal 2 4 2 3 2 10" xfId="8907" xr:uid="{0E280BAB-A9AB-4730-8CB5-2501FB2F4AE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328" xr:uid="{A1F018AD-4974-4B99-BAF0-FFEE2B9F5DC4}"/>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8909" xr:uid="{7C3B74BA-1ECC-462B-BEA4-18EEB96C298C}"/>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27" xr:uid="{A63C0FF6-5E56-45B8-88F0-E7367E5DCDDF}"/>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08" xr:uid="{DEBAC495-6E1C-4656-A602-CA377E791FC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329" xr:uid="{CC0DCDA5-E4DF-4998-A969-D9F6C9C1E833}"/>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8910" xr:uid="{D3FBE3EA-16C9-4BA0-A7D4-BBE4689DE883}"/>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326" xr:uid="{8D7F10AF-A674-4605-953D-DB6C8193D89E}"/>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331" xr:uid="{300040E0-463D-4E7C-BD0B-FA1B90AC982E}"/>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8912" xr:uid="{4CF65513-BC54-4BF5-8B0D-B7ADF4F4158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30" xr:uid="{9D8CB492-4FBB-445B-BCC3-2C469978260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911" xr:uid="{E25847DB-4610-48AD-8717-8696840006B6}"/>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332" xr:uid="{CD1F7662-AD27-41FD-84DB-2C18D62CA501}"/>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13" xr:uid="{54D1EFF3-811B-4C14-B91E-4DB5BD1D7B4B}"/>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325" xr:uid="{516B8218-AF46-436F-8FB1-8099A7DE96FE}"/>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914" xr:uid="{AE93EA08-5ECD-4925-982A-E6FC93B33079}"/>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335" xr:uid="{1DE4F296-CC0E-4097-8941-890E4AA44C89}"/>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8916" xr:uid="{A32617BB-814E-4AB0-9839-E9FC3AD9C6E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34" xr:uid="{C9A2E7AA-FBD0-4FA9-909A-40C24981FF6D}"/>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74F4E471-4BCE-46EF-91B8-9FD71CB5AD6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336" xr:uid="{05EC2F1F-F9C5-445F-92BF-3C282E958D94}"/>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8917" xr:uid="{3491B2B9-3196-42E1-8A87-F18B94B81C1D}"/>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333" xr:uid="{BCBAE32F-CE9C-4C83-87B5-A0D103BFF104}"/>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338" xr:uid="{761EEFC3-1F24-47E4-A4EA-E79786FBAF32}"/>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8919" xr:uid="{243B4BA1-728C-4A02-A47B-76CCCE79F5C3}"/>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337" xr:uid="{B2B69008-24CB-48F4-8675-45A913CBFF8C}"/>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918" xr:uid="{452AFDA5-3744-4B9E-ACE9-E59390B68475}"/>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339" xr:uid="{64B25C37-2F11-4246-B133-E225DD5330FE}"/>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20" xr:uid="{F678910B-8324-44C5-A9DB-69DBD76BEF84}"/>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324" xr:uid="{8DFE830B-769D-48E3-AD78-EDF740431DBC}"/>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10" xfId="8921" xr:uid="{50620311-0CFE-4944-A94A-1AB70A29EDC2}"/>
    <cellStyle name="Normal 2 4 3 2" xfId="297" xr:uid="{00000000-0005-0000-0000-0000CF0F0000}"/>
    <cellStyle name="Normal 2 4 3 3" xfId="298" xr:uid="{00000000-0005-0000-0000-0000D00F0000}"/>
    <cellStyle name="Normal 2 4 3 3 10" xfId="8922" xr:uid="{2F1527A2-7E56-4AEF-9851-4030AB5A9D3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343" xr:uid="{8EB7CCDF-8719-44F2-A42D-EEA7A9791E6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8924" xr:uid="{4C42D182-A5C8-446B-A89C-677AABE1EE37}"/>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DE709BD8-BF48-4A10-AA88-5D4F335A5487}"/>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23" xr:uid="{579D3566-D9AB-4640-A25B-D97DD2D82C6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344" xr:uid="{9B7782AB-1D29-4E9E-9CB4-65218AE5DF3F}"/>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8925" xr:uid="{E28DDE86-DFDE-4761-A7AA-05EB6FF9198F}"/>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341" xr:uid="{BE6A2CC9-0771-4771-8AA4-7161B3336783}"/>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340" xr:uid="{DC26D4B0-B204-4B14-B94E-5EEDD0326121}"/>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926" xr:uid="{2FFF838D-3117-4D26-B3B6-6D5DF1DA00B2}"/>
    <cellStyle name="Normal 2 4 5 2" xfId="304" xr:uid="{00000000-0005-0000-0000-000036100000}"/>
    <cellStyle name="Normal 2 4 5 2 10" xfId="8927" xr:uid="{F046FD9E-65C6-43BA-9C92-E80D7EC85EF9}"/>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348" xr:uid="{4D56D773-7E01-475C-8E03-DC6C2975CD6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8929" xr:uid="{4FE60CEE-3CEC-4217-831E-0B511E45C649}"/>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7" xr:uid="{2B680AF4-4EA1-4FA6-B46B-531CE385BA4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28" xr:uid="{FD059CBF-ADB7-4998-B3B0-F22A6BAF9464}"/>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349" xr:uid="{DFA2CC79-45A1-45B8-809A-6FD84E78212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8930" xr:uid="{1486EB58-B9B4-45D9-B6FC-F9D1FC99817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346" xr:uid="{00187313-B66A-4C37-901E-DC48A593EB78}"/>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351" xr:uid="{0E86E54D-F469-489B-B021-3D95B8B4313B}"/>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8932" xr:uid="{1A460D30-BAE4-45D0-A5D7-8FB3F6249BFB}"/>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50" xr:uid="{7C5C013C-F326-48A8-87B0-FB66C03B3858}"/>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931" xr:uid="{EF29B63D-2D45-4477-8CF5-91FCA92A8E9F}"/>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352" xr:uid="{F969C217-09ED-41CB-AC04-852A19ADB7B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33" xr:uid="{5E782C85-C663-4046-BA7F-72ED0CFC375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345" xr:uid="{00ABD318-22BE-4D06-AA71-FEBA74C28932}"/>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354" xr:uid="{84D6B35C-E400-4907-BB73-7B35D6D61516}"/>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8935" xr:uid="{A3B18747-0A33-42B6-A415-0376629C7118}"/>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353" xr:uid="{BE7EAC3E-DE23-41C9-BC8F-7573D3B6BD2E}"/>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934" xr:uid="{C1860F26-004F-4FCD-9B4B-2887B592562A}"/>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55" xr:uid="{9E310B10-A24F-45C9-B202-5229B675801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36" xr:uid="{7B20CB57-66F5-495C-BECB-BE571447C3F7}"/>
    <cellStyle name="Normal 2 5" xfId="315" xr:uid="{00000000-0005-0000-0000-000011110000}"/>
    <cellStyle name="Normal 2 5 10" xfId="4705" xr:uid="{00000000-0005-0000-0000-000012110000}"/>
    <cellStyle name="Normal 2 5 11" xfId="8937" xr:uid="{405E2286-4FE8-46BB-BC81-870EEE15476A}"/>
    <cellStyle name="Normal 2 5 2" xfId="316" xr:uid="{00000000-0005-0000-0000-000013110000}"/>
    <cellStyle name="Normal 2 5 3" xfId="317" xr:uid="{00000000-0005-0000-0000-000014110000}"/>
    <cellStyle name="Normal 2 5 4" xfId="318" xr:uid="{00000000-0005-0000-0000-000015110000}"/>
    <cellStyle name="Normal 2 5 4 10" xfId="8938" xr:uid="{BEC5C341-432D-41C7-95C0-5D140AFA266E}"/>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359" xr:uid="{8E9D8A99-BF7C-4715-9967-B54307199279}"/>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8940" xr:uid="{3845DE42-B735-499A-8A6E-5E7F3FBE2FB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58" xr:uid="{A3B4E361-5511-4AA1-B98E-AEB2CFA2ECA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39" xr:uid="{DA517895-1667-498A-8886-E925F7D35A9D}"/>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360" xr:uid="{C22CC596-8FBB-46AF-BF7A-67211D2907D9}"/>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8941" xr:uid="{73FF49B9-308F-4CAA-8A29-8AAD3181FA12}"/>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357" xr:uid="{6B4E1B01-EAF7-4BE8-9ECD-DECD355F8DDA}"/>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356" xr:uid="{543E97C3-AF24-4E6F-A55A-C7D3AA85ACEC}"/>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9149" xr:uid="{DC753B7F-29E2-4621-8867-322C97E3ECBB}"/>
    <cellStyle name="Normal 3" xfId="323" xr:uid="{00000000-0005-0000-0000-00007A110000}"/>
    <cellStyle name="Normal 3 2" xfId="324" xr:uid="{00000000-0005-0000-0000-00007B110000}"/>
    <cellStyle name="Normal 3 2 10" xfId="8942" xr:uid="{3FE65988-EFEA-4522-88E9-BACE464CC1F7}"/>
    <cellStyle name="Normal 3 2 2" xfId="325" xr:uid="{00000000-0005-0000-0000-00007C110000}"/>
    <cellStyle name="Normal 3 2 2 2" xfId="810" xr:uid="{00000000-0005-0000-0000-00007D110000}"/>
    <cellStyle name="Normal 3 2 3" xfId="326" xr:uid="{00000000-0005-0000-0000-00007E110000}"/>
    <cellStyle name="Normal 3 2 3 10" xfId="8943" xr:uid="{7ADF3341-15CB-498B-B84A-55D874AE843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364" xr:uid="{53C1B4B0-F009-44DD-A32B-7F2FFB7EC985}"/>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8945" xr:uid="{1C3699EB-FC35-471C-9D4C-34DA86B4A962}"/>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63" xr:uid="{9C1BFC46-7DE9-4CC4-9C12-CA7A4ADD58B5}"/>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44" xr:uid="{2034B89F-49D7-4808-88BC-BF062EC86529}"/>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365" xr:uid="{5A2E8749-5970-48E8-88DF-EFBC049B51DE}"/>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8946" xr:uid="{920A37D4-4D0C-4C9D-82D6-AA4D2EC7DE9C}"/>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362" xr:uid="{7D6D3DDD-0B0B-4757-B19D-803D44A405E6}"/>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361" xr:uid="{CEAE878F-4278-4A4B-8702-F04FD044E60B}"/>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947" xr:uid="{CB4E0E0E-5E02-4CBE-9EC2-99D94C729708}"/>
    <cellStyle name="Normal 4 2 2 2" xfId="338" xr:uid="{00000000-0005-0000-0000-0000F1110000}"/>
    <cellStyle name="Normal 4 2 2 3" xfId="339" xr:uid="{00000000-0005-0000-0000-0000F2110000}"/>
    <cellStyle name="Normal 4 2 2 3 10" xfId="4717" xr:uid="{00000000-0005-0000-0000-0000F3110000}"/>
    <cellStyle name="Normal 4 2 2 3 11" xfId="8948" xr:uid="{A35A385D-1BE0-4076-8EDA-604212EECB0D}"/>
    <cellStyle name="Normal 4 2 2 3 2" xfId="340" xr:uid="{00000000-0005-0000-0000-0000F4110000}"/>
    <cellStyle name="Normal 4 2 2 3 2 10" xfId="8949" xr:uid="{EB51A1A2-67E1-417D-8B82-685E5B2FDBF7}"/>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370" xr:uid="{E0859CE5-E585-485C-A0C1-A84C9F6A9B85}"/>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8951" xr:uid="{769FE736-3722-40D6-9585-48947470C51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69" xr:uid="{E93D0599-89FA-49BD-B086-4799D334AB54}"/>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50" xr:uid="{B1CE8EEB-A7A0-418F-9952-0DD135BBF93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371" xr:uid="{FAB60B12-66CF-4695-AD4E-B2FB0E52F45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8952" xr:uid="{590A000D-E49E-4CA5-9298-984CE09CD15C}"/>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368" xr:uid="{AA8DCD68-5D42-409D-85E2-0AAB90851477}"/>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373" xr:uid="{03D577E5-6ADD-45E6-BCDC-FEA940C3ED2A}"/>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8954" xr:uid="{DAC71801-B373-4508-BF40-6DFDB62D18D4}"/>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72" xr:uid="{5DDCD912-7781-4EC7-A3AB-C678D0DCE7D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953" xr:uid="{3957D60D-BD43-44DD-9245-7162ABD8182C}"/>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374" xr:uid="{58C1C27D-BE23-4973-87B5-B4E809D4C7A6}"/>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55" xr:uid="{210B11BD-01A5-4AB2-BD75-470FB6B4DB49}"/>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367" xr:uid="{878371D5-9B2F-45C0-A10B-F96FDF1B85F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956" xr:uid="{7D758BB0-08C7-4480-BF8B-0E1D03A92D86}"/>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377" xr:uid="{71A86C19-4C4D-4505-A86A-F49687C21252}"/>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8958" xr:uid="{73F495AE-4972-4CD7-915A-F6867376A038}"/>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76" xr:uid="{E189BF9B-4AB3-4E45-84FA-E171407C557D}"/>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57" xr:uid="{6AEAA176-C26C-44C8-9555-13F36A3C7DBC}"/>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378" xr:uid="{A3022029-FC8A-4E0A-B702-05DF373F3FF7}"/>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8959" xr:uid="{1B94FAD2-925F-43A4-9AA7-930D0C24C569}"/>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375" xr:uid="{55FEC5B8-5A4B-4A6F-9822-6A3DCB747DE3}"/>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380" xr:uid="{B4B8F1E5-62AC-4A4D-9C12-2F19B3B1ED6F}"/>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8961" xr:uid="{68226ABE-D5BD-441B-9288-B4F1CB4044B1}"/>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379" xr:uid="{D648283F-4C88-4687-A201-DF6EE95834AC}"/>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960" xr:uid="{1242E313-E624-492B-B07D-95FD64019122}"/>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81" xr:uid="{EA1B1426-AB87-4BF9-AB3F-481B4F371757}"/>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62" xr:uid="{FD181DF2-18E1-4A48-81B5-A32774127C3D}"/>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366" xr:uid="{7F17F605-78A1-4048-BEF8-57688F05A92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963" xr:uid="{5F21A42F-EE06-4B2F-93AA-25767AF00162}"/>
    <cellStyle name="Normal 4 2 4 2" xfId="356" xr:uid="{00000000-0005-0000-0000-00002D130000}"/>
    <cellStyle name="Normal 4 2 4 2 10" xfId="8964" xr:uid="{E3B6FD6D-41C0-4EF2-9793-F545B0C8E041}"/>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385" xr:uid="{1693B312-77C2-4FD7-9E10-A6AAB5EE5831}"/>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8966" xr:uid="{E46551E6-BC36-4392-BE90-A8D3E9D492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84" xr:uid="{83DD8C7D-8DE2-47F4-91E6-7E03C35D2157}"/>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65" xr:uid="{064490DE-4290-46B8-988A-97564749F01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386" xr:uid="{E56F3E66-E3DA-4DB5-B037-B72AEDB0F75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8967" xr:uid="{683925EC-ACD0-48F6-B1B0-816430C70704}"/>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383" xr:uid="{095D611C-3892-4A39-BBE0-A49C862D0B71}"/>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388" xr:uid="{AAD6C7E2-CD27-4322-B4C5-9D893AD28AAD}"/>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8969" xr:uid="{DEB8360F-A654-4F61-9B05-3F11A4D5B727}"/>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87" xr:uid="{F2DAF255-DF8B-457C-9A09-2FE5CFD834AB}"/>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968" xr:uid="{454A2372-17C9-4A51-87A9-9E86CC7D481D}"/>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389" xr:uid="{2B7E3E81-B4E9-4249-8538-0C1DE9BC6BD7}"/>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70" xr:uid="{22809365-A7CA-4149-A8C3-5ACD613994C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382" xr:uid="{5C0EB335-C6FC-4E53-9346-8FDA40599198}"/>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391" xr:uid="{8CFB4FC2-1E98-42BB-98DC-B1248427C5D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8972" xr:uid="{210D59F0-DB72-4F90-A2DC-DF65A647BFFB}"/>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390" xr:uid="{424DB9AE-D1E8-454D-8E40-1281BCFE5D23}"/>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971" xr:uid="{B7DAAD54-F6E2-4144-9DE8-565EFAF0ADA9}"/>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92" xr:uid="{A02AB616-AAED-4921-A6BD-A52536294013}"/>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73" xr:uid="{AB8EFD04-DE6C-4C9D-97CF-7A7AE773035E}"/>
    <cellStyle name="Normal 4 3" xfId="366" xr:uid="{00000000-0005-0000-0000-000007140000}"/>
    <cellStyle name="Normal 4 3 10" xfId="8974" xr:uid="{1EC9892B-7A32-4C3D-A1D1-B383D4DAA769}"/>
    <cellStyle name="Normal 4 3 2" xfId="367" xr:uid="{00000000-0005-0000-0000-000008140000}"/>
    <cellStyle name="Normal 4 3 2 2" xfId="368" xr:uid="{00000000-0005-0000-0000-000009140000}"/>
    <cellStyle name="Normal 4 3 2 2 2" xfId="369" xr:uid="{00000000-0005-0000-0000-00000A140000}"/>
    <cellStyle name="Normal 4 3 2 2 2 10" xfId="8975" xr:uid="{B9A0FB67-EE0F-4D89-A6C5-9F441C8F165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396" xr:uid="{8ED4927E-B814-4B2A-B5F5-AD65F66E399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8977" xr:uid="{CBA79E57-C7BA-4626-9415-C58F0FECB07F}"/>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95" xr:uid="{29B1A628-F3E5-41AF-95DD-98FE9387DC19}"/>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76" xr:uid="{38EC39B1-69A4-4A9B-939C-058AE9D8D79D}"/>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397" xr:uid="{4F8F8724-E9E2-4D9B-937B-2C93BD574CDA}"/>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8978" xr:uid="{F555EC75-3F5E-4D8B-8DCB-77FB7D123C45}"/>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394" xr:uid="{0E5F02D3-E8DB-4657-A57F-F9226EC4DC5C}"/>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9" xr:uid="{12D410AE-F5B1-4E1F-8BDA-972E7AD3D8B9}"/>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400" xr:uid="{1B87C788-0F2F-4425-9553-F93A3516B821}"/>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8981" xr:uid="{7A9992BE-CD8B-4AC3-887A-5DA7E5FD5ADB}"/>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99" xr:uid="{0E9BD2DB-B87E-457C-8B7F-C572050E5A41}"/>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80" xr:uid="{277EED7A-8520-4193-BE36-01BC4A0BEF92}"/>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01" xr:uid="{2F3491E6-4F15-4019-94ED-B0FF45467531}"/>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8982" xr:uid="{EC2D2F05-EC9F-4F6E-8A7B-33DFB598C3B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398" xr:uid="{92926A84-6352-4863-97E7-813A276157C6}"/>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393" xr:uid="{41042A89-B577-45AF-BF9A-433AC8A42741}"/>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983" xr:uid="{76D6A0DE-5BF4-447E-8B42-F310B1F63102}"/>
    <cellStyle name="Normal 4 4 2" xfId="379" xr:uid="{00000000-0005-0000-0000-0000C4140000}"/>
    <cellStyle name="Normal 4 4 2 10" xfId="4753" xr:uid="{00000000-0005-0000-0000-0000C5140000}"/>
    <cellStyle name="Normal 4 4 2 11" xfId="8984" xr:uid="{DA01394E-28E2-4C98-8BD2-4AE0BC569B14}"/>
    <cellStyle name="Normal 4 4 2 2" xfId="380" xr:uid="{00000000-0005-0000-0000-0000C6140000}"/>
    <cellStyle name="Normal 4 4 2 2 10" xfId="8985" xr:uid="{DA2FCA61-09BB-4B5D-B8C5-2993DA03FE0A}"/>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406" xr:uid="{AFB58F6B-7300-4E1F-924E-9DA51713979B}"/>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8987" xr:uid="{04823209-4339-4074-8D46-E6695F2500B8}"/>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405" xr:uid="{828A9B6A-8712-46A9-8B85-E113E2229E43}"/>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86" xr:uid="{66B01242-4C5C-4455-80DB-4D09D99945DC}"/>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07" xr:uid="{6F96A568-404D-4EF3-B7D7-5395CD02F89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8988" xr:uid="{F6DECB0E-3F47-48CC-AEAB-168A15E17F9B}"/>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404" xr:uid="{C3CE8C02-56E3-4EC8-A431-09B08B969CF5}"/>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409" xr:uid="{044C8B38-C7AF-4AB9-A3CA-A62EB78C6A08}"/>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8990" xr:uid="{67E08AEF-09C1-4F09-86EE-F0F597508C96}"/>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408" xr:uid="{7F3B186B-5936-48DF-90DC-135A70B522AC}"/>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989" xr:uid="{116F9B90-CD78-4D64-9F24-228FFF7A652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0" xr:uid="{A5B93529-A42D-46F9-9E3B-38F9B07AEF9D}"/>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91" xr:uid="{D5B800D9-BCA4-4687-8D33-51BEA47C2FBB}"/>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403" xr:uid="{DE095782-1832-4600-ABA0-117A3D645A39}"/>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992" xr:uid="{8D14D561-9C54-4023-AFBD-814064C5099C}"/>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413" xr:uid="{76EF006F-3400-40B6-BDD1-470E85C04A5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8994" xr:uid="{2B7D4955-3EAC-49B7-99AB-6FFCF92841AE}"/>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412" xr:uid="{252B1204-FCA4-4DEC-B43F-5A31E15ABE95}"/>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93" xr:uid="{D3DF4F69-6CF3-4569-BE9D-7234EEC07CF6}"/>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14" xr:uid="{5DBE6BED-1A89-49C8-837A-AA608AB813C7}"/>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8995" xr:uid="{C6584792-7B8A-4A6B-9A32-C2618C12341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411" xr:uid="{CDABBB57-7488-43DA-9A2B-F231446C0427}"/>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16" xr:uid="{6141E0FF-6E53-427A-A434-558B2008B59E}"/>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8997" xr:uid="{FC471D25-B100-4C09-85F5-39C8307C4AC6}"/>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415" xr:uid="{DD09B9D5-DCFD-4702-B297-4EC171CA60D8}"/>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996" xr:uid="{A4112F48-2E17-45AE-8337-5EF2845B11AC}"/>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417" xr:uid="{6FF55A65-6D61-4EFA-BE66-4C463F7E4E76}"/>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98" xr:uid="{949CE74D-FA0A-47C1-BFE9-18C5FCCEE017}"/>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402" xr:uid="{2F0350FA-BA34-4AC2-8B12-71FBE359B585}"/>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999" xr:uid="{A7C5AD06-4B8A-415B-A734-0B426FB12976}"/>
    <cellStyle name="Normal 4 6 2" xfId="396" xr:uid="{00000000-0005-0000-0000-000003160000}"/>
    <cellStyle name="Normal 4 6 2 10" xfId="9000" xr:uid="{1415D83E-1E96-478F-9F02-9AD494B8C7F7}"/>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421" xr:uid="{E305D289-1F43-4CDA-B2E4-97D6C62D8C85}"/>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002" xr:uid="{308292AD-5742-4777-BBC5-75C04A033011}"/>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420" xr:uid="{234A8C67-4564-4E04-8C94-983545F4EF0B}"/>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9001" xr:uid="{54EE0F78-5880-481B-BC94-95096E09DFA7}"/>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22" xr:uid="{514F845B-63A7-4B81-9BD2-A6A6F74DCBC2}"/>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03" xr:uid="{BD3C5D92-FE0D-4946-8ED0-EE669A6D9F45}"/>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419" xr:uid="{371C487E-B8F6-4618-9285-F7F69E46BDF8}"/>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424" xr:uid="{2B73C0E6-0D12-4644-B84B-B1CCDDF6F8FE}"/>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05" xr:uid="{27FBD520-E188-40A7-8440-0878E6817A5C}"/>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423" xr:uid="{B2CB7BBC-1603-4B49-84AB-FC2AC988F9C2}"/>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9004" xr:uid="{6CB37AA2-8983-4107-8C16-3239332A81FB}"/>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25" xr:uid="{F5BA1C8C-124C-417B-99F3-7F03F9708652}"/>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9006" xr:uid="{CDBB33B5-697F-480F-B8FF-09080395247E}"/>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418" xr:uid="{2F308A4B-3F58-4DB3-AA8F-731D3820421D}"/>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27" xr:uid="{1A7948BF-7CED-4275-A36A-AE109B713A93}"/>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08" xr:uid="{0B700E03-B78D-4E17-B31D-240DCA6908B2}"/>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426" xr:uid="{8FF35535-3B4C-406A-9E7A-EBCDE9FDF213}"/>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9007" xr:uid="{4BBFB519-FEE1-4FD5-A8BE-58401EC13C18}"/>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428" xr:uid="{12FF5673-9DA7-4CAA-86AD-15AC640B05F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9009" xr:uid="{F465A8C1-5264-4FC4-958C-3A88C315A757}"/>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9010" xr:uid="{B3F50EF1-0778-4133-86B4-D83A898CFE03}"/>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9011" xr:uid="{9CD02EA8-5DD6-4F19-9779-58EAA39464F6}"/>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9012" xr:uid="{3C306D92-091A-4C57-82F4-C8ECF1CAF721}"/>
    <cellStyle name="Normal 5 2 2 2" xfId="409" xr:uid="{00000000-0005-0000-0000-0000F6160000}"/>
    <cellStyle name="Normal 5 2 2 2 10" xfId="4782" xr:uid="{00000000-0005-0000-0000-0000F7160000}"/>
    <cellStyle name="Normal 5 2 2 2 11" xfId="9013" xr:uid="{9683100A-C6BE-48D1-9B36-441CE6956DD1}"/>
    <cellStyle name="Normal 5 2 2 2 2" xfId="410" xr:uid="{00000000-0005-0000-0000-0000F8160000}"/>
    <cellStyle name="Normal 5 2 2 2 2 10" xfId="9014" xr:uid="{3D9DD2CF-D478-4922-9EC1-7C6051E9498E}"/>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435" xr:uid="{9C661C74-8E44-449D-A4F5-4A0A63414EFE}"/>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016" xr:uid="{E511EAD2-1B5D-4BCE-A878-0506759756D9}"/>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434" xr:uid="{9D52BAB5-E3C0-4AB7-87A4-BFC41CBAC8D3}"/>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9015" xr:uid="{EC74B1F8-7D2B-4F54-B754-EA2D66141B8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36" xr:uid="{2E8DD972-2DE7-40D1-949C-B6EECFB2FAC3}"/>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17" xr:uid="{73E13A8E-C50D-49C2-AEF3-20B079EE7B79}"/>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433" xr:uid="{C1CF5414-FAAE-44C7-BE4A-0A692E83C16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438" xr:uid="{9A518F20-7427-4AC8-9A0F-363C4451F2F9}"/>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19" xr:uid="{BE8C396F-724F-4C0E-8765-CCFF482D81DE}"/>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437" xr:uid="{6A443A31-94F0-4156-83A8-1B370558A0CE}"/>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9018" xr:uid="{88C3F666-9221-4036-A0CD-443D7A1CBD03}"/>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39" xr:uid="{15809F64-0345-4D5F-8C9D-99305AEA84FE}"/>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9020" xr:uid="{1F01B1E1-3740-4228-8AAF-6DC0B8B0337D}"/>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432" xr:uid="{B3F42457-6F9E-4647-9F44-D1DB208ED115}"/>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9021" xr:uid="{64D578C7-FE25-45BD-B8EB-D63A1B769B1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442" xr:uid="{751C3E1E-FF4D-4479-AAA2-9B1485720A4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023" xr:uid="{2367C0B2-C026-4D12-A90B-414BF7491268}"/>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441" xr:uid="{1D1CA6C7-8B11-47DF-81AD-E6635D4D33C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9022" xr:uid="{E0B55F13-0E8B-4BB2-A660-BD721C7215A4}"/>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43" xr:uid="{839038F6-0D24-49AA-BA7F-DB2EF5DAF6E8}"/>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24" xr:uid="{7DEB1668-746B-4E07-8680-FB1931B53435}"/>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440" xr:uid="{A5F205EF-45F9-4398-983C-6168C90E9F15}"/>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45" xr:uid="{4A153B79-DA86-4335-9B89-9CEBD78AB5AB}"/>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26" xr:uid="{946D8B39-9EB7-4D27-A5AA-547B4A88F55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444" xr:uid="{5F72E2E8-3E9E-4711-B898-CE6162FD9463}"/>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9025" xr:uid="{E8406841-02F4-4518-ADDE-D900BBC1E7D2}"/>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446" xr:uid="{BFE5206C-8750-491A-BB02-0195ABE16F0F}"/>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9027" xr:uid="{BE1C4611-0B0A-4062-8A41-AB9B50799619}"/>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431" xr:uid="{DDBCC69E-C3F8-49C8-8DC0-667B10D27298}"/>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9028" xr:uid="{5B387FE6-A130-45E2-AD6D-F6139D897DAA}"/>
    <cellStyle name="Normal 5 2 3 2" xfId="425" xr:uid="{00000000-0005-0000-0000-000034180000}"/>
    <cellStyle name="Normal 5 2 3 2 10" xfId="9029" xr:uid="{07AD6C7D-84B1-4B49-A62A-067D55264401}"/>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450" xr:uid="{2307DCF2-9101-4E4D-9B9B-3D821B47E3D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031" xr:uid="{0DDDB36B-61AC-4FD1-9661-1EFA57AB7728}"/>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449" xr:uid="{94477267-63BE-4B05-9232-EF4A8D483089}"/>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9030" xr:uid="{11828AC8-F5ED-4DA4-9EEA-72DCEB21E5D8}"/>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51" xr:uid="{8663488B-01E3-406F-B6D4-5EF1D99F958E}"/>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2" xr:uid="{FE724B8A-C6C8-4328-A4AB-9AE439BB219C}"/>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448" xr:uid="{01CC2DAB-2090-4EC7-9418-C5992EA6E7C7}"/>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453" xr:uid="{5B5EE75D-D3AB-40FB-B42D-9D99827CA5B8}"/>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34" xr:uid="{B615F2A6-504C-41E0-AD2D-B636976DB6A4}"/>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452" xr:uid="{25498651-5074-4AEB-8ADE-85AB69655DEF}"/>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9033" xr:uid="{C2AF335A-D533-448C-AD40-F21200B57F0D}"/>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54" xr:uid="{ABCB1298-1EDD-4164-AC1F-3386DA5FEC1B}"/>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9035" xr:uid="{0285934F-BAFE-4B1D-838A-452E12D4CF09}"/>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447" xr:uid="{4E8F0793-8DE1-4F3C-A740-F0591417D85B}"/>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9036" xr:uid="{9C9D4111-4CA6-484B-BB04-C8F06B78809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457" xr:uid="{6044113B-4F37-4EFE-AFDC-A91E30946F44}"/>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038" xr:uid="{C5699459-0885-45EC-917C-CF4F9D884D02}"/>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456" xr:uid="{EDC34D2C-0C6D-42B8-8856-E68AC2744DBC}"/>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9037" xr:uid="{ABA8D9EB-D641-4AB8-BCE9-E8A3CFEBEB1E}"/>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8" xr:uid="{13627BAE-2D64-4E28-BE77-6539F463B50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9" xr:uid="{3796DE8A-C843-42E9-AA2B-13149AF50186}"/>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455" xr:uid="{4010A730-3569-4A24-B2C4-8D756127CB1A}"/>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60" xr:uid="{B3F1ADE3-829C-4E53-B477-EE0FEE8C7AE6}"/>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41" xr:uid="{230482CB-433A-48D6-854E-C2EFD84518D8}"/>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459" xr:uid="{A1703036-80C1-4838-B13F-123B95ACF212}"/>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9040" xr:uid="{ED92A463-3C9C-49D2-BFE7-BAA7FF96A444}"/>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461" xr:uid="{090470AE-B5BF-45C9-B6A4-876CA14C5A4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9042" xr:uid="{78B63178-E026-4AE4-82E0-70A74F75C418}"/>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430" xr:uid="{F974593E-DB1A-4F3B-94FE-4C1426CAEFBF}"/>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9043" xr:uid="{4DF0987B-7684-4A2B-897D-FF9F114EFE8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9044" xr:uid="{BC374D44-35B7-4E56-B6FC-8D52A8B492CE}"/>
    <cellStyle name="Normal 5 3 3 2" xfId="442" xr:uid="{00000000-0005-0000-0000-000076190000}"/>
    <cellStyle name="Normal 5 3 3 2 10" xfId="9045" xr:uid="{CA40671D-0236-4F45-9927-05725F4E7E4C}"/>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466" xr:uid="{3D95846E-3248-4761-94B5-A14950F69C41}"/>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047" xr:uid="{78F9DD99-6C48-4BA9-B052-4EC4CD197228}"/>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465" xr:uid="{9DEF82A6-970C-4BAB-8280-AA6375310036}"/>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9046" xr:uid="{BFAEA60B-D0F5-464A-BB75-C4CE653BD6C1}"/>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7" xr:uid="{B54ADE2B-4FF2-4C96-BF8F-832FE04B5FF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48" xr:uid="{AF29674F-C62C-43C8-A156-F2193198312F}"/>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464" xr:uid="{7CD1568B-BE86-4261-B0D1-8688AB2947BE}"/>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469" xr:uid="{345575F0-8740-46D8-9442-EA759B46CCA1}"/>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50" xr:uid="{76E4034F-BD3E-4ECE-9CAA-CEF6380730F5}"/>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468" xr:uid="{70E3B410-59AA-4CBE-8ACE-EC3312DE363B}"/>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9049" xr:uid="{B94578E1-1A27-47C9-A50C-8CEA61E8E3C8}"/>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70" xr:uid="{814A262D-92CC-48EB-8122-1D37DDDCB83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9051" xr:uid="{B7C794E0-26D0-4F78-B68D-542ACF4563B3}"/>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463" xr:uid="{9E71072E-9D48-497E-87F0-60C3AEBE4A8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9052" xr:uid="{D62B867B-AEC6-454F-ABF6-82A9A3D78A76}"/>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473" xr:uid="{B7A7CC31-AB31-45C2-9A0A-A1D712A23FDE}"/>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054" xr:uid="{EC79A6C7-684A-44C0-B604-5B119AEFF2A3}"/>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472" xr:uid="{2B7C1490-C439-40BE-8A1F-2612C29706D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9053" xr:uid="{829A3F17-66B8-40C4-AF28-E01376BA536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74" xr:uid="{0EBE23DD-C4D7-46F0-81C1-9044DA69CA3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55" xr:uid="{8E223F22-4C90-4123-92C7-1D9DF8BA6249}"/>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471" xr:uid="{18C96B29-B5CE-412C-B75C-E02AB9C44977}"/>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76" xr:uid="{B80C5CCC-C7F7-4A3C-9A30-F4613858F0AA}"/>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57" xr:uid="{087B412F-2777-4F7E-AD17-5CD774CD234B}"/>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475" xr:uid="{35F25D25-31F6-4EC5-9D0D-BEDF67045925}"/>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9056" xr:uid="{82965383-5EC3-4783-99DA-51A7AEB7B09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477" xr:uid="{7815E23B-532F-465B-8D29-EEB2893207F6}"/>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9058" xr:uid="{543F3A3F-E075-43C9-A42C-CE3991E5DA52}"/>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462" xr:uid="{1C756997-C6F6-442F-9C32-E46860C5A879}"/>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9059" xr:uid="{204EDFDE-1005-41A0-B464-4A73BA9BD0C3}"/>
    <cellStyle name="Normal 5 4 2" xfId="457" xr:uid="{00000000-0005-0000-0000-0000AE1A0000}"/>
    <cellStyle name="Normal 5 4 2 10" xfId="9060" xr:uid="{782DBF61-FC2B-46BB-AF6C-260196243DE4}"/>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481" xr:uid="{934AA1A4-32D2-4A37-A09A-0D17EBEDBD13}"/>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062" xr:uid="{2D7CBBBF-9B24-45E0-9A74-6A2BC5DB41F6}"/>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480" xr:uid="{DC6B90AC-48E5-410C-B828-45296F2A72B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9061" xr:uid="{5D6E43B8-3882-4FF8-A52A-C8DC27B8343E}"/>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82" xr:uid="{3A2A2C36-FABC-4168-A99C-064DBDD865BB}"/>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63" xr:uid="{06E762B1-D777-42D3-8009-F5EA1E5C0054}"/>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479" xr:uid="{2973927B-2555-4256-9D5B-3A937BDE8E4F}"/>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484" xr:uid="{9DE6E04F-B978-4075-B20C-33170DECD4D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65" xr:uid="{FEE35082-4ED2-4C6C-8668-6632DE115FBA}"/>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483" xr:uid="{C4D4E5FB-866D-4EB2-88A0-CCF3FE6C07FB}"/>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9064" xr:uid="{3EC9D27D-B770-4C82-9840-EEB5085B87F7}"/>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85" xr:uid="{CA857662-F97A-4851-9EAD-F6923DF2CF66}"/>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9066" xr:uid="{DECF26E2-D87C-4B38-B4AF-846BD0E85591}"/>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478" xr:uid="{AAE6EEDD-D5FE-4E38-9380-8537673D1D78}"/>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9067" xr:uid="{D967B476-A25F-4649-86B1-67EACDA5635D}"/>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488" xr:uid="{EFE71FD1-F848-4B4B-946C-C3AE46B903AF}"/>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069" xr:uid="{8518CDBC-CC53-4A0E-8D49-8FC1165E67CD}"/>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487" xr:uid="{86EFEEE8-A949-4D18-BE2D-CE77AEB93C93}"/>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9068" xr:uid="{1BA30998-CF8E-4536-A331-09459227F8CA}"/>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89" xr:uid="{70825B6F-FA70-472A-B892-3EF4FC3E4C24}"/>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70" xr:uid="{F2160922-09E5-4C20-BD3F-AB34138047A7}"/>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486" xr:uid="{9A620020-2F81-4E39-9BA4-1208B8375F1D}"/>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91" xr:uid="{3D827198-E1E9-4037-A1BC-1BD0B25493E1}"/>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72" xr:uid="{06D9FA71-A97D-40BE-A832-2A50C917F79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490" xr:uid="{E4045270-C0A2-440D-AF3D-A89FF10879AA}"/>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9071" xr:uid="{03B3C6A1-1AE9-4329-AEF2-F425E9B5F32B}"/>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492" xr:uid="{05B3A760-C0C3-4ACD-8F2F-81B06A34A0DE}"/>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9073" xr:uid="{20B8D31A-ABF3-47C0-BCF0-CF8A843956C8}"/>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429" xr:uid="{A991AECC-4B32-4FCE-9F53-B21C1B7C825D}"/>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9074" xr:uid="{AC90F617-2913-4DFC-88DF-EABAE6E54079}"/>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9075" xr:uid="{FE157A93-E733-447B-83FE-E265C5833179}"/>
    <cellStyle name="Normal 8 2 2" xfId="480" xr:uid="{00000000-0005-0000-0000-0000F31B0000}"/>
    <cellStyle name="Normal 8 2 2 10" xfId="4845" xr:uid="{00000000-0005-0000-0000-0000F41B0000}"/>
    <cellStyle name="Normal 8 2 2 11" xfId="9076" xr:uid="{B126D68A-A9B3-4233-81AA-BBB9FB1E1F96}"/>
    <cellStyle name="Normal 8 2 2 2" xfId="481" xr:uid="{00000000-0005-0000-0000-0000F51B0000}"/>
    <cellStyle name="Normal 8 2 2 2 10" xfId="9077" xr:uid="{0970AA2E-C4E8-42F2-B365-E3B06A57EC2F}"/>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498" xr:uid="{701882F0-54DD-47F0-8B21-BB540698441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079" xr:uid="{578B33B2-C7E1-4341-BF93-F53C7B88581C}"/>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497" xr:uid="{168140C9-BB62-46EC-AF97-A3870A0E3D41}"/>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9078" xr:uid="{B4E9692A-F2FF-46E4-9CA9-9F5C4D59252C}"/>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99" xr:uid="{6E708BF6-89C7-4388-A8F7-CECEE8E2F8EB}"/>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80" xr:uid="{CC04FA25-5851-41A9-BEA2-00D9B96A8D25}"/>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496" xr:uid="{AD799301-9CA8-47AF-BC45-FA4B70A99FC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01" xr:uid="{ED57BC4E-5103-44E3-B884-00D79A51C291}"/>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82" xr:uid="{ED7DC5B4-6831-4BBF-9EE6-E47C60F0EB1D}"/>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500" xr:uid="{3165AA3B-7F03-465F-BE5A-90C25777AB36}"/>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9081" xr:uid="{A1750E54-3E87-4B8F-AD23-B998B52AE26A}"/>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502" xr:uid="{DC5C8044-6C1C-4436-8A8A-84DD2785BEFA}"/>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9083" xr:uid="{C4800AC9-AF5E-4662-A78E-53765653689C}"/>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495" xr:uid="{B482D209-93A3-4CD1-BBC4-D7CBF040DD72}"/>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9084" xr:uid="{6B95BDFF-3041-4635-A45D-283033E034DE}"/>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05" xr:uid="{6C558F8A-0B2B-4FC9-AD58-4122ED40AFFD}"/>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086" xr:uid="{9F152325-19C7-49F4-8BCD-68087BAA838A}"/>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504" xr:uid="{893503E6-A765-4B31-958F-BCFE0AC6D5FC}"/>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9085" xr:uid="{8B29BC54-543B-4F70-992F-CA8F7B79DA1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506" xr:uid="{A7984F9C-8526-491A-B46E-A81037DB86A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87" xr:uid="{DE93A316-4A26-46A8-902E-9A90400AD9F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503" xr:uid="{3CDD654C-3720-4391-ACDB-10B4C7FC9CFA}"/>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508" xr:uid="{F661CA47-BBBE-411B-AACC-7333F0D9AD38}"/>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89" xr:uid="{07580A87-914C-4F4F-AF9D-34A652C8ABBF}"/>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507" xr:uid="{F6155386-A226-40A7-B2D6-2F428ED36FF4}"/>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9088" xr:uid="{4789F122-2E52-4CB2-8595-8C6C2682D054}"/>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509" xr:uid="{39DA035F-70A2-406B-9140-D21FEDDC2803}"/>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9090" xr:uid="{19352FB6-EE28-480F-9CBB-5D36F1F87F9B}"/>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494" xr:uid="{32F84B4B-D4B7-4E43-969C-8C214BC63F58}"/>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9091" xr:uid="{C98F87D5-F53B-432A-B603-044E67476A7D}"/>
    <cellStyle name="Normal 8 3 2" xfId="496" xr:uid="{00000000-0005-0000-0000-0000311D0000}"/>
    <cellStyle name="Normal 8 3 2 10" xfId="9092" xr:uid="{29FBE6A8-7FD3-4537-B63D-73A16D1B1C7D}"/>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13" xr:uid="{FEFB2739-7E96-41B7-A7FF-F752121A1849}"/>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094" xr:uid="{63165FDB-516E-47A2-A29D-1D115B60E716}"/>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512" xr:uid="{84ADC9C3-91CD-475C-BFE6-296B51F634D1}"/>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9093" xr:uid="{526317C7-7377-4253-BDDC-91B35822D61A}"/>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514" xr:uid="{7FC4F6C3-F580-4E6A-9FDC-968C376C85B6}"/>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95" xr:uid="{F2B3E43A-A242-43A6-8126-E33FC5A6A917}"/>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511" xr:uid="{978160E0-0A7F-4AA0-8B53-5F64173E832F}"/>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16" xr:uid="{4AA467E7-64D5-440A-90BB-58D39D338219}"/>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97" xr:uid="{A8DEA3D7-CA2F-4B1F-B900-0BD91F91F1B5}"/>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515" xr:uid="{3F184864-C118-485F-9500-329F816304F9}"/>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9096" xr:uid="{4E60928A-AE27-4C83-8841-79425190C9B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517" xr:uid="{2DAFD7CC-0001-4E8E-9695-174183316416}"/>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9098" xr:uid="{25ED8DEC-8B53-44A0-9C9A-8D8551D6975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510" xr:uid="{EC05D483-6E2D-4A95-9222-ABA310A21E65}"/>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9099" xr:uid="{533AE303-C39F-4C00-AE5C-C15892CF8E0B}"/>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20" xr:uid="{AAD3A480-4C20-449E-8FC5-E8846BC1B2F8}"/>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01" xr:uid="{E34A4E88-4BA7-4D41-841E-28DE6671684E}"/>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519" xr:uid="{D7D14EED-1E14-4775-82AA-9FB359860107}"/>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9100" xr:uid="{6401F2B2-44E4-48A5-9936-C731553412A4}"/>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521" xr:uid="{1A1C528A-59CC-4099-81FD-40D18DED77A7}"/>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102" xr:uid="{C0CF8D79-17FF-4B56-ABD0-24A435E8FA72}"/>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518" xr:uid="{770468A1-4939-4331-B930-EF6A708555FE}"/>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523" xr:uid="{9718870C-5AD2-4666-BED4-943EA5F1CABD}"/>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104" xr:uid="{51DB2360-FDCA-4793-9FD3-D2C2C7CB5E72}"/>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522" xr:uid="{24CD6C42-266A-40A2-8ECE-5B0DF5A20A6A}"/>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9103" xr:uid="{8A4DA5C7-C92E-4494-9B70-E5091235B56E}"/>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524" xr:uid="{4D4A3CF8-7496-412B-81CF-48BD54B06038}"/>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9105" xr:uid="{07EDC408-33FC-40CC-9F7D-0C39961BF4DF}"/>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493" xr:uid="{3DFA6351-8B72-4E57-8EA6-EF1A5535284B}"/>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9106" xr:uid="{7580AD01-CB55-4840-B44D-882E26EC8B23}"/>
    <cellStyle name="Normal 9 2 2" xfId="512" xr:uid="{00000000-0005-0000-0000-00006C1E0000}"/>
    <cellStyle name="Normal 9 2 2 10" xfId="4876" xr:uid="{00000000-0005-0000-0000-00006D1E0000}"/>
    <cellStyle name="Normal 9 2 2 11" xfId="9107" xr:uid="{D0A3DD43-14C6-4B29-98FD-6E51EB9101C8}"/>
    <cellStyle name="Normal 9 2 2 2" xfId="513" xr:uid="{00000000-0005-0000-0000-00006E1E0000}"/>
    <cellStyle name="Normal 9 2 2 2 10" xfId="9108" xr:uid="{2AA77D39-C37E-4C9F-8BF1-7C405BA32D72}"/>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29" xr:uid="{9ED3B042-887C-4635-BFDD-A0D70B64B053}"/>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10" xr:uid="{DE23DD03-CD0D-49A2-9C30-F9E393A0BA7D}"/>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528" xr:uid="{D38CB858-8B65-475C-84A5-545F9A0CCA2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9109" xr:uid="{F73ADCAC-F612-4CA5-B918-2C889F08AD7F}"/>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530" xr:uid="{E23C1CE8-8CFE-4D9C-9B3F-DE1CBF94A04E}"/>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111" xr:uid="{2103E08E-4C08-4300-92BF-675CCBD76F54}"/>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527" xr:uid="{59AB2484-C5CF-47BE-899F-C98E12B09AEF}"/>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32" xr:uid="{4E3F4853-B81A-4FAA-B933-C13CA7B13F44}"/>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113" xr:uid="{C8A3614F-548D-4AD2-99E3-95221EDE5E6C}"/>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531" xr:uid="{DE8CA519-10D3-43F3-AC2B-30503F04A079}"/>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9112" xr:uid="{1AC4EB79-CE00-4254-BE73-A87F417A91F2}"/>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533" xr:uid="{CC442DD7-D398-4963-A19C-048C49259A9F}"/>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9114" xr:uid="{5CCEC23C-1AEC-4F81-90F7-EB029B6BA059}"/>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526" xr:uid="{C103ADE5-5D68-4F15-AF99-1B6C533202D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9115" xr:uid="{3249E498-7493-4080-B587-5DF342B331DB}"/>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36" xr:uid="{ACE0F804-969A-4A55-9A0D-3CC5745B21D6}"/>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17" xr:uid="{5FDFAD63-DCB6-42EF-B3DA-CEEF5E70ACA6}"/>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535" xr:uid="{0A18F2EE-E5E4-4356-9BB2-B7742AA610CB}"/>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9116" xr:uid="{C9B71DF4-E61F-4B0E-A48F-42AF32940CF4}"/>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537" xr:uid="{692FBAF4-73ED-41EF-92BE-FBD9BA367B7C}"/>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118" xr:uid="{ED299F9A-BAF6-4CC2-8DD5-0A783FD0CF2B}"/>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534" xr:uid="{A9D7CB61-FDD1-48ED-AC08-A8C1059E6F67}"/>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539" xr:uid="{A6586AC3-926A-4AD4-BF16-A11C6DDB8785}"/>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120" xr:uid="{2F1D8010-1DBD-48CA-AD63-0DE7B72D22E7}"/>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538" xr:uid="{EBA31BCE-DF43-4A9E-9C9D-534E2137CDA5}"/>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9119" xr:uid="{DEBC6A37-35F5-429A-9F3C-D65073553109}"/>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540" xr:uid="{202C3054-65F9-4655-9B6F-48A069829BC2}"/>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9121" xr:uid="{907C54F0-0BDC-4E8A-8A75-10F132761FF3}"/>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525" xr:uid="{CCADB4B2-7482-4D1E-828F-AF299A819003}"/>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9122" xr:uid="{80D88515-5F4C-4DF2-A52A-63189BBEB8C7}"/>
    <cellStyle name="Normal 9 3 2" xfId="528" xr:uid="{00000000-0005-0000-0000-0000AA1F0000}"/>
    <cellStyle name="Normal 9 3 2 10" xfId="9123" xr:uid="{868FEDB8-C916-4990-9339-D494E7C58D58}"/>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44" xr:uid="{88B7AD1E-9F94-43F1-8DDB-F408C0F1A8A5}"/>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25" xr:uid="{0FD7583F-7C58-4FD5-9C42-70E4FC9E7CBB}"/>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543" xr:uid="{A5BC2FA2-3B50-4D53-B57F-EE82C20AFBF7}"/>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9124" xr:uid="{3620DF1B-8910-4524-B11A-1253662222FB}"/>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545" xr:uid="{F599B821-2C81-4D07-B6AE-297CE215427C}"/>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126" xr:uid="{C5845651-A23D-4449-91A5-544D98519BF8}"/>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542" xr:uid="{0FBE5BB0-A9FD-4A63-B57D-A265C7DCAED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47" xr:uid="{2C12D317-5302-4474-9FC7-839466EBC387}"/>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128" xr:uid="{D962CFD3-476B-498F-96C5-48060EAE2978}"/>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546" xr:uid="{E25B4B5A-8BF9-44BB-9ADA-A3CEBC1724EE}"/>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9127" xr:uid="{E5D9C8CF-6EDC-48A4-A5D8-8283B89DD559}"/>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548" xr:uid="{E512372C-699A-498A-959F-0F2CCD891443}"/>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9129" xr:uid="{2F6D71C6-FB62-4066-A5C4-3CBA9698071C}"/>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541" xr:uid="{2243FEE0-7E81-4684-925D-8AEC6BB9B438}"/>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550" xr:uid="{BA823B13-4C6E-4133-80FC-D9DB87A18CD1}"/>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131" xr:uid="{27AD80F6-36DC-4B43-B64A-C635794513BF}"/>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549" xr:uid="{F9137F76-9F66-46E5-9F72-5B691ACE55D1}"/>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9130" xr:uid="{519B680F-FF2E-42A6-9191-4AD37E33AFA4}"/>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551" xr:uid="{E7579702-A00E-4CDA-B914-5F81ED4B99FA}"/>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9132" xr:uid="{80BE7694-6AB9-4CB1-B1B7-50C905EB828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9133" xr:uid="{9D773E9B-72B4-4C27-8026-7918FF367016}"/>
    <cellStyle name="Note 2 2 2" xfId="546" xr:uid="{00000000-0005-0000-0000-000095200000}"/>
    <cellStyle name="Note 2 2 2 10" xfId="4903" xr:uid="{00000000-0005-0000-0000-000096200000}"/>
    <cellStyle name="Note 2 2 2 11" xfId="9134" xr:uid="{84EA84EE-46A8-41DE-8070-8F8F07273CF7}"/>
    <cellStyle name="Note 2 2 2 2" xfId="547" xr:uid="{00000000-0005-0000-0000-000097200000}"/>
    <cellStyle name="Note 2 2 2 2 10" xfId="9135" xr:uid="{9E641B57-904E-4B4F-8289-9B75603272B3}"/>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54" xr:uid="{29B39486-C1E6-4235-AFD9-95B2EB331CFA}"/>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553" xr:uid="{D4C66023-9066-43B5-B4AF-E3E464655E5A}"/>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136" xr:uid="{A857813B-5068-440F-A01C-752B5A6ED6A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555" xr:uid="{1AAFBC0F-5DA9-4746-9379-48EA06D84404}"/>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552" xr:uid="{0B05969B-F43C-4D64-9653-402F6FBCD838}"/>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9137" xr:uid="{B2D58082-2824-4132-90A6-97413E96EAE0}"/>
    <cellStyle name="Note 2 3 2" xfId="550" xr:uid="{00000000-0005-0000-0000-0000EF200000}"/>
    <cellStyle name="Note 2 3 2 10" xfId="9138" xr:uid="{34F0BD54-F92D-4B4E-B35D-D605D1BF50C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57" xr:uid="{BFCF4284-BD01-4724-82F2-909CC9B871EA}"/>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556" xr:uid="{20357532-4245-44D9-9EBB-677FEE99B21A}"/>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9139" xr:uid="{62D64189-C0C1-49F0-B437-75973630A702}"/>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558" xr:uid="{BA7C28D0-3130-475D-A89C-094583FD503C}"/>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140" xr:uid="{2EB91181-3CBF-4A00-8A51-716A5100079A}"/>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559" xr:uid="{3C76C102-F204-4CF9-B5C7-92A1715BE809}"/>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9141" xr:uid="{6BCD0112-C800-4083-AF27-3E3E34062B65}"/>
    <cellStyle name="Note 3 2 2" xfId="555" xr:uid="{00000000-0005-0000-0000-00004E210000}"/>
    <cellStyle name="Note 3 2 2 10" xfId="4911" xr:uid="{00000000-0005-0000-0000-00004F210000}"/>
    <cellStyle name="Note 3 2 2 11" xfId="9142" xr:uid="{1638D017-7FE3-4749-8DAD-4170010C5997}"/>
    <cellStyle name="Note 3 2 2 2" xfId="556" xr:uid="{00000000-0005-0000-0000-000050210000}"/>
    <cellStyle name="Note 3 2 2 2 10" xfId="9143" xr:uid="{5B384BA8-2FA4-420A-9F30-A137D9B722AB}"/>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62" xr:uid="{7E7C090D-21C8-48DE-8E48-81247141FED1}"/>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561" xr:uid="{0459C901-56D1-442B-BC02-5520E06AC08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144" xr:uid="{825641EC-3C72-4711-892D-77B7BBD1DBB3}"/>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563" xr:uid="{787FC95D-FCF8-40C8-85CE-5E0F7A3DC79B}"/>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560" xr:uid="{ACF6DF4D-85DF-4ACA-B0A3-3F1E9EF2C2C2}"/>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9145" xr:uid="{41892C23-6D05-4BDB-9DB5-FF2B07542485}"/>
    <cellStyle name="Note 3 3 2" xfId="559" xr:uid="{00000000-0005-0000-0000-0000A8210000}"/>
    <cellStyle name="Note 3 3 2 10" xfId="9146" xr:uid="{ACC9ACE9-7E8A-4232-A02B-B36BB12AD787}"/>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65" xr:uid="{0961F0F6-4CAE-46BA-8275-E836AD6A2E5B}"/>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564" xr:uid="{4195F280-EE7D-47A6-85A9-6B1FC061955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9147" xr:uid="{4531B6B3-E270-4F92-9F67-0A30335FA70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566" xr:uid="{A5478CB5-40D9-4835-9098-DC9633E2A01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148" xr:uid="{E3A615A0-3ED8-4AE1-8466-357194AA5668}"/>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567" xr:uid="{03DE0DF9-2CD1-4A81-9D31-2A88DA6B9BCD}"/>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152" xr:uid="{6984378D-5427-4BD7-A8D2-6759B99D6D6F}"/>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25" workbookViewId="0">
      <selection activeCell="L263" sqref="L26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2032</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2033</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2601</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2600</v>
      </c>
      <c r="E18" s="441"/>
      <c r="G18" s="441"/>
      <c r="H18" s="441"/>
      <c r="I18" s="441"/>
      <c r="J18" s="1279" t="s">
        <v>2599</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2034</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2035</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2515</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2139</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2042</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2043</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1162</v>
      </c>
    </row>
    <row r="41" spans="1:38" s="1266"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6" t="s">
        <v>2037</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2038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509</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340</v>
      </c>
      <c r="E127" s="2" t="s">
        <v>577</v>
      </c>
    </row>
    <row r="128" spans="2:10">
      <c r="E128" s="4" t="s">
        <v>922</v>
      </c>
      <c r="F128" s="4"/>
    </row>
    <row r="129" spans="4:37"/>
    <row r="130" spans="4:37">
      <c r="D130" s="2" t="s">
        <v>574</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466</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340</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557</v>
      </c>
      <c r="E168" s="2" t="s">
        <v>622</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652</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581</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1256</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90" zoomScaleNormal="90" workbookViewId="0">
      <selection activeCell="E14" sqref="E1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3" t="s">
        <v>1583</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E18</f>
        <v>52478540</v>
      </c>
      <c r="I3" s="1105"/>
    </row>
    <row r="4" spans="1:13" s="1051" customFormat="1" ht="20.100000000000001" customHeight="1">
      <c r="B4" s="1094"/>
      <c r="D4" s="1108"/>
      <c r="F4" s="1092" t="s">
        <v>1989</v>
      </c>
      <c r="G4" s="1091" t="s">
        <v>1988</v>
      </c>
      <c r="H4" s="1093">
        <f>I18</f>
        <v>16204117.533415033</v>
      </c>
      <c r="I4" s="1095"/>
      <c r="K4" s="1055"/>
    </row>
    <row r="5" spans="1:13" s="1051" customFormat="1" ht="20.100000000000001" customHeight="1" thickBot="1">
      <c r="B5" s="1096"/>
      <c r="C5" s="1097"/>
      <c r="D5" s="1109"/>
      <c r="E5" s="1098"/>
      <c r="F5" s="1109" t="s">
        <v>1939</v>
      </c>
      <c r="G5" s="1110"/>
      <c r="H5" s="1106">
        <f>IFERROR(H3/H4,0)</f>
        <v>3.2385929003404419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G33</f>
        <v>7850000</v>
      </c>
      <c r="G9" s="2666" t="s">
        <v>1969</v>
      </c>
      <c r="H9" s="2666"/>
      <c r="I9" s="1060">
        <f>SUMIF(Application!M554:M565,"Loan, Tax-Exempt",Application!AM554:AM565)</f>
        <v>20534051</v>
      </c>
      <c r="K9" s="1061"/>
      <c r="M9" s="1062"/>
    </row>
    <row r="10" spans="1:13" ht="15" customHeight="1" thickBot="1">
      <c r="A10" s="1046"/>
      <c r="B10" s="2674" t="s">
        <v>1972</v>
      </c>
      <c r="C10" s="2674"/>
      <c r="D10" s="2674"/>
      <c r="E10" s="1060">
        <f>G47</f>
        <v>34731540</v>
      </c>
      <c r="G10" s="2680" t="s">
        <v>1940</v>
      </c>
      <c r="H10" s="2680"/>
      <c r="I10" s="1140">
        <f>'Basis &amp; Credits'!AB78</f>
        <v>0</v>
      </c>
      <c r="M10" s="1062"/>
    </row>
    <row r="11" spans="1:13" ht="15" customHeight="1">
      <c r="A11" s="1046"/>
      <c r="B11" s="2667" t="s">
        <v>2260</v>
      </c>
      <c r="C11" s="2668"/>
      <c r="D11" s="2669"/>
      <c r="E11" s="1060">
        <f>SUM(E12,E13)</f>
        <v>320000</v>
      </c>
      <c r="G11" s="2665" t="s">
        <v>1980</v>
      </c>
      <c r="H11" s="2665"/>
      <c r="I11" s="1139">
        <f>I9+I10</f>
        <v>20534051</v>
      </c>
      <c r="M11" s="1062"/>
    </row>
    <row r="12" spans="1:13" ht="15" customHeight="1">
      <c r="A12" s="1063"/>
      <c r="B12" s="2675" t="s">
        <v>2262</v>
      </c>
      <c r="C12" s="2675"/>
      <c r="D12" s="2675"/>
      <c r="E12" s="1165">
        <f>G56</f>
        <v>0</v>
      </c>
      <c r="M12" s="1062"/>
    </row>
    <row r="13" spans="1:13" ht="15" customHeight="1">
      <c r="A13" s="1049"/>
      <c r="B13" s="2675" t="s">
        <v>2263</v>
      </c>
      <c r="C13" s="2675"/>
      <c r="D13" s="2675"/>
      <c r="E13" s="1165">
        <f>G65</f>
        <v>320000</v>
      </c>
      <c r="G13" s="2653" t="s">
        <v>2003</v>
      </c>
      <c r="H13" s="2654"/>
      <c r="I13" s="2655"/>
      <c r="M13" s="1062"/>
    </row>
    <row r="14" spans="1:13" ht="15" customHeight="1">
      <c r="A14" s="1049"/>
      <c r="B14" s="2667" t="s">
        <v>2261</v>
      </c>
      <c r="C14" s="2668"/>
      <c r="D14" s="2669"/>
      <c r="E14" s="1167">
        <f>MAX(E15,E16)+E17</f>
        <v>9577000</v>
      </c>
      <c r="G14" s="2666" t="s">
        <v>139</v>
      </c>
      <c r="H14" s="2666"/>
      <c r="I14" s="1064">
        <f>15%*(AND(G120="Yes",G122&lt;&gt;""))</f>
        <v>0.15</v>
      </c>
      <c r="M14" s="1062"/>
    </row>
    <row r="15" spans="1:13" ht="15" customHeight="1">
      <c r="A15" s="1049"/>
      <c r="B15" s="2650" t="s">
        <v>2267</v>
      </c>
      <c r="C15" s="2651"/>
      <c r="D15" s="2652"/>
      <c r="E15" s="1165">
        <f>G80</f>
        <v>0</v>
      </c>
      <c r="G15" s="1137" t="s">
        <v>1981</v>
      </c>
      <c r="H15" s="1137"/>
      <c r="I15" s="1064">
        <f>IF(Application!AJ1032&gt;0,10%,IF(Application!AJ1036&gt;0,5%,0))</f>
        <v>0</v>
      </c>
      <c r="M15" s="1062"/>
    </row>
    <row r="16" spans="1:13" ht="15" customHeight="1">
      <c r="A16" s="1049"/>
      <c r="B16" s="2650" t="s">
        <v>2266</v>
      </c>
      <c r="C16" s="2651"/>
      <c r="D16" s="2652"/>
      <c r="E16" s="1165">
        <f>G90</f>
        <v>0</v>
      </c>
      <c r="G16" s="2666" t="s">
        <v>1982</v>
      </c>
      <c r="H16" s="2666"/>
      <c r="I16" s="1064">
        <f>G132</f>
        <v>6.0866013071895424E-2</v>
      </c>
    </row>
    <row r="17" spans="1:21" ht="15" customHeight="1" thickBot="1">
      <c r="A17" s="1049"/>
      <c r="B17" s="2650" t="s">
        <v>2265</v>
      </c>
      <c r="C17" s="2651"/>
      <c r="D17" s="2652"/>
      <c r="E17" s="1165">
        <f>G115</f>
        <v>9577000</v>
      </c>
      <c r="G17" s="2666" t="s">
        <v>2275</v>
      </c>
      <c r="H17" s="2666"/>
      <c r="I17" s="1064">
        <f>IF(AND(G139="Yes",OR(G136,G137)),IF(G143&gt;15%,15%,G143),0)</f>
        <v>0</v>
      </c>
    </row>
    <row r="18" spans="1:21" ht="15" customHeight="1">
      <c r="A18" s="1046"/>
      <c r="B18" s="2679" t="s">
        <v>1936</v>
      </c>
      <c r="C18" s="2679"/>
      <c r="D18" s="2679"/>
      <c r="E18" s="1111">
        <f>SUM(E9:E11,E14)</f>
        <v>52478540</v>
      </c>
      <c r="G18" s="1138" t="s">
        <v>1970</v>
      </c>
      <c r="H18" s="1138"/>
      <c r="I18" s="1112">
        <f>I11-((I11*I14)+(I11*I15)+(I11*I16)+(I11*I17))</f>
        <v>16204117.533415033</v>
      </c>
      <c r="M18" s="1065">
        <f>SUM(Cdlac[Quantity])</f>
        <v>157</v>
      </c>
      <c r="O18" s="1084" t="s">
        <v>582</v>
      </c>
      <c r="P18" s="1044">
        <f>MATCH(Application!T189,Application!CB160:CB217,0)</f>
        <v>19</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53</v>
      </c>
      <c r="N20" s="1071">
        <f>Application!AC718</f>
        <v>0.6</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7</v>
      </c>
      <c r="N21" s="1071">
        <f>Application!AC719</f>
        <v>0.5</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57" t="s">
        <v>1984</v>
      </c>
      <c r="D22" s="2657" t="s">
        <v>1985</v>
      </c>
      <c r="E22" s="2657" t="s">
        <v>1986</v>
      </c>
      <c r="F22" s="2657" t="s">
        <v>2606</v>
      </c>
      <c r="G22" s="2657" t="s">
        <v>1983</v>
      </c>
      <c r="H22" s="1070"/>
      <c r="I22" s="1069"/>
      <c r="L22" s="1044">
        <f>IFERROR(MIN(4,MATCH(Application!B720,UnitSizes,0)-1),"")</f>
        <v>1</v>
      </c>
      <c r="M22" s="1065">
        <f>Application!G720</f>
        <v>7</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8"/>
      <c r="D23" s="2658"/>
      <c r="E23" s="2658"/>
      <c r="F23" s="2658"/>
      <c r="G23" s="2658"/>
      <c r="H23" s="1070"/>
      <c r="I23" s="1069"/>
      <c r="L23" s="1044">
        <f>IFERROR(MIN(4,MATCH(Application!B721,UnitSizes,0)-1),"")</f>
        <v>1</v>
      </c>
      <c r="M23" s="1065">
        <f>Application!G721</f>
        <v>72</v>
      </c>
      <c r="N23" s="1071">
        <f>Application!AC721</f>
        <v>0.6</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9</v>
      </c>
      <c r="N24" s="1071">
        <f>Application!AC722</f>
        <v>0.5</v>
      </c>
      <c r="O24" s="1071">
        <f>IF(Cdlac[[#This Row],[Quantity]]&gt;0,IF(Cdlac[[#This Row],[Federal]],30%,IF(AND(OR(NOT($G$38),$G$38=""),$G$43),40%,Cdlac[[#This Row],[iAMI]])),"")</f>
        <v>0.3</v>
      </c>
      <c r="P24" s="1065" cm="1">
        <f t="array" ref="P24">IF(Cdlac[[#This Row],[Quantity]]&gt;0,INDEX(TcacRents,$P$18,Cdlac[[#This Row],[Bedrooms]]+1)*Cdlac[[#This Row],[AMI]],"")</f>
        <v>852</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1229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157</v>
      </c>
      <c r="F25" s="1072">
        <f>E25</f>
        <v>157</v>
      </c>
      <c r="G25" s="1072">
        <f>D25*F25</f>
        <v>157</v>
      </c>
      <c r="L25" s="1044">
        <f>IFERROR(MIN(4,MATCH(Application!B723,UnitSizes,0)-1),"")</f>
        <v>1</v>
      </c>
      <c r="M25" s="1065">
        <f>Application!G723</f>
        <v>9</v>
      </c>
      <c r="N25" s="1071">
        <f>Application!AC723</f>
        <v>0.3</v>
      </c>
      <c r="O25" s="1071">
        <f>IF(Cdlac[[#This Row],[Quantity]]&gt;0,IF(Cdlac[[#This Row],[Federal]],30%,IF(AND(OR(NOT($G$38),$G$38=""),$G$43),40%,Cdlac[[#This Row],[iAMI]])),"")</f>
        <v>0.3</v>
      </c>
      <c r="P25" s="1065" cm="1">
        <f t="array" ref="P25">IF(Cdlac[[#This Row],[Quantity]]&gt;0,INDEX(TcacRents,$P$18,Cdlac[[#This Row],[Bedrooms]]+1)*Cdlac[[#This Row],[AMI]],"")</f>
        <v>852</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1229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1584</v>
      </c>
      <c r="D29" s="2660"/>
      <c r="E29" s="1089">
        <f>SUM(E24:E28)</f>
        <v>157</v>
      </c>
      <c r="F29" s="1089">
        <f>SUM(F24:F28)</f>
        <v>157</v>
      </c>
      <c r="G29" s="1090">
        <f>SUMPRODUCT(D24:D28,F24:F28)</f>
        <v>157</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157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7850000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1</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t="b">
        <v>1</v>
      </c>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192953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34731540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78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16</v>
      </c>
    </row>
    <row r="61" spans="2:21" ht="15" customHeight="1">
      <c r="E61" s="1117" t="s">
        <v>1992</v>
      </c>
      <c r="G61" s="1079">
        <f>ROUNDDOWN(E29*50%,0)</f>
        <v>78</v>
      </c>
    </row>
    <row r="62" spans="2:21" ht="15" customHeight="1">
      <c r="E62" s="1117"/>
      <c r="G62" s="1079"/>
    </row>
    <row r="63" spans="2:21" ht="15" customHeight="1">
      <c r="E63" s="1117" t="s">
        <v>1952</v>
      </c>
      <c r="G63" s="1114">
        <f>MIN(G60:G61)</f>
        <v>16</v>
      </c>
    </row>
    <row r="64" spans="2:21" ht="15" customHeight="1">
      <c r="E64" s="1117" t="s">
        <v>1942</v>
      </c>
      <c r="F64" s="1113" t="s">
        <v>1990</v>
      </c>
      <c r="G64" s="1124">
        <v>20000</v>
      </c>
    </row>
    <row r="65" spans="2:14" ht="15" customHeight="1">
      <c r="E65" s="1118" t="s">
        <v>1974</v>
      </c>
      <c r="F65" s="1046"/>
      <c r="G65" s="1123">
        <f>G63*G64</f>
        <v>320000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668</v>
      </c>
    </row>
    <row r="70" spans="2:14" ht="15" customHeight="1">
      <c r="C70" s="1077" t="s">
        <v>1979</v>
      </c>
      <c r="G70" s="1081" t="str">
        <f>IF(Application!D211="Large Family","Yes","No")</f>
        <v>No</v>
      </c>
    </row>
    <row r="71" spans="2:14" ht="15" customHeight="1" thickBot="1">
      <c r="C71" s="1077" t="s">
        <v>1965</v>
      </c>
      <c r="G71" s="1043" t="s">
        <v>668</v>
      </c>
    </row>
    <row r="72" spans="2:14" ht="15" customHeight="1">
      <c r="C72" s="1077" t="s">
        <v>1966</v>
      </c>
      <c r="G72" s="1044" t="str">
        <f>Application!T193</f>
        <v>High Resource</v>
      </c>
      <c r="L72" s="2670" t="s">
        <v>1967</v>
      </c>
      <c r="M72" s="2671"/>
      <c r="N72" s="1131">
        <v>30000</v>
      </c>
    </row>
    <row r="73" spans="2:14" ht="15" customHeight="1">
      <c r="C73" s="2672" t="s">
        <v>2259</v>
      </c>
      <c r="D73" s="2672"/>
      <c r="E73" s="2672"/>
      <c r="F73" s="2672"/>
      <c r="G73" s="1043" t="s">
        <v>668</v>
      </c>
      <c r="L73" s="2681" t="s">
        <v>1935</v>
      </c>
      <c r="M73" s="2682"/>
      <c r="N73" s="1132">
        <v>20000</v>
      </c>
    </row>
    <row r="74" spans="2:14" ht="15" customHeight="1" thickBot="1">
      <c r="C74" s="2672"/>
      <c r="D74" s="2672"/>
      <c r="E74" s="2672"/>
      <c r="F74" s="2672"/>
      <c r="L74" s="2683" t="s">
        <v>1968</v>
      </c>
      <c r="M74" s="2684"/>
      <c r="N74" s="1133">
        <v>10000</v>
      </c>
    </row>
    <row r="75" spans="2:14" ht="15" customHeight="1">
      <c r="C75" s="1077"/>
    </row>
    <row r="76" spans="2:14" ht="15" customHeight="1">
      <c r="E76" s="1084" t="s">
        <v>1997</v>
      </c>
      <c r="G76" s="1079" t="b">
        <f>OR(AND(COUNTIFS(G70:G71,"Yes")&gt;=1,G69="Yes"),G73="Yes")</f>
        <v>0</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157</v>
      </c>
    </row>
    <row r="80" spans="2:14" ht="15" customHeight="1">
      <c r="D80" s="1046"/>
      <c r="E80" s="1118" t="s">
        <v>2264</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668</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157</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157</v>
      </c>
    </row>
    <row r="97" spans="2:14" ht="15" customHeight="1">
      <c r="E97" s="1118" t="s">
        <v>1959</v>
      </c>
      <c r="F97" s="1046"/>
      <c r="G97" s="1123">
        <f>G94*G95*G96</f>
        <v>4396000</v>
      </c>
      <c r="L97" s="1127" t="str">
        <f>'Points System'!H638</f>
        <v>(i)</v>
      </c>
      <c r="M97" s="2689" t="s">
        <v>1403</v>
      </c>
      <c r="N97" s="2690"/>
    </row>
    <row r="98" spans="2:14" ht="15" customHeight="1">
      <c r="C98" s="1077"/>
      <c r="G98" s="1114"/>
      <c r="L98" s="1128" t="str">
        <f>'Points System'!H650</f>
        <v>N/A</v>
      </c>
      <c r="M98" s="2685" t="s">
        <v>1954</v>
      </c>
      <c r="N98" s="2686"/>
    </row>
    <row r="99" spans="2:14" ht="15" customHeight="1">
      <c r="E99" s="1084" t="s">
        <v>1995</v>
      </c>
      <c r="G99" s="1126">
        <f>COUNTIFS(L97:L104,"(i)")</f>
        <v>2</v>
      </c>
      <c r="L99" s="1128" t="str">
        <f>'Points System'!H685</f>
        <v>(ii)</v>
      </c>
      <c r="M99" s="2685" t="s">
        <v>1955</v>
      </c>
      <c r="N99" s="2686"/>
    </row>
    <row r="100" spans="2:14" ht="15" customHeight="1">
      <c r="E100" s="1084" t="s">
        <v>1942</v>
      </c>
      <c r="F100" s="1113" t="s">
        <v>1990</v>
      </c>
      <c r="G100" s="1124">
        <v>4000</v>
      </c>
      <c r="L100" s="1128" t="str">
        <f>IF(OR('Points System'!H709="(ii)",'Points System'!H709="(i)"),"(i)","N/A")</f>
        <v>N/A</v>
      </c>
      <c r="M100" s="2685" t="s">
        <v>1956</v>
      </c>
      <c r="N100" s="2686"/>
    </row>
    <row r="101" spans="2:14" ht="15" customHeight="1">
      <c r="E101" s="1118" t="s">
        <v>1960</v>
      </c>
      <c r="F101" s="1046"/>
      <c r="G101" s="1123">
        <f>G96*G99*G100</f>
        <v>1256000</v>
      </c>
      <c r="L101" s="1129" t="str">
        <f>'Points System'!H723</f>
        <v>N/A</v>
      </c>
      <c r="M101" s="2685" t="s">
        <v>1429</v>
      </c>
      <c r="N101" s="2686"/>
    </row>
    <row r="102" spans="2:14" ht="15" customHeight="1">
      <c r="L102" s="1128" t="str">
        <f>'Points System'!H735</f>
        <v>N/A</v>
      </c>
      <c r="M102" s="2685" t="s">
        <v>1957</v>
      </c>
      <c r="N102" s="2686"/>
    </row>
    <row r="103" spans="2:14" ht="15" customHeight="1">
      <c r="C103" s="1080" t="s">
        <v>1962</v>
      </c>
      <c r="L103" s="1128" t="str">
        <f>'Points System'!H751</f>
        <v>N/A</v>
      </c>
      <c r="M103" s="2685" t="s">
        <v>1958</v>
      </c>
      <c r="N103" s="2686"/>
    </row>
    <row r="104" spans="2:14" ht="15" customHeight="1" thickBot="1">
      <c r="C104" s="1077" t="s">
        <v>1963</v>
      </c>
      <c r="G104" s="1043"/>
      <c r="L104" s="1130" t="str">
        <f>'Points System'!H763</f>
        <v>(i)</v>
      </c>
      <c r="M104" s="2687" t="s">
        <v>1432</v>
      </c>
      <c r="N104" s="2688"/>
    </row>
    <row r="105" spans="2:14" ht="15" customHeight="1">
      <c r="C105" s="1077" t="s">
        <v>1964</v>
      </c>
      <c r="G105" s="1043"/>
    </row>
    <row r="106" spans="2:14" ht="15" customHeight="1">
      <c r="C106" s="1077" t="s">
        <v>2137</v>
      </c>
      <c r="G106" s="1043" t="s">
        <v>545</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157</v>
      </c>
    </row>
    <row r="112" spans="2:14" ht="15" customHeight="1">
      <c r="E112" s="1084" t="s">
        <v>1942</v>
      </c>
      <c r="F112" s="1113" t="s">
        <v>1990</v>
      </c>
      <c r="G112" s="1124">
        <v>25000</v>
      </c>
    </row>
    <row r="113" spans="2:9" ht="15" customHeight="1">
      <c r="E113" s="1118" t="s">
        <v>1961</v>
      </c>
      <c r="F113" s="1046"/>
      <c r="G113" s="1123">
        <f>G109*G112*G96</f>
        <v>3925000</v>
      </c>
    </row>
    <row r="114" spans="2:9" ht="15" customHeight="1">
      <c r="C114" s="1077"/>
      <c r="E114" s="1077"/>
    </row>
    <row r="115" spans="2:9" ht="15" customHeight="1">
      <c r="E115" s="1118" t="s">
        <v>2269</v>
      </c>
      <c r="G115" s="1123">
        <f>G113+G101+G97</f>
        <v>9577000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2224</v>
      </c>
      <c r="D119" s="2661"/>
      <c r="E119" s="2661"/>
      <c r="F119" s="2661"/>
    </row>
    <row r="120" spans="2:9" ht="15" customHeight="1">
      <c r="C120" s="2661"/>
      <c r="D120" s="2661"/>
      <c r="E120" s="2661"/>
      <c r="F120" s="2661"/>
      <c r="G120" s="1043" t="s">
        <v>545</v>
      </c>
    </row>
    <row r="121" spans="2:9" ht="15" customHeight="1"/>
    <row r="122" spans="2:9" ht="15" customHeight="1">
      <c r="C122" s="1044" t="s">
        <v>2226</v>
      </c>
      <c r="G122" s="2663" t="s">
        <v>2740</v>
      </c>
      <c r="H122" s="2663"/>
    </row>
    <row r="123" spans="2:9" ht="15" customHeight="1">
      <c r="G123" s="2663"/>
      <c r="H123" s="2663"/>
    </row>
    <row r="124" spans="2:9" ht="15" customHeight="1">
      <c r="G124" s="2664"/>
      <c r="H124" s="2664"/>
    </row>
    <row r="125" spans="2:9" ht="15" customHeight="1">
      <c r="G125" s="1160"/>
      <c r="H125" s="1160"/>
    </row>
    <row r="126" spans="2:9" ht="15" customHeight="1">
      <c r="B126" s="1066" t="s">
        <v>1999</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1998</v>
      </c>
      <c r="G131" s="1078">
        <f>MEDIAN((Application!CU160:CU217))</f>
        <v>489600</v>
      </c>
    </row>
    <row r="132" spans="2:9" ht="15">
      <c r="D132" s="1046"/>
      <c r="E132" s="1118" t="s">
        <v>2000</v>
      </c>
      <c r="F132" s="1134"/>
      <c r="G132" s="1135">
        <f>((G130-G131)/G131)*0.25</f>
        <v>6.0866013071895424E-2</v>
      </c>
      <c r="H132" s="1042"/>
      <c r="I132" s="1042"/>
    </row>
    <row r="133" spans="2:9">
      <c r="D133" s="1045"/>
      <c r="E133" s="1045"/>
    </row>
    <row r="134" spans="2:9" ht="15">
      <c r="B134" s="1066" t="s">
        <v>2270</v>
      </c>
      <c r="C134" s="1067"/>
      <c r="D134" s="1067"/>
      <c r="E134" s="1067"/>
      <c r="F134" s="1067"/>
      <c r="G134" s="1067"/>
      <c r="H134" s="1067"/>
      <c r="I134" s="1068"/>
    </row>
    <row r="136" spans="2:9">
      <c r="E136" s="1084" t="s">
        <v>2256</v>
      </c>
      <c r="G136" s="1044" t="b">
        <f>G37</f>
        <v>1</v>
      </c>
    </row>
    <row r="137" spans="2:9">
      <c r="E137" s="1084" t="s">
        <v>2271</v>
      </c>
      <c r="G137" s="1044" t="b">
        <f>OR('Points System'!B52="Yes", 'Points System'!B56="Yes",'Points System'!B58="Yes")</f>
        <v>0</v>
      </c>
    </row>
    <row r="138" spans="2:9">
      <c r="C138" s="2656" t="s">
        <v>2272</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3080107.65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3" sqref="F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2251</v>
      </c>
      <c r="C3" s="426" t="s">
        <v>2252</v>
      </c>
      <c r="D3" s="1146" t="s">
        <v>2253</v>
      </c>
      <c r="E3" s="204"/>
      <c r="F3" s="1146" t="s">
        <v>910</v>
      </c>
      <c r="G3" s="426" t="s">
        <v>911</v>
      </c>
      <c r="H3" s="427"/>
      <c r="I3" s="426" t="s">
        <v>912</v>
      </c>
      <c r="J3" s="426" t="s">
        <v>913</v>
      </c>
      <c r="K3" s="204"/>
      <c r="L3" s="305"/>
    </row>
    <row r="4" spans="1:12">
      <c r="A4" s="428" t="str">
        <f>Application!B718</f>
        <v>1 Bedroom</v>
      </c>
      <c r="B4" s="1082">
        <f>Application!G718</f>
        <v>53</v>
      </c>
      <c r="C4" s="1162" t="s">
        <v>384</v>
      </c>
      <c r="D4" s="428">
        <f>Application!O718</f>
        <v>1661</v>
      </c>
      <c r="E4" s="429"/>
      <c r="F4" s="1083">
        <v>1909</v>
      </c>
      <c r="G4" s="428">
        <f>F4*B4</f>
        <v>101177</v>
      </c>
      <c r="H4" s="429"/>
      <c r="I4" s="428">
        <f t="shared" ref="I4:I27" si="0">IF(F4=0,"",(F4-D4))</f>
        <v>248</v>
      </c>
      <c r="J4" s="428">
        <f t="shared" ref="J4:J27" si="1">IF(F4=0,"",(I4*B4))</f>
        <v>13144</v>
      </c>
      <c r="K4" s="204"/>
      <c r="L4" s="305"/>
    </row>
    <row r="5" spans="1:12">
      <c r="A5" s="428" t="str">
        <f>Application!B719</f>
        <v>1 Bedroom</v>
      </c>
      <c r="B5" s="1082">
        <f>Application!G719</f>
        <v>7</v>
      </c>
      <c r="C5" s="1162" t="s">
        <v>384</v>
      </c>
      <c r="D5" s="428">
        <f>Application!O719</f>
        <v>1377</v>
      </c>
      <c r="E5" s="429"/>
      <c r="F5" s="1083">
        <v>1909</v>
      </c>
      <c r="G5" s="428">
        <f t="shared" ref="G5:G38" si="2">F5*B5</f>
        <v>13363</v>
      </c>
      <c r="H5" s="429"/>
      <c r="I5" s="428">
        <f t="shared" si="0"/>
        <v>532</v>
      </c>
      <c r="J5" s="428">
        <f t="shared" si="1"/>
        <v>3724</v>
      </c>
      <c r="K5" s="204"/>
      <c r="L5" s="305"/>
    </row>
    <row r="6" spans="1:12">
      <c r="A6" s="428" t="str">
        <f>Application!B720</f>
        <v>1 Bedroom</v>
      </c>
      <c r="B6" s="1082">
        <f>Application!G720</f>
        <v>7</v>
      </c>
      <c r="C6" s="1162" t="s">
        <v>384</v>
      </c>
      <c r="D6" s="428">
        <f>Application!O720</f>
        <v>809</v>
      </c>
      <c r="E6" s="429"/>
      <c r="F6" s="1083">
        <v>1909</v>
      </c>
      <c r="G6" s="428">
        <f t="shared" si="2"/>
        <v>13363</v>
      </c>
      <c r="H6" s="429"/>
      <c r="I6" s="428">
        <f t="shared" si="0"/>
        <v>1100</v>
      </c>
      <c r="J6" s="428">
        <f t="shared" si="1"/>
        <v>7700</v>
      </c>
      <c r="K6" s="204"/>
      <c r="L6" s="305"/>
    </row>
    <row r="7" spans="1:12">
      <c r="A7" s="428" t="str">
        <f>Application!B721</f>
        <v>1 Bedroom</v>
      </c>
      <c r="B7" s="1082">
        <f>Application!G721</f>
        <v>72</v>
      </c>
      <c r="C7" s="1162" t="s">
        <v>384</v>
      </c>
      <c r="D7" s="428">
        <f>Application!O721</f>
        <v>1660</v>
      </c>
      <c r="E7" s="429"/>
      <c r="F7" s="1083">
        <v>1686</v>
      </c>
      <c r="G7" s="428">
        <f t="shared" si="2"/>
        <v>121392</v>
      </c>
      <c r="H7" s="429"/>
      <c r="I7" s="428">
        <f t="shared" si="0"/>
        <v>26</v>
      </c>
      <c r="J7" s="428">
        <f t="shared" si="1"/>
        <v>1872</v>
      </c>
      <c r="K7" s="204"/>
      <c r="L7" s="305"/>
    </row>
    <row r="8" spans="1:12">
      <c r="A8" s="428" t="str">
        <f>Application!B722</f>
        <v>1 Bedroom</v>
      </c>
      <c r="B8" s="1082">
        <f>Application!G722</f>
        <v>9</v>
      </c>
      <c r="C8" s="1162" t="s">
        <v>384</v>
      </c>
      <c r="D8" s="428">
        <f>Application!O722</f>
        <v>1376</v>
      </c>
      <c r="E8" s="429"/>
      <c r="F8" s="1083">
        <v>1686</v>
      </c>
      <c r="G8" s="428">
        <f t="shared" si="2"/>
        <v>15174</v>
      </c>
      <c r="H8" s="429"/>
      <c r="I8" s="428">
        <f t="shared" si="0"/>
        <v>310</v>
      </c>
      <c r="J8" s="428">
        <f t="shared" si="1"/>
        <v>2790</v>
      </c>
      <c r="K8" s="204"/>
      <c r="L8" s="305"/>
    </row>
    <row r="9" spans="1:12">
      <c r="A9" s="428" t="str">
        <f>Application!B723</f>
        <v>1 Bedroom</v>
      </c>
      <c r="B9" s="1082">
        <f>Application!G723</f>
        <v>9</v>
      </c>
      <c r="C9" s="1162" t="s">
        <v>384</v>
      </c>
      <c r="D9" s="428">
        <f>Application!O723</f>
        <v>808</v>
      </c>
      <c r="E9" s="429"/>
      <c r="F9" s="1083">
        <v>1686</v>
      </c>
      <c r="G9" s="428">
        <f t="shared" si="2"/>
        <v>15174</v>
      </c>
      <c r="H9" s="429"/>
      <c r="I9" s="428">
        <f t="shared" si="0"/>
        <v>878</v>
      </c>
      <c r="J9" s="428">
        <f t="shared" si="1"/>
        <v>7902</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242511</v>
      </c>
      <c r="E40" s="429"/>
      <c r="F40" s="429"/>
      <c r="G40" s="432">
        <f>SUM(G4:G38)*12</f>
        <v>3355716</v>
      </c>
      <c r="H40" s="433"/>
      <c r="I40" s="431"/>
      <c r="J40" s="432">
        <f>SUM(J4:J38)*12</f>
        <v>445584</v>
      </c>
      <c r="K40" s="204"/>
      <c r="L40" s="306"/>
    </row>
    <row r="41" spans="1:12" ht="15">
      <c r="A41" s="430"/>
      <c r="B41" s="431"/>
      <c r="C41" s="431"/>
      <c r="D41" s="433"/>
      <c r="E41" s="429"/>
      <c r="F41" s="429"/>
      <c r="G41" s="433"/>
      <c r="H41" s="433"/>
      <c r="I41" s="431"/>
      <c r="J41" s="433"/>
      <c r="K41" s="204"/>
      <c r="L41" s="306"/>
    </row>
    <row r="42" spans="1:12">
      <c r="A42" s="304" t="s">
        <v>2254</v>
      </c>
    </row>
    <row r="43" spans="1:12">
      <c r="A43" s="2692" t="s">
        <v>2493</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2255</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70" zoomScaleNormal="70" workbookViewId="0">
      <selection activeCell="Q20" sqref="Q2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v>
      </c>
      <c r="E4" s="219">
        <f>Application!Y801</f>
        <v>2910132</v>
      </c>
      <c r="G4" s="219">
        <f>E4*$C$4</f>
        <v>2968334.64</v>
      </c>
      <c r="I4" s="219">
        <f>G4*$C$4</f>
        <v>3027701.3328</v>
      </c>
      <c r="K4" s="219">
        <f>I4*$C$4</f>
        <v>3088255.3594559999</v>
      </c>
      <c r="M4" s="219">
        <f>K4*$C$4</f>
        <v>3150020.4666451202</v>
      </c>
      <c r="O4" s="219">
        <f>M4*$C$4</f>
        <v>3213020.8759780228</v>
      </c>
      <c r="Q4" s="219">
        <f>O4*$C$4</f>
        <v>3277281.2934975834</v>
      </c>
      <c r="S4" s="219">
        <f>Q4*$C$4</f>
        <v>3342826.919367535</v>
      </c>
      <c r="U4" s="219">
        <f>S4*$C$4</f>
        <v>3409683.4577548858</v>
      </c>
      <c r="W4" s="219">
        <f>U4*$C$4</f>
        <v>3477877.1269099833</v>
      </c>
      <c r="Y4" s="219">
        <f>W4*$C$4</f>
        <v>3547434.6694481829</v>
      </c>
      <c r="AA4" s="219">
        <f>Y4*$C$4</f>
        <v>3618383.3628371465</v>
      </c>
      <c r="AC4" s="219">
        <f>AA4*$C$4</f>
        <v>3690751.0300938897</v>
      </c>
      <c r="AE4" s="219">
        <f>AC4*$C$4</f>
        <v>3764566.0506957676</v>
      </c>
      <c r="AG4" s="219">
        <f>AE4*$C$4</f>
        <v>3839857.371709683</v>
      </c>
    </row>
    <row r="5" spans="1:34" s="210" customFormat="1" ht="14.25">
      <c r="B5" s="210" t="s">
        <v>837</v>
      </c>
      <c r="C5" s="238">
        <f>IF(Application!$D$211="Special Needs",(((0.1*Application!$T$212)+(0.05*(1-Application!$T$212)))),0.05)</f>
        <v>0.05</v>
      </c>
      <c r="E5" s="221">
        <f>-E4*$C$5</f>
        <v>-145506.6</v>
      </c>
      <c r="F5" s="221"/>
      <c r="G5" s="221">
        <f>-G4*$C$5</f>
        <v>-148416.73200000002</v>
      </c>
      <c r="H5" s="221"/>
      <c r="I5" s="221">
        <f>-I4*$C$5</f>
        <v>-151385.06664</v>
      </c>
      <c r="J5" s="221"/>
      <c r="K5" s="221">
        <f>-K4*$C$5</f>
        <v>-154412.76797280001</v>
      </c>
      <c r="L5" s="221"/>
      <c r="M5" s="221">
        <f>-M4*$C$5</f>
        <v>-157501.02333225601</v>
      </c>
      <c r="N5" s="221"/>
      <c r="O5" s="221">
        <f>-O4*$C$5</f>
        <v>-160651.04379890114</v>
      </c>
      <c r="P5" s="221"/>
      <c r="Q5" s="221">
        <f>-Q4*$C$5</f>
        <v>-163864.06467487919</v>
      </c>
      <c r="R5" s="221"/>
      <c r="S5" s="221">
        <f>-S4*$C$5</f>
        <v>-167141.34596837676</v>
      </c>
      <c r="T5" s="221"/>
      <c r="U5" s="221">
        <f>-U4*$C$5</f>
        <v>-170484.17288774429</v>
      </c>
      <c r="V5" s="221"/>
      <c r="W5" s="221">
        <f>-W4*$C$5</f>
        <v>-173893.85634549917</v>
      </c>
      <c r="X5" s="221"/>
      <c r="Y5" s="221">
        <f>-Y4*$C$5</f>
        <v>-177371.73347240916</v>
      </c>
      <c r="Z5" s="221"/>
      <c r="AA5" s="221">
        <f>-AA4*$C$5</f>
        <v>-180919.16814185734</v>
      </c>
      <c r="AB5" s="221"/>
      <c r="AC5" s="221">
        <f>-AC4*$C$5</f>
        <v>-184537.55150469451</v>
      </c>
      <c r="AD5" s="221"/>
      <c r="AE5" s="221">
        <f>-AE4*$C$5</f>
        <v>-188228.30253478838</v>
      </c>
      <c r="AF5" s="221"/>
      <c r="AG5" s="221">
        <f>-AG4*$C$5</f>
        <v>-191992.86858548416</v>
      </c>
    </row>
    <row r="6" spans="1:34" s="210" customFormat="1" ht="14.25">
      <c r="A6" s="210" t="s">
        <v>835</v>
      </c>
      <c r="C6" s="237">
        <v>1.02</v>
      </c>
      <c r="E6" s="222">
        <f>Application!Z809</f>
        <v>445584</v>
      </c>
      <c r="F6" s="222"/>
      <c r="G6" s="222">
        <f>E6*$C$6</f>
        <v>454495.68</v>
      </c>
      <c r="H6" s="222"/>
      <c r="I6" s="222">
        <f>G6*$C$6</f>
        <v>463585.59360000002</v>
      </c>
      <c r="J6" s="222"/>
      <c r="K6" s="222">
        <f>I6*$C$6</f>
        <v>472857.30547200004</v>
      </c>
      <c r="L6" s="222"/>
      <c r="M6" s="222">
        <f>K6*$C$6</f>
        <v>482314.45158144005</v>
      </c>
      <c r="N6" s="222"/>
      <c r="O6" s="222">
        <f>M6*$C$6</f>
        <v>491960.74061306886</v>
      </c>
      <c r="P6" s="222"/>
      <c r="Q6" s="222">
        <f>O6*$C$6</f>
        <v>501799.95542533026</v>
      </c>
      <c r="R6" s="222"/>
      <c r="S6" s="222">
        <f>Q6*$C$6</f>
        <v>511835.95453383686</v>
      </c>
      <c r="T6" s="222"/>
      <c r="U6" s="222">
        <f>S6*$C$6</f>
        <v>522072.67362451361</v>
      </c>
      <c r="V6" s="222"/>
      <c r="W6" s="222">
        <f>U6*$C$6</f>
        <v>532514.12709700386</v>
      </c>
      <c r="X6" s="222"/>
      <c r="Y6" s="222">
        <f>W6*$C$6</f>
        <v>543164.40963894397</v>
      </c>
      <c r="Z6" s="222"/>
      <c r="AA6" s="222">
        <f>Y6*$C$6</f>
        <v>554027.69783172291</v>
      </c>
      <c r="AB6" s="222"/>
      <c r="AC6" s="222">
        <f>AA6*$C$6</f>
        <v>565108.25178835739</v>
      </c>
      <c r="AD6" s="222"/>
      <c r="AE6" s="222">
        <f>AC6*$C$6</f>
        <v>576410.41682412452</v>
      </c>
      <c r="AF6" s="222"/>
      <c r="AG6" s="222">
        <f>AE6*$C$6</f>
        <v>587938.62516060704</v>
      </c>
    </row>
    <row r="7" spans="1:34" s="210" customFormat="1" ht="14.25">
      <c r="B7" s="210" t="s">
        <v>837</v>
      </c>
      <c r="C7" s="238">
        <f>IF(Application!$D$211="Special Needs",(((0.1*Application!$T$212)+(0.05*(1-Application!$T$212)))),0.05)</f>
        <v>0.05</v>
      </c>
      <c r="E7" s="221">
        <f>-E6*$C$7</f>
        <v>-22279.200000000001</v>
      </c>
      <c r="F7" s="221"/>
      <c r="G7" s="221">
        <f>-G6*$C$7</f>
        <v>-22724.784</v>
      </c>
      <c r="H7" s="221"/>
      <c r="I7" s="221">
        <f>-I6*$C$7</f>
        <v>-23179.279680000003</v>
      </c>
      <c r="J7" s="221"/>
      <c r="K7" s="221">
        <f>-K6*$C$7</f>
        <v>-23642.865273600004</v>
      </c>
      <c r="L7" s="221"/>
      <c r="M7" s="221">
        <f>-M6*$C$7</f>
        <v>-24115.722579072004</v>
      </c>
      <c r="N7" s="221"/>
      <c r="O7" s="221">
        <f>-O6*$C$7</f>
        <v>-24598.037030653446</v>
      </c>
      <c r="P7" s="221"/>
      <c r="Q7" s="221">
        <f>-Q6*$C$7</f>
        <v>-25089.997771266513</v>
      </c>
      <c r="R7" s="221"/>
      <c r="S7" s="221">
        <f>-S6*$C$7</f>
        <v>-25591.797726691846</v>
      </c>
      <c r="T7" s="221"/>
      <c r="U7" s="221">
        <f>-U6*$C$7</f>
        <v>-26103.633681225681</v>
      </c>
      <c r="V7" s="221"/>
      <c r="W7" s="221">
        <f>-W6*$C$7</f>
        <v>-26625.706354850194</v>
      </c>
      <c r="X7" s="221"/>
      <c r="Y7" s="221">
        <f>-Y6*$C$7</f>
        <v>-27158.220481947199</v>
      </c>
      <c r="Z7" s="221"/>
      <c r="AA7" s="221">
        <f>-AA6*$C$7</f>
        <v>-27701.384891586145</v>
      </c>
      <c r="AB7" s="221"/>
      <c r="AC7" s="221">
        <f>-AC6*$C$7</f>
        <v>-28255.412589417872</v>
      </c>
      <c r="AD7" s="221"/>
      <c r="AE7" s="221">
        <f>-AE6*$C$7</f>
        <v>-28820.520841206227</v>
      </c>
      <c r="AF7" s="221"/>
      <c r="AG7" s="221">
        <f>-AG6*$C$7</f>
        <v>-29396.931258030352</v>
      </c>
    </row>
    <row r="8" spans="1:34" s="210" customFormat="1" ht="14.25">
      <c r="A8" s="210" t="s">
        <v>288</v>
      </c>
      <c r="C8" s="237">
        <v>1.02</v>
      </c>
      <c r="E8" s="222">
        <f>Application!Z817</f>
        <v>4000</v>
      </c>
      <c r="F8" s="222"/>
      <c r="G8" s="222">
        <f>E8*$C$8</f>
        <v>4080</v>
      </c>
      <c r="H8" s="222"/>
      <c r="I8" s="222">
        <f>G8*$C$8</f>
        <v>4161.6000000000004</v>
      </c>
      <c r="J8" s="222"/>
      <c r="K8" s="222">
        <f>I8*$C$8</f>
        <v>4244.8320000000003</v>
      </c>
      <c r="L8" s="222"/>
      <c r="M8" s="222">
        <f>K8*$C$8</f>
        <v>4329.7286400000003</v>
      </c>
      <c r="N8" s="222"/>
      <c r="O8" s="222">
        <f>M8*$C$8</f>
        <v>4416.3232128</v>
      </c>
      <c r="P8" s="222"/>
      <c r="Q8" s="222">
        <f>O8*$C$8</f>
        <v>4504.6496770559997</v>
      </c>
      <c r="R8" s="222"/>
      <c r="S8" s="222">
        <f>Q8*$C$8</f>
        <v>4594.7426705971202</v>
      </c>
      <c r="T8" s="222"/>
      <c r="U8" s="222">
        <f>S8*$C$8</f>
        <v>4686.6375240090629</v>
      </c>
      <c r="V8" s="222"/>
      <c r="W8" s="222">
        <f>U8*$C$8</f>
        <v>4780.3702744892444</v>
      </c>
      <c r="X8" s="222"/>
      <c r="Y8" s="222">
        <f>W8*$C$8</f>
        <v>4875.9776799790297</v>
      </c>
      <c r="Z8" s="222"/>
      <c r="AA8" s="222">
        <f>Y8*$C$8</f>
        <v>4973.4972335786106</v>
      </c>
      <c r="AB8" s="222"/>
      <c r="AC8" s="222">
        <f>AA8*$C$8</f>
        <v>5072.9671782501828</v>
      </c>
      <c r="AD8" s="222"/>
      <c r="AE8" s="222">
        <f>AC8*$C$8</f>
        <v>5174.4265218151868</v>
      </c>
      <c r="AF8" s="222"/>
      <c r="AG8" s="222">
        <f>AE8*$C$8</f>
        <v>5277.915052251491</v>
      </c>
    </row>
    <row r="9" spans="1:34" s="210" customFormat="1" ht="14.25">
      <c r="B9" s="210" t="s">
        <v>837</v>
      </c>
      <c r="C9" s="238">
        <f>IF(Application!$D$211="Special Needs",(((0.1*Application!$T$212)+(0.05*(1-Application!$T$212)))),0.05)</f>
        <v>0.05</v>
      </c>
      <c r="E9" s="221">
        <f>-E8*$C$9</f>
        <v>-200</v>
      </c>
      <c r="F9" s="221"/>
      <c r="G9" s="221">
        <f>-G8*$C$9</f>
        <v>-204</v>
      </c>
      <c r="H9" s="221"/>
      <c r="I9" s="221">
        <f>-I8*$C$9</f>
        <v>-208.08000000000004</v>
      </c>
      <c r="J9" s="221"/>
      <c r="K9" s="221">
        <f>-K8*$C$9</f>
        <v>-212.24160000000003</v>
      </c>
      <c r="L9" s="221"/>
      <c r="M9" s="221">
        <f>-M8*$C$9</f>
        <v>-216.48643200000004</v>
      </c>
      <c r="N9" s="221"/>
      <c r="O9" s="221">
        <f>-O8*$C$9</f>
        <v>-220.81616064000002</v>
      </c>
      <c r="P9" s="221"/>
      <c r="Q9" s="221">
        <f>-Q8*$C$9</f>
        <v>-225.23248385279999</v>
      </c>
      <c r="R9" s="221"/>
      <c r="S9" s="221">
        <f>-S8*$C$9</f>
        <v>-229.73713352985601</v>
      </c>
      <c r="T9" s="221"/>
      <c r="U9" s="221">
        <f>-U8*$C$9</f>
        <v>-234.33187620045317</v>
      </c>
      <c r="V9" s="221"/>
      <c r="W9" s="221">
        <f>-W8*$C$9</f>
        <v>-239.01851372446222</v>
      </c>
      <c r="X9" s="221"/>
      <c r="Y9" s="221">
        <f>-Y8*$C$9</f>
        <v>-243.79888399895151</v>
      </c>
      <c r="Z9" s="221"/>
      <c r="AA9" s="221">
        <f>-AA8*$C$9</f>
        <v>-248.67486167893054</v>
      </c>
      <c r="AB9" s="221"/>
      <c r="AC9" s="221">
        <f>-AC8*$C$9</f>
        <v>-253.64835891250914</v>
      </c>
      <c r="AD9" s="221"/>
      <c r="AE9" s="221">
        <f>-AE8*$C$9</f>
        <v>-258.72132609075936</v>
      </c>
      <c r="AF9" s="221"/>
      <c r="AG9" s="221">
        <f>-AG8*$C$9</f>
        <v>-263.89575261257454</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3191730.1999999997</v>
      </c>
      <c r="G11" s="223">
        <f>SUM(G4:G10)</f>
        <v>3255564.8040000005</v>
      </c>
      <c r="I11" s="223">
        <f>SUM(I4:I10)</f>
        <v>3320676.1000800002</v>
      </c>
      <c r="K11" s="223">
        <f>SUM(K4:K10)</f>
        <v>3387089.6220816001</v>
      </c>
      <c r="M11" s="223">
        <f>SUM(M4:M10)</f>
        <v>3454831.4145232318</v>
      </c>
      <c r="O11" s="223">
        <f>SUM(O4:O10)</f>
        <v>3523928.0428136969</v>
      </c>
      <c r="Q11" s="223">
        <f>SUM(Q4:Q10)</f>
        <v>3594406.6036699717</v>
      </c>
      <c r="S11" s="223">
        <f>SUM(S4:S10)</f>
        <v>3666294.7357433704</v>
      </c>
      <c r="U11" s="223">
        <f>SUM(U4:U10)</f>
        <v>3739620.6304582381</v>
      </c>
      <c r="W11" s="223">
        <f>SUM(W4:W10)</f>
        <v>3814413.0430674031</v>
      </c>
      <c r="Y11" s="223">
        <f>SUM(Y4:Y10)</f>
        <v>3890701.303928751</v>
      </c>
      <c r="AA11" s="223">
        <f>SUM(AA4:AA10)</f>
        <v>3968515.3300073254</v>
      </c>
      <c r="AC11" s="223">
        <f>SUM(AC4:AC10)</f>
        <v>4047885.6366074723</v>
      </c>
      <c r="AE11" s="223">
        <f>SUM(AE4:AE10)</f>
        <v>4128843.3493396216</v>
      </c>
      <c r="AG11" s="223">
        <f>SUM(AG4:AG10)</f>
        <v>4211420.2163264155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177302</v>
      </c>
      <c r="G15" s="219">
        <f>E15*$C$14</f>
        <v>182621.06</v>
      </c>
      <c r="I15" s="219">
        <f>G15*$C$14</f>
        <v>188099.6918</v>
      </c>
      <c r="K15" s="219">
        <f>I15*$C$14</f>
        <v>193742.682554</v>
      </c>
      <c r="M15" s="219">
        <f>K15*$C$14</f>
        <v>199554.96303062001</v>
      </c>
      <c r="O15" s="219">
        <f>M15*$C$14</f>
        <v>205541.61192153863</v>
      </c>
      <c r="Q15" s="219">
        <f>O15*$C$14</f>
        <v>211707.8602791848</v>
      </c>
      <c r="S15" s="219">
        <f>Q15*$C$14</f>
        <v>218059.09608756035</v>
      </c>
      <c r="U15" s="219">
        <f>S15*$C$14</f>
        <v>224600.86897018718</v>
      </c>
      <c r="W15" s="219">
        <f>U15*$C$14</f>
        <v>231338.89503929281</v>
      </c>
      <c r="Y15" s="219">
        <f>W15*$C$14</f>
        <v>238279.06189047161</v>
      </c>
      <c r="AA15" s="219">
        <f>Y15*$C$14</f>
        <v>245427.43374718577</v>
      </c>
      <c r="AC15" s="219">
        <f>AA15*$C$14</f>
        <v>252790.25675960135</v>
      </c>
      <c r="AE15" s="219">
        <f>AC15*$C$14</f>
        <v>260373.96446238941</v>
      </c>
      <c r="AG15" s="219">
        <f>AE15*$C$14</f>
        <v>268185.18339626113</v>
      </c>
    </row>
    <row r="16" spans="1:34" s="210" customFormat="1" ht="14.25">
      <c r="A16" s="210" t="s">
        <v>343</v>
      </c>
      <c r="C16" s="233"/>
      <c r="E16" s="222">
        <f>Application!W849</f>
        <v>190800</v>
      </c>
      <c r="F16" s="222"/>
      <c r="G16" s="222">
        <f t="shared" ref="G16:AG21" si="0">E16*$C$14</f>
        <v>196524</v>
      </c>
      <c r="H16" s="222"/>
      <c r="I16" s="222">
        <f t="shared" si="0"/>
        <v>202419.72</v>
      </c>
      <c r="J16" s="222"/>
      <c r="K16" s="222">
        <f t="shared" si="0"/>
        <v>208492.31160000002</v>
      </c>
      <c r="L16" s="222"/>
      <c r="M16" s="222">
        <f t="shared" si="0"/>
        <v>214747.08094800002</v>
      </c>
      <c r="N16" s="222"/>
      <c r="O16" s="222">
        <f t="shared" si="0"/>
        <v>221189.49337644002</v>
      </c>
      <c r="P16" s="222"/>
      <c r="Q16" s="222">
        <f t="shared" si="0"/>
        <v>227825.17817773324</v>
      </c>
      <c r="R16" s="222"/>
      <c r="S16" s="222">
        <f t="shared" si="0"/>
        <v>234659.93352306524</v>
      </c>
      <c r="T16" s="222"/>
      <c r="U16" s="222">
        <f t="shared" si="0"/>
        <v>241699.7315287572</v>
      </c>
      <c r="V16" s="222"/>
      <c r="W16" s="222">
        <f t="shared" si="0"/>
        <v>248950.72347461991</v>
      </c>
      <c r="X16" s="222"/>
      <c r="Y16" s="222">
        <f t="shared" si="0"/>
        <v>256419.24517885852</v>
      </c>
      <c r="Z16" s="222"/>
      <c r="AA16" s="222">
        <f t="shared" si="0"/>
        <v>264111.82253422425</v>
      </c>
      <c r="AB16" s="222"/>
      <c r="AC16" s="222">
        <f t="shared" si="0"/>
        <v>272035.17721025099</v>
      </c>
      <c r="AD16" s="222"/>
      <c r="AE16" s="222">
        <f t="shared" si="0"/>
        <v>280196.23252655851</v>
      </c>
      <c r="AF16" s="222"/>
      <c r="AG16" s="222">
        <f t="shared" si="0"/>
        <v>288602.11950235529</v>
      </c>
    </row>
    <row r="17" spans="1:33" s="210" customFormat="1" ht="14.25">
      <c r="A17" s="210" t="s">
        <v>561</v>
      </c>
      <c r="C17" s="233"/>
      <c r="E17" s="222">
        <f>Application!W855</f>
        <v>225254</v>
      </c>
      <c r="F17" s="222"/>
      <c r="G17" s="222">
        <f t="shared" si="0"/>
        <v>232011.62</v>
      </c>
      <c r="H17" s="222"/>
      <c r="I17" s="222">
        <f t="shared" si="0"/>
        <v>238971.96859999999</v>
      </c>
      <c r="J17" s="222"/>
      <c r="K17" s="222">
        <f t="shared" si="0"/>
        <v>246141.12765800001</v>
      </c>
      <c r="L17" s="222"/>
      <c r="M17" s="222">
        <f t="shared" si="0"/>
        <v>253525.36148774001</v>
      </c>
      <c r="N17" s="222"/>
      <c r="O17" s="222">
        <f t="shared" si="0"/>
        <v>261131.12233237221</v>
      </c>
      <c r="P17" s="222"/>
      <c r="Q17" s="222">
        <f t="shared" si="0"/>
        <v>268965.05600234336</v>
      </c>
      <c r="R17" s="222"/>
      <c r="S17" s="222">
        <f t="shared" si="0"/>
        <v>277034.00768241368</v>
      </c>
      <c r="T17" s="222"/>
      <c r="U17" s="222">
        <f t="shared" si="0"/>
        <v>285345.02791288611</v>
      </c>
      <c r="V17" s="222"/>
      <c r="W17" s="222">
        <f t="shared" si="0"/>
        <v>293905.37875027268</v>
      </c>
      <c r="X17" s="222"/>
      <c r="Y17" s="222">
        <f t="shared" si="0"/>
        <v>302722.54011278087</v>
      </c>
      <c r="Z17" s="222"/>
      <c r="AA17" s="222">
        <f t="shared" si="0"/>
        <v>311804.2163161643</v>
      </c>
      <c r="AB17" s="222"/>
      <c r="AC17" s="222">
        <f t="shared" si="0"/>
        <v>321158.34280564921</v>
      </c>
      <c r="AD17" s="222"/>
      <c r="AE17" s="222">
        <f t="shared" si="0"/>
        <v>330793.09308981872</v>
      </c>
      <c r="AF17" s="222"/>
      <c r="AG17" s="222">
        <f t="shared" si="0"/>
        <v>340716.88588251331</v>
      </c>
    </row>
    <row r="18" spans="1:33" s="210" customFormat="1" ht="14.25">
      <c r="A18" s="210" t="s">
        <v>841</v>
      </c>
      <c r="C18" s="233"/>
      <c r="E18" s="222">
        <f>Application!W862</f>
        <v>620948</v>
      </c>
      <c r="F18" s="222"/>
      <c r="G18" s="222">
        <f t="shared" si="0"/>
        <v>639576.44000000006</v>
      </c>
      <c r="H18" s="222"/>
      <c r="I18" s="222">
        <f t="shared" si="0"/>
        <v>658763.73320000013</v>
      </c>
      <c r="J18" s="222"/>
      <c r="K18" s="222">
        <f t="shared" si="0"/>
        <v>678526.64519600011</v>
      </c>
      <c r="L18" s="222"/>
      <c r="M18" s="222">
        <f t="shared" si="0"/>
        <v>698882.44455188012</v>
      </c>
      <c r="N18" s="222"/>
      <c r="O18" s="222">
        <f t="shared" si="0"/>
        <v>719848.91788843658</v>
      </c>
      <c r="P18" s="222"/>
      <c r="Q18" s="222">
        <f t="shared" si="0"/>
        <v>741444.38542508974</v>
      </c>
      <c r="R18" s="222"/>
      <c r="S18" s="222">
        <f t="shared" si="0"/>
        <v>763687.71698784246</v>
      </c>
      <c r="T18" s="222"/>
      <c r="U18" s="222">
        <f t="shared" si="0"/>
        <v>786598.34849747771</v>
      </c>
      <c r="V18" s="222"/>
      <c r="W18" s="222">
        <f t="shared" si="0"/>
        <v>810196.29895240208</v>
      </c>
      <c r="X18" s="222"/>
      <c r="Y18" s="222">
        <f t="shared" si="0"/>
        <v>834502.18792097422</v>
      </c>
      <c r="Z18" s="222"/>
      <c r="AA18" s="222">
        <f t="shared" si="0"/>
        <v>859537.25355860346</v>
      </c>
      <c r="AB18" s="222"/>
      <c r="AC18" s="222">
        <f t="shared" si="0"/>
        <v>885323.3711653616</v>
      </c>
      <c r="AD18" s="222"/>
      <c r="AE18" s="222">
        <f t="shared" si="0"/>
        <v>911883.07230032247</v>
      </c>
      <c r="AF18" s="222"/>
      <c r="AG18" s="222">
        <f t="shared" si="0"/>
        <v>939239.56446933222</v>
      </c>
    </row>
    <row r="19" spans="1:33" s="210" customFormat="1" ht="14.25">
      <c r="A19" s="210" t="s">
        <v>155</v>
      </c>
      <c r="C19" s="233"/>
      <c r="E19" s="222">
        <f>Application!W863</f>
        <v>229993</v>
      </c>
      <c r="F19" s="222"/>
      <c r="G19" s="222">
        <f t="shared" si="0"/>
        <v>236892.79</v>
      </c>
      <c r="H19" s="222"/>
      <c r="I19" s="222">
        <f t="shared" si="0"/>
        <v>243999.57370000001</v>
      </c>
      <c r="J19" s="222"/>
      <c r="K19" s="222">
        <f t="shared" si="0"/>
        <v>251319.56091100001</v>
      </c>
      <c r="L19" s="222"/>
      <c r="M19" s="222">
        <f t="shared" si="0"/>
        <v>258859.14773833001</v>
      </c>
      <c r="N19" s="222"/>
      <c r="O19" s="222">
        <f t="shared" si="0"/>
        <v>266624.9221704799</v>
      </c>
      <c r="P19" s="222"/>
      <c r="Q19" s="222">
        <f t="shared" si="0"/>
        <v>274623.66983559431</v>
      </c>
      <c r="R19" s="222"/>
      <c r="S19" s="222">
        <f t="shared" si="0"/>
        <v>282862.37993066217</v>
      </c>
      <c r="T19" s="222"/>
      <c r="U19" s="222">
        <f t="shared" si="0"/>
        <v>291348.25132858206</v>
      </c>
      <c r="V19" s="222"/>
      <c r="W19" s="222">
        <f t="shared" si="0"/>
        <v>300088.69886843953</v>
      </c>
      <c r="X19" s="222"/>
      <c r="Y19" s="222">
        <f t="shared" si="0"/>
        <v>309091.35983449273</v>
      </c>
      <c r="Z19" s="222"/>
      <c r="AA19" s="222">
        <f t="shared" si="0"/>
        <v>318364.10062952753</v>
      </c>
      <c r="AB19" s="222"/>
      <c r="AC19" s="222">
        <f t="shared" si="0"/>
        <v>327915.02364841336</v>
      </c>
      <c r="AD19" s="222"/>
      <c r="AE19" s="222">
        <f t="shared" si="0"/>
        <v>337752.47435786575</v>
      </c>
      <c r="AF19" s="222"/>
      <c r="AG19" s="222">
        <f t="shared" si="0"/>
        <v>347885.04858860176</v>
      </c>
    </row>
    <row r="20" spans="1:33" s="210" customFormat="1" ht="14.25">
      <c r="A20" s="210" t="s">
        <v>389</v>
      </c>
      <c r="C20" s="233"/>
      <c r="E20" s="222">
        <f>Application!W872</f>
        <v>253591</v>
      </c>
      <c r="F20" s="222"/>
      <c r="G20" s="222">
        <f t="shared" si="0"/>
        <v>261198.73</v>
      </c>
      <c r="H20" s="222"/>
      <c r="I20" s="222">
        <f t="shared" si="0"/>
        <v>269034.69190000003</v>
      </c>
      <c r="J20" s="222"/>
      <c r="K20" s="222">
        <f t="shared" si="0"/>
        <v>277105.73265700002</v>
      </c>
      <c r="L20" s="222"/>
      <c r="M20" s="222">
        <f t="shared" si="0"/>
        <v>285418.90463671001</v>
      </c>
      <c r="N20" s="222"/>
      <c r="O20" s="222">
        <f t="shared" si="0"/>
        <v>293981.47177581134</v>
      </c>
      <c r="P20" s="222"/>
      <c r="Q20" s="222">
        <f t="shared" si="0"/>
        <v>302800.91592908569</v>
      </c>
      <c r="R20" s="222"/>
      <c r="S20" s="222">
        <f t="shared" si="0"/>
        <v>311884.94340695825</v>
      </c>
      <c r="T20" s="222"/>
      <c r="U20" s="222">
        <f t="shared" si="0"/>
        <v>321241.49170916702</v>
      </c>
      <c r="V20" s="222"/>
      <c r="W20" s="222">
        <f t="shared" si="0"/>
        <v>330878.73646044201</v>
      </c>
      <c r="X20" s="222"/>
      <c r="Y20" s="222">
        <f t="shared" si="0"/>
        <v>340805.09855425527</v>
      </c>
      <c r="Z20" s="222"/>
      <c r="AA20" s="222">
        <f t="shared" si="0"/>
        <v>351029.25151088292</v>
      </c>
      <c r="AB20" s="222"/>
      <c r="AC20" s="222">
        <f t="shared" si="0"/>
        <v>361560.12905620941</v>
      </c>
      <c r="AD20" s="222"/>
      <c r="AE20" s="222">
        <f t="shared" si="0"/>
        <v>372406.93292789569</v>
      </c>
      <c r="AF20" s="222"/>
      <c r="AG20" s="222">
        <f t="shared" si="0"/>
        <v>383579.14091573254</v>
      </c>
    </row>
    <row r="21" spans="1:33" s="210" customFormat="1" ht="14.25">
      <c r="A21" s="226" t="s">
        <v>2794</v>
      </c>
      <c r="B21" s="226"/>
      <c r="C21" s="233"/>
      <c r="E21" s="232">
        <f>Application!W879</f>
        <v>291989</v>
      </c>
      <c r="F21" s="222"/>
      <c r="G21" s="232">
        <f t="shared" si="0"/>
        <v>300748.67</v>
      </c>
      <c r="H21" s="222"/>
      <c r="I21" s="232">
        <f t="shared" si="0"/>
        <v>309771.13010000001</v>
      </c>
      <c r="J21" s="222"/>
      <c r="K21" s="232">
        <f t="shared" si="0"/>
        <v>319064.26400299999</v>
      </c>
      <c r="L21" s="222"/>
      <c r="M21" s="232">
        <f t="shared" si="0"/>
        <v>328636.19192309002</v>
      </c>
      <c r="N21" s="222"/>
      <c r="O21" s="232">
        <f t="shared" si="0"/>
        <v>338495.27768078272</v>
      </c>
      <c r="P21" s="222"/>
      <c r="Q21" s="232">
        <f t="shared" si="0"/>
        <v>348650.1360112062</v>
      </c>
      <c r="R21" s="222"/>
      <c r="S21" s="232">
        <f t="shared" si="0"/>
        <v>359109.64009154239</v>
      </c>
      <c r="T21" s="222"/>
      <c r="U21" s="232">
        <f t="shared" si="0"/>
        <v>369882.92929428868</v>
      </c>
      <c r="V21" s="222"/>
      <c r="W21" s="232">
        <f t="shared" si="0"/>
        <v>380979.41717311734</v>
      </c>
      <c r="X21" s="222"/>
      <c r="Y21" s="232">
        <f t="shared" si="0"/>
        <v>392408.79968831089</v>
      </c>
      <c r="Z21" s="222"/>
      <c r="AA21" s="232">
        <f t="shared" si="0"/>
        <v>404181.0636789602</v>
      </c>
      <c r="AB21" s="222"/>
      <c r="AC21" s="232">
        <f t="shared" si="0"/>
        <v>416306.49558932899</v>
      </c>
      <c r="AD21" s="222"/>
      <c r="AE21" s="232">
        <f t="shared" si="0"/>
        <v>428795.6904570089</v>
      </c>
      <c r="AF21" s="222"/>
      <c r="AG21" s="232">
        <f t="shared" si="0"/>
        <v>441659.56117071916</v>
      </c>
    </row>
    <row r="22" spans="1:33" s="223" customFormat="1" ht="15">
      <c r="A22" s="223" t="s">
        <v>842</v>
      </c>
      <c r="C22" s="233"/>
      <c r="E22" s="223">
        <f>SUM(E15:E21)</f>
        <v>1989877</v>
      </c>
      <c r="G22" s="223">
        <f>SUM(G15:G21)</f>
        <v>2049573.31</v>
      </c>
      <c r="I22" s="223">
        <f>SUM(I15:I21)</f>
        <v>2111060.5093000005</v>
      </c>
      <c r="K22" s="223">
        <f>SUM(K15:K21)</f>
        <v>2174392.324579</v>
      </c>
      <c r="M22" s="223">
        <f>SUM(M15:M21)</f>
        <v>2239624.0943163699</v>
      </c>
      <c r="O22" s="223">
        <f>SUM(O15:O21)</f>
        <v>2306812.8171458617</v>
      </c>
      <c r="Q22" s="223">
        <f>SUM(Q15:Q21)</f>
        <v>2376017.2016602373</v>
      </c>
      <c r="S22" s="223">
        <f>SUM(S15:S21)</f>
        <v>2447297.7177100442</v>
      </c>
      <c r="U22" s="223">
        <f>SUM(U15:U21)</f>
        <v>2520716.6492413459</v>
      </c>
      <c r="W22" s="223">
        <f>SUM(W15:W21)</f>
        <v>2596338.1487185867</v>
      </c>
      <c r="Y22" s="223">
        <f>SUM(Y15:Y21)</f>
        <v>2674228.2931801439</v>
      </c>
      <c r="AA22" s="223">
        <f>SUM(AA15:AA21)</f>
        <v>2754455.1419755486</v>
      </c>
      <c r="AC22" s="223">
        <f>SUM(AC15:AC21)</f>
        <v>2837088.7962348145</v>
      </c>
      <c r="AE22" s="223">
        <f>SUM(AE15:AE21)</f>
        <v>2922201.4601218593</v>
      </c>
      <c r="AG22" s="223">
        <f>SUM(AG15:AG21)</f>
        <v>3009867.5039255153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v>
      </c>
      <c r="E27" s="222">
        <f>Application!AC888</f>
        <v>152615</v>
      </c>
      <c r="F27" s="222"/>
      <c r="G27" s="222">
        <f>E27*$C$27</f>
        <v>157193.45000000001</v>
      </c>
      <c r="H27" s="222"/>
      <c r="I27" s="222">
        <f t="shared" ref="I27:AG29" si="1">G27*$C$27</f>
        <v>161909.25350000002</v>
      </c>
      <c r="J27" s="222"/>
      <c r="K27" s="222">
        <f t="shared" si="1"/>
        <v>166766.53110500003</v>
      </c>
      <c r="L27" s="222"/>
      <c r="M27" s="222">
        <f t="shared" si="1"/>
        <v>171769.52703815003</v>
      </c>
      <c r="N27" s="222"/>
      <c r="O27" s="222">
        <f t="shared" si="1"/>
        <v>176922.61284929453</v>
      </c>
      <c r="P27" s="222"/>
      <c r="Q27" s="222">
        <f t="shared" si="1"/>
        <v>182230.29123477338</v>
      </c>
      <c r="R27" s="222"/>
      <c r="S27" s="222">
        <f t="shared" si="1"/>
        <v>187697.19997181659</v>
      </c>
      <c r="T27" s="222"/>
      <c r="U27" s="222">
        <f t="shared" si="1"/>
        <v>193328.11597097109</v>
      </c>
      <c r="V27" s="222"/>
      <c r="W27" s="222">
        <f t="shared" si="1"/>
        <v>199127.95945010023</v>
      </c>
      <c r="X27" s="222"/>
      <c r="Y27" s="222">
        <f t="shared" si="1"/>
        <v>205101.79823360324</v>
      </c>
      <c r="Z27" s="222"/>
      <c r="AA27" s="222">
        <f t="shared" si="1"/>
        <v>211254.85218061134</v>
      </c>
      <c r="AB27" s="222"/>
      <c r="AC27" s="222">
        <f t="shared" si="1"/>
        <v>217592.49774602969</v>
      </c>
      <c r="AD27" s="222"/>
      <c r="AE27" s="222">
        <f t="shared" si="1"/>
        <v>224120.27267841058</v>
      </c>
      <c r="AF27" s="222"/>
      <c r="AG27" s="222">
        <f t="shared" si="1"/>
        <v>230843.88085876289</v>
      </c>
    </row>
    <row r="28" spans="1:33" s="210" customFormat="1" ht="14.25">
      <c r="A28" s="210" t="s">
        <v>845</v>
      </c>
      <c r="C28" s="237">
        <v>1.03</v>
      </c>
      <c r="E28" s="222">
        <f>Application!AC889</f>
        <v>47700</v>
      </c>
      <c r="F28" s="222"/>
      <c r="G28" s="222">
        <f t="shared" ref="G28:G29" si="2">E28*$C$27</f>
        <v>49131</v>
      </c>
      <c r="H28" s="222"/>
      <c r="I28" s="222">
        <f t="shared" si="1"/>
        <v>50604.93</v>
      </c>
      <c r="J28" s="222"/>
      <c r="K28" s="222">
        <f t="shared" si="1"/>
        <v>52123.077900000004</v>
      </c>
      <c r="L28" s="222"/>
      <c r="M28" s="222">
        <f t="shared" si="1"/>
        <v>53686.770237000004</v>
      </c>
      <c r="N28" s="222"/>
      <c r="O28" s="222">
        <f t="shared" si="1"/>
        <v>55297.373344110005</v>
      </c>
      <c r="P28" s="222"/>
      <c r="Q28" s="222">
        <f t="shared" si="1"/>
        <v>56956.294544433309</v>
      </c>
      <c r="R28" s="222"/>
      <c r="S28" s="222">
        <f t="shared" si="1"/>
        <v>58664.983380766309</v>
      </c>
      <c r="T28" s="222"/>
      <c r="U28" s="222">
        <f t="shared" si="1"/>
        <v>60424.9328821893</v>
      </c>
      <c r="V28" s="222"/>
      <c r="W28" s="222">
        <f t="shared" si="1"/>
        <v>62237.680868654978</v>
      </c>
      <c r="X28" s="222"/>
      <c r="Y28" s="222">
        <f t="shared" si="1"/>
        <v>64104.811294714629</v>
      </c>
      <c r="Z28" s="222"/>
      <c r="AA28" s="222">
        <f t="shared" si="1"/>
        <v>66027.955633556063</v>
      </c>
      <c r="AB28" s="222"/>
      <c r="AC28" s="222">
        <f t="shared" si="1"/>
        <v>68008.794302562746</v>
      </c>
      <c r="AD28" s="222"/>
      <c r="AE28" s="222">
        <f t="shared" si="1"/>
        <v>70049.058131639627</v>
      </c>
      <c r="AF28" s="222"/>
      <c r="AG28" s="222">
        <f t="shared" si="1"/>
        <v>72150.529875588822</v>
      </c>
    </row>
    <row r="29" spans="1:33" s="210" customFormat="1" ht="14.25">
      <c r="A29" s="210" t="s">
        <v>1678</v>
      </c>
      <c r="C29" s="237">
        <v>1.03</v>
      </c>
      <c r="E29" s="222">
        <f>Application!AC890</f>
        <v>6000</v>
      </c>
      <c r="F29" s="222"/>
      <c r="G29" s="222">
        <f t="shared" si="2"/>
        <v>6180</v>
      </c>
      <c r="H29" s="222"/>
      <c r="I29" s="222">
        <f t="shared" si="1"/>
        <v>6365.4000000000005</v>
      </c>
      <c r="J29" s="222"/>
      <c r="K29" s="222">
        <f t="shared" si="1"/>
        <v>6556.362000000001</v>
      </c>
      <c r="L29" s="222"/>
      <c r="M29" s="222">
        <f t="shared" si="1"/>
        <v>6753.0528600000016</v>
      </c>
      <c r="N29" s="222"/>
      <c r="O29" s="222">
        <f t="shared" si="1"/>
        <v>6955.6444458000014</v>
      </c>
      <c r="P29" s="222"/>
      <c r="Q29" s="222">
        <f t="shared" si="1"/>
        <v>7164.3137791740019</v>
      </c>
      <c r="R29" s="222"/>
      <c r="S29" s="222">
        <f t="shared" si="1"/>
        <v>7379.2431925492219</v>
      </c>
      <c r="T29" s="222"/>
      <c r="U29" s="222">
        <f t="shared" si="1"/>
        <v>7600.6204883256987</v>
      </c>
      <c r="V29" s="222"/>
      <c r="W29" s="222">
        <f t="shared" si="1"/>
        <v>7828.6391029754695</v>
      </c>
      <c r="X29" s="222"/>
      <c r="Y29" s="222">
        <f t="shared" si="1"/>
        <v>8063.4982760647335</v>
      </c>
      <c r="Z29" s="222"/>
      <c r="AA29" s="222">
        <f t="shared" si="1"/>
        <v>8305.4032243466754</v>
      </c>
      <c r="AB29" s="222"/>
      <c r="AC29" s="222">
        <f t="shared" si="1"/>
        <v>8554.5653210770761</v>
      </c>
      <c r="AD29" s="222"/>
      <c r="AE29" s="222">
        <f t="shared" si="1"/>
        <v>8811.202280709389</v>
      </c>
      <c r="AF29" s="222"/>
      <c r="AG29" s="222">
        <f t="shared" si="1"/>
        <v>9075.5383491306711</v>
      </c>
    </row>
    <row r="30" spans="1:33" s="210" customFormat="1" ht="14.25">
      <c r="A30" s="210" t="s">
        <v>843</v>
      </c>
      <c r="C30" s="237">
        <v>1.03</v>
      </c>
      <c r="E30" s="222">
        <f>Application!AC891</f>
        <v>30335</v>
      </c>
      <c r="F30" s="222"/>
      <c r="G30" s="222">
        <f>E30*$C$30</f>
        <v>31245.05</v>
      </c>
      <c r="H30" s="222"/>
      <c r="I30" s="222">
        <f>G30*$C$30</f>
        <v>32182.4015</v>
      </c>
      <c r="J30" s="222"/>
      <c r="K30" s="222">
        <f>I30*$C$30</f>
        <v>33147.873545000002</v>
      </c>
      <c r="L30" s="222"/>
      <c r="M30" s="222">
        <f>K30*$C$30</f>
        <v>34142.309751350003</v>
      </c>
      <c r="N30" s="222"/>
      <c r="O30" s="222">
        <f>M30*$C$30</f>
        <v>35166.579043890502</v>
      </c>
      <c r="P30" s="222"/>
      <c r="Q30" s="222">
        <f>O30*$C$30</f>
        <v>36221.576415207215</v>
      </c>
      <c r="R30" s="222"/>
      <c r="S30" s="222">
        <f>Q30*$C$30</f>
        <v>37308.223707663434</v>
      </c>
      <c r="T30" s="222"/>
      <c r="U30" s="222">
        <f>S30*$C$30</f>
        <v>38427.470418893339</v>
      </c>
      <c r="V30" s="222"/>
      <c r="W30" s="222">
        <f>U30*$C$30</f>
        <v>39580.294531460138</v>
      </c>
      <c r="X30" s="222"/>
      <c r="Y30" s="222">
        <f>W30*$C$30</f>
        <v>40767.703367403941</v>
      </c>
      <c r="Z30" s="222"/>
      <c r="AA30" s="222">
        <f>Y30*$C$30</f>
        <v>41990.734468426061</v>
      </c>
      <c r="AB30" s="222"/>
      <c r="AC30" s="222">
        <f>AA30*$C$30</f>
        <v>43250.456502478846</v>
      </c>
      <c r="AD30" s="222"/>
      <c r="AE30" s="222">
        <f>AC30*$C$30</f>
        <v>44547.970197553215</v>
      </c>
      <c r="AF30" s="222"/>
      <c r="AG30" s="222">
        <f>AE30*$C$30</f>
        <v>45884.409303479813</v>
      </c>
    </row>
    <row r="31" spans="1:33" s="210" customFormat="1" ht="14.25">
      <c r="A31" s="210" t="s">
        <v>1679</v>
      </c>
      <c r="C31" s="237"/>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2226527</v>
      </c>
      <c r="G35" s="223">
        <f>SUM(G22:G33)</f>
        <v>2293322.81</v>
      </c>
      <c r="I35" s="223">
        <f>SUM(I22:I33)</f>
        <v>2362122.4943000008</v>
      </c>
      <c r="K35" s="223">
        <f>SUM(K22:K33)</f>
        <v>2432986.169129</v>
      </c>
      <c r="M35" s="223">
        <f>SUM(M22:M33)</f>
        <v>2505975.7542028702</v>
      </c>
      <c r="O35" s="223">
        <f>SUM(O22:O33)</f>
        <v>2581155.0268289568</v>
      </c>
      <c r="Q35" s="223">
        <f>SUM(Q22:Q33)</f>
        <v>2658589.6776338252</v>
      </c>
      <c r="S35" s="223">
        <f>SUM(S22:S33)</f>
        <v>2738347.3679628395</v>
      </c>
      <c r="U35" s="223">
        <f>SUM(U22:U33)</f>
        <v>2820497.7890017251</v>
      </c>
      <c r="W35" s="223">
        <f>SUM(W22:W33)</f>
        <v>2905112.722671777</v>
      </c>
      <c r="Y35" s="223">
        <f>SUM(Y22:Y33)</f>
        <v>2992266.1043519303</v>
      </c>
      <c r="AA35" s="223">
        <f>SUM(AA22:AA33)</f>
        <v>3082034.0874824887</v>
      </c>
      <c r="AC35" s="223">
        <f>SUM(AC22:AC33)</f>
        <v>3174495.1101069632</v>
      </c>
      <c r="AE35" s="223">
        <f>SUM(AE22:AE33)</f>
        <v>3269729.9634101726</v>
      </c>
      <c r="AG35" s="223">
        <f>SUM(AG22:AG33)</f>
        <v>3367821.8623124775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965203.19999999972</v>
      </c>
      <c r="G37" s="223">
        <f>G11-G35</f>
        <v>962241.99400000041</v>
      </c>
      <c r="I37" s="223">
        <f>I11-I35</f>
        <v>958553.6057799994</v>
      </c>
      <c r="K37" s="223">
        <f>K11-K35</f>
        <v>954103.45295260008</v>
      </c>
      <c r="M37" s="223">
        <f>M11-M35</f>
        <v>948855.66032036161</v>
      </c>
      <c r="O37" s="223">
        <f>O11-O35</f>
        <v>942773.01598474011</v>
      </c>
      <c r="Q37" s="223">
        <f>Q11-Q35</f>
        <v>935816.92603614647</v>
      </c>
      <c r="S37" s="223">
        <f>S11-S35</f>
        <v>927947.36778053083</v>
      </c>
      <c r="U37" s="223">
        <f>U11-U35</f>
        <v>919122.84145651292</v>
      </c>
      <c r="W37" s="223">
        <f>W11-W35</f>
        <v>909300.32039562613</v>
      </c>
      <c r="Y37" s="223">
        <f>Y11-Y35</f>
        <v>898435.19957682071</v>
      </c>
      <c r="AA37" s="223">
        <f>AA11-AA35</f>
        <v>886481.24252483668</v>
      </c>
      <c r="AC37" s="223">
        <f>AC11-AC35</f>
        <v>873390.52650050912</v>
      </c>
      <c r="AE37" s="223">
        <f>AE11-AE35</f>
        <v>859113.385929449</v>
      </c>
      <c r="AG37" s="223">
        <f>AG11-AG35</f>
        <v>843598.35401393799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 Loan - Citibank</v>
      </c>
      <c r="B40" s="226"/>
      <c r="C40" s="220"/>
      <c r="E40" s="222">
        <f>Application!AF627</f>
        <v>772163</v>
      </c>
      <c r="F40" s="222"/>
      <c r="G40" s="222">
        <f>$E$40</f>
        <v>772163</v>
      </c>
      <c r="H40" s="222"/>
      <c r="I40" s="222">
        <f>$E$40</f>
        <v>772163</v>
      </c>
      <c r="J40" s="222"/>
      <c r="K40" s="222">
        <f>$E$40</f>
        <v>772163</v>
      </c>
      <c r="L40" s="222"/>
      <c r="M40" s="222">
        <f>$E$40</f>
        <v>772163</v>
      </c>
      <c r="N40" s="222"/>
      <c r="O40" s="222">
        <f>$E$40</f>
        <v>772163</v>
      </c>
      <c r="P40" s="222"/>
      <c r="Q40" s="222">
        <f>$E$40</f>
        <v>772163</v>
      </c>
      <c r="R40" s="222"/>
      <c r="S40" s="222">
        <f>$E$40</f>
        <v>772163</v>
      </c>
      <c r="T40" s="222"/>
      <c r="U40" s="222">
        <f>$E$40</f>
        <v>772163</v>
      </c>
      <c r="V40" s="222"/>
      <c r="W40" s="222">
        <f>$E$40</f>
        <v>772163</v>
      </c>
      <c r="X40" s="222"/>
      <c r="Y40" s="222">
        <f>$E$40</f>
        <v>772163</v>
      </c>
      <c r="Z40" s="222"/>
      <c r="AA40" s="222">
        <f>$E$40</f>
        <v>772163</v>
      </c>
      <c r="AB40" s="222"/>
      <c r="AC40" s="222">
        <f>$E$40</f>
        <v>772163</v>
      </c>
      <c r="AD40" s="222"/>
      <c r="AE40" s="222">
        <f>$E$40</f>
        <v>772163</v>
      </c>
      <c r="AF40" s="222"/>
      <c r="AG40" s="222">
        <f>$E$40</f>
        <v>772163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772163</v>
      </c>
      <c r="G43" s="223">
        <f>SUM(G40:G42)</f>
        <v>772163</v>
      </c>
      <c r="I43" s="223">
        <f>SUM(I40:I42)</f>
        <v>772163</v>
      </c>
      <c r="K43" s="223">
        <f>SUM(K40:K42)</f>
        <v>772163</v>
      </c>
      <c r="M43" s="223">
        <f>SUM(M40:M42)</f>
        <v>772163</v>
      </c>
      <c r="O43" s="223">
        <f>SUM(O40:O42)</f>
        <v>772163</v>
      </c>
      <c r="Q43" s="223">
        <f>SUM(Q40:Q42)</f>
        <v>772163</v>
      </c>
      <c r="S43" s="223">
        <f>SUM(S40:S42)</f>
        <v>772163</v>
      </c>
      <c r="U43" s="223">
        <f>SUM(U40:U42)</f>
        <v>772163</v>
      </c>
      <c r="W43" s="223">
        <f>SUM(W40:W42)</f>
        <v>772163</v>
      </c>
      <c r="Y43" s="223">
        <f>SUM(Y40:Y42)</f>
        <v>772163</v>
      </c>
      <c r="AA43" s="223">
        <f>SUM(AA40:AA42)</f>
        <v>772163</v>
      </c>
      <c r="AC43" s="223">
        <f>SUM(AC40:AC42)</f>
        <v>772163</v>
      </c>
      <c r="AE43" s="223">
        <f>SUM(AE40:AE42)</f>
        <v>772163</v>
      </c>
      <c r="AG43" s="223">
        <f>SUM(AG40:AG42)</f>
        <v>772163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193040.19999999972</v>
      </c>
      <c r="G45" s="223">
        <f>G37-G43</f>
        <v>190078.99400000041</v>
      </c>
      <c r="I45" s="223">
        <f>I37-I43</f>
        <v>186390.6057799994</v>
      </c>
      <c r="K45" s="223">
        <f>K37-K43</f>
        <v>181940.45295260008</v>
      </c>
      <c r="M45" s="223">
        <f>M37-M43</f>
        <v>176692.66032036161</v>
      </c>
      <c r="O45" s="223">
        <f>O37-O43</f>
        <v>170610.01598474011</v>
      </c>
      <c r="Q45" s="223">
        <f>Q37-Q43</f>
        <v>163653.92603614647</v>
      </c>
      <c r="S45" s="223">
        <f>S37-S43</f>
        <v>155784.36778053083</v>
      </c>
      <c r="U45" s="223">
        <f>U37-U43</f>
        <v>146959.84145651292</v>
      </c>
      <c r="W45" s="223">
        <f>W37-W43</f>
        <v>137137.32039562613</v>
      </c>
      <c r="Y45" s="223">
        <f>Y37-Y43</f>
        <v>126272.19957682071</v>
      </c>
      <c r="AA45" s="223">
        <f>AA37-AA43</f>
        <v>114318.24252483668</v>
      </c>
      <c r="AC45" s="223">
        <f>AC37-AC43</f>
        <v>101227.52650050912</v>
      </c>
      <c r="AE45" s="223">
        <f>AE37-AE43</f>
        <v>86950.385929448996</v>
      </c>
      <c r="AG45" s="223">
        <f>AG37-AG43</f>
        <v>71435.354013937991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5.7457296985816572E-2</v>
      </c>
      <c r="G47" s="227">
        <f>G45/(G4+G6+G8)</f>
        <v>5.5466579586477299E-2</v>
      </c>
      <c r="I47" s="227">
        <f>I45/(I4+I6+I8)</f>
        <v>5.3323802187974161E-2</v>
      </c>
      <c r="K47" s="227">
        <f>K45/(K4+K6+K8)</f>
        <v>5.1030072891530366E-2</v>
      </c>
      <c r="M47" s="227">
        <f>M45/(M4+M6+M8)</f>
        <v>4.8586459703565017E-2</v>
      </c>
      <c r="O47" s="227">
        <f>O45/(O4+O6+O8)</f>
        <v>4.5993991141796961E-2</v>
      </c>
      <c r="Q47" s="227">
        <f>Q45/(Q4+Q6+Q8)</f>
        <v>4.3253656827694303E-2</v>
      </c>
      <c r="S47" s="227">
        <f>S45/(S4+S6+S8)</f>
        <v>4.0366408065525342E-2</v>
      </c>
      <c r="U47" s="227">
        <f>U45/(U4+U6+U8)</f>
        <v>3.7333158408258058E-2</v>
      </c>
      <c r="W47" s="227">
        <f>W45/(W4+W6+W8)</f>
        <v>3.4154784210542216E-2</v>
      </c>
      <c r="Y47" s="227">
        <f>Y45/(Y4+Y6+Y8)</f>
        <v>3.0832125169014631E-2</v>
      </c>
      <c r="AA47" s="227">
        <f>AA45/(AA4+AA6+AA8)</f>
        <v>2.7365984850156639E-2</v>
      </c>
      <c r="AC47" s="227">
        <f>AC45/(AC4+AC6+AC8)</f>
        <v>2.3757131205930117E-2</v>
      </c>
      <c r="AE47" s="227">
        <f>AE45/(AE4+AE6+AE8)</f>
        <v>2.000629707740989E-2</v>
      </c>
      <c r="AG47" s="227">
        <f>AG45/(AG4+AG6+AG8)</f>
        <v>1.6114180686637322E-2</v>
      </c>
    </row>
    <row r="48" spans="1:33" s="227" customFormat="1" ht="14.25">
      <c r="A48" s="227" t="s">
        <v>851</v>
      </c>
      <c r="C48" s="220"/>
      <c r="E48" s="227">
        <f>E45/E43</f>
        <v>0.24999928771515822</v>
      </c>
      <c r="G48" s="227">
        <f>G45/G43</f>
        <v>0.24616433835861135</v>
      </c>
      <c r="I48" s="227">
        <f>I45/I43</f>
        <v>0.24138764196160578</v>
      </c>
      <c r="K48" s="227">
        <f>K45/K43</f>
        <v>0.23562441214173702</v>
      </c>
      <c r="M48" s="227">
        <f>M45/M43</f>
        <v>0.22882818824569631</v>
      </c>
      <c r="O48" s="227">
        <f>O45/O43</f>
        <v>0.22095077850756914</v>
      </c>
      <c r="Q48" s="227">
        <f>Q45/Q43</f>
        <v>0.21194220136958966</v>
      </c>
      <c r="S48" s="227">
        <f>S45/S43</f>
        <v>0.20175062490760479</v>
      </c>
      <c r="U48" s="227">
        <f>U45/U43</f>
        <v>0.19032230430169916</v>
      </c>
      <c r="W48" s="227">
        <f>W45/W43</f>
        <v>0.1776015172905541</v>
      </c>
      <c r="Y48" s="227">
        <f>Y45/Y43</f>
        <v>0.1635304975462703</v>
      </c>
      <c r="AA48" s="227">
        <f>AA45/AA43</f>
        <v>0.14804936590439671</v>
      </c>
      <c r="AC48" s="227">
        <f>AC45/AC43</f>
        <v>0.13109605938190397</v>
      </c>
      <c r="AE48" s="227">
        <f>AE45/AE43</f>
        <v>0.11260625791374231</v>
      </c>
      <c r="AG48" s="227">
        <f>AG45/AG43</f>
        <v>9.2513308736546548E-2</v>
      </c>
    </row>
    <row r="49" spans="1:34" s="228" customFormat="1" ht="14.25">
      <c r="A49" s="228" t="s">
        <v>849</v>
      </c>
      <c r="C49" s="229"/>
      <c r="E49" s="228">
        <f>E37/E43</f>
        <v>1.2499992877151582</v>
      </c>
      <c r="G49" s="228">
        <f>G37/G43</f>
        <v>1.2461643383586114</v>
      </c>
      <c r="I49" s="228">
        <f>I37/I43</f>
        <v>1.2413876419616057</v>
      </c>
      <c r="K49" s="228">
        <f>K37/K43</f>
        <v>1.235624412141737</v>
      </c>
      <c r="M49" s="228">
        <f>M37/M43</f>
        <v>1.2288281882456964</v>
      </c>
      <c r="O49" s="228">
        <f>O37/O43</f>
        <v>1.2209507785075691</v>
      </c>
      <c r="Q49" s="228">
        <f>Q37/Q43</f>
        <v>1.2119422013695897</v>
      </c>
      <c r="S49" s="228">
        <f>S37/S43</f>
        <v>1.2017506249076049</v>
      </c>
      <c r="U49" s="228">
        <f>U37/U43</f>
        <v>1.1903223043016991</v>
      </c>
      <c r="W49" s="228">
        <f>W37/W43</f>
        <v>1.1776015172905541</v>
      </c>
      <c r="Y49" s="228">
        <f>Y37/Y43</f>
        <v>1.1635304975462704</v>
      </c>
      <c r="AA49" s="228">
        <f>AA37/AA43</f>
        <v>1.1480493659043967</v>
      </c>
      <c r="AC49" s="228">
        <f>AC37/AC43</f>
        <v>1.1310960593819039</v>
      </c>
      <c r="AE49" s="228">
        <f>AE37/AE43</f>
        <v>1.1126062579137423</v>
      </c>
      <c r="AG49" s="228">
        <f>AG37/AG43</f>
        <v>1.0925133087365466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2789</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1.0349999999999999</v>
      </c>
      <c r="E53" s="964">
        <v>25000</v>
      </c>
      <c r="G53" s="960">
        <f>E53*$C$53</f>
        <v>25874.999999999996</v>
      </c>
      <c r="I53" s="960">
        <f>G53*$C$53</f>
        <v>26780.624999999993</v>
      </c>
      <c r="K53" s="960">
        <f>I53*$C$53</f>
        <v>27717.946874999991</v>
      </c>
      <c r="M53" s="960">
        <f>K53*$C$53</f>
        <v>28688.075015624989</v>
      </c>
      <c r="O53" s="960">
        <f>M53*$C$53</f>
        <v>29692.15764117186</v>
      </c>
      <c r="Q53" s="960">
        <f>O53*$C$53</f>
        <v>30731.383158612873</v>
      </c>
      <c r="S53" s="960">
        <f>Q53*$C$53</f>
        <v>31806.98156916432</v>
      </c>
      <c r="U53" s="960">
        <f>S53*$C$53</f>
        <v>32920.225924085069</v>
      </c>
      <c r="W53" s="960">
        <f>U53*$C$53</f>
        <v>34072.433831428047</v>
      </c>
      <c r="Y53" s="960">
        <f>W53*$C$53</f>
        <v>35264.969015528026</v>
      </c>
      <c r="AA53" s="960">
        <f>Y53*$C$53</f>
        <v>36499.242931071502</v>
      </c>
      <c r="AC53" s="960">
        <f>AA53*$C$53</f>
        <v>37776.716433658999</v>
      </c>
      <c r="AE53" s="960">
        <f>AC53*$C$53</f>
        <v>39098.901508837058</v>
      </c>
      <c r="AG53" s="960">
        <f>AE53*$C$53</f>
        <v>40467.363061646349</v>
      </c>
    </row>
    <row r="54" spans="1:34" s="3" customFormat="1">
      <c r="A54" s="3" t="s">
        <v>854</v>
      </c>
      <c r="C54" s="958"/>
      <c r="E54" s="965">
        <v>7500</v>
      </c>
      <c r="F54" s="960"/>
      <c r="G54" s="960">
        <f t="shared" ref="G54:AG57" si="3">E54*$C$53</f>
        <v>7762.4999999999991</v>
      </c>
      <c r="H54" s="960"/>
      <c r="I54" s="960">
        <f t="shared" si="3"/>
        <v>8034.1874999999982</v>
      </c>
      <c r="J54" s="960"/>
      <c r="K54" s="960">
        <f t="shared" si="3"/>
        <v>8315.3840624999975</v>
      </c>
      <c r="L54" s="960"/>
      <c r="M54" s="960">
        <f t="shared" si="3"/>
        <v>8606.4225046874963</v>
      </c>
      <c r="N54" s="960"/>
      <c r="O54" s="960">
        <f t="shared" si="3"/>
        <v>8907.6472923515576</v>
      </c>
      <c r="P54" s="960"/>
      <c r="Q54" s="960">
        <f t="shared" si="3"/>
        <v>9219.4149475838622</v>
      </c>
      <c r="R54" s="960"/>
      <c r="S54" s="960">
        <f t="shared" si="3"/>
        <v>9542.0944707492963</v>
      </c>
      <c r="T54" s="960"/>
      <c r="U54" s="960">
        <f t="shared" si="3"/>
        <v>9876.0677772255203</v>
      </c>
      <c r="V54" s="960"/>
      <c r="W54" s="960">
        <f t="shared" si="3"/>
        <v>10221.730149428413</v>
      </c>
      <c r="X54" s="960"/>
      <c r="Y54" s="960">
        <f t="shared" si="3"/>
        <v>10579.490704658407</v>
      </c>
      <c r="Z54" s="960"/>
      <c r="AA54" s="960">
        <f t="shared" si="3"/>
        <v>10949.77287932145</v>
      </c>
      <c r="AB54" s="960"/>
      <c r="AC54" s="960">
        <f t="shared" si="3"/>
        <v>11333.014930097699</v>
      </c>
      <c r="AD54" s="960"/>
      <c r="AE54" s="960">
        <f t="shared" si="3"/>
        <v>11729.670452651118</v>
      </c>
      <c r="AF54" s="960"/>
      <c r="AG54" s="960">
        <f t="shared" si="3"/>
        <v>12140.208918493907</v>
      </c>
      <c r="AH54" s="960"/>
    </row>
    <row r="55" spans="1:34" s="3" customFormat="1">
      <c r="A55" s="3" t="s">
        <v>855</v>
      </c>
      <c r="C55" s="958"/>
      <c r="E55" s="965"/>
      <c r="F55" s="960"/>
      <c r="G55" s="960">
        <f t="shared" si="3"/>
        <v>0</v>
      </c>
      <c r="H55" s="960"/>
      <c r="I55" s="960">
        <f t="shared" si="3"/>
        <v>0</v>
      </c>
      <c r="J55" s="960"/>
      <c r="K55" s="960">
        <f t="shared" si="3"/>
        <v>0</v>
      </c>
      <c r="L55" s="960"/>
      <c r="M55" s="960">
        <f t="shared" si="3"/>
        <v>0</v>
      </c>
      <c r="N55" s="960"/>
      <c r="O55" s="960">
        <f t="shared" si="3"/>
        <v>0</v>
      </c>
      <c r="P55" s="960"/>
      <c r="Q55" s="960">
        <f t="shared" si="3"/>
        <v>0</v>
      </c>
      <c r="R55" s="960"/>
      <c r="S55" s="960">
        <f t="shared" si="3"/>
        <v>0</v>
      </c>
      <c r="T55" s="960"/>
      <c r="U55" s="960">
        <f t="shared" si="3"/>
        <v>0</v>
      </c>
      <c r="V55" s="960"/>
      <c r="W55" s="960">
        <f t="shared" si="3"/>
        <v>0</v>
      </c>
      <c r="X55" s="960"/>
      <c r="Y55" s="960">
        <f t="shared" si="3"/>
        <v>0</v>
      </c>
      <c r="Z55" s="960"/>
      <c r="AA55" s="960">
        <f t="shared" si="3"/>
        <v>0</v>
      </c>
      <c r="AB55" s="960"/>
      <c r="AC55" s="960">
        <f t="shared" si="3"/>
        <v>0</v>
      </c>
      <c r="AD55" s="960"/>
      <c r="AE55" s="960">
        <f t="shared" si="3"/>
        <v>0</v>
      </c>
      <c r="AF55" s="960"/>
      <c r="AG55" s="960">
        <f t="shared" si="3"/>
        <v>0</v>
      </c>
      <c r="AH55" s="960"/>
    </row>
    <row r="56" spans="1:34" s="3" customFormat="1">
      <c r="A56" s="966"/>
      <c r="B56" s="966" t="s">
        <v>2790</v>
      </c>
      <c r="C56" s="958"/>
      <c r="E56" s="965">
        <v>14080</v>
      </c>
      <c r="F56" s="960"/>
      <c r="G56" s="960">
        <f>+$E$56</f>
        <v>14080</v>
      </c>
      <c r="H56" s="960"/>
      <c r="I56" s="960">
        <f t="shared" ref="I56:AG56" si="4">+$E$56</f>
        <v>14080</v>
      </c>
      <c r="J56" s="960"/>
      <c r="K56" s="960">
        <f t="shared" si="4"/>
        <v>14080</v>
      </c>
      <c r="L56" s="960"/>
      <c r="M56" s="960">
        <f t="shared" si="4"/>
        <v>14080</v>
      </c>
      <c r="N56" s="960"/>
      <c r="O56" s="960">
        <f t="shared" si="4"/>
        <v>14080</v>
      </c>
      <c r="P56" s="960"/>
      <c r="Q56" s="960">
        <f t="shared" si="4"/>
        <v>14080</v>
      </c>
      <c r="R56" s="960"/>
      <c r="S56" s="960">
        <f t="shared" si="4"/>
        <v>14080</v>
      </c>
      <c r="T56" s="960"/>
      <c r="U56" s="960">
        <f t="shared" si="4"/>
        <v>14080</v>
      </c>
      <c r="V56" s="960"/>
      <c r="W56" s="960">
        <f t="shared" si="4"/>
        <v>14080</v>
      </c>
      <c r="X56" s="960"/>
      <c r="Y56" s="960">
        <f t="shared" si="4"/>
        <v>14080</v>
      </c>
      <c r="Z56" s="960"/>
      <c r="AA56" s="960">
        <f t="shared" si="4"/>
        <v>14080</v>
      </c>
      <c r="AB56" s="960"/>
      <c r="AC56" s="960">
        <f t="shared" si="4"/>
        <v>14080</v>
      </c>
      <c r="AD56" s="960"/>
      <c r="AE56" s="960">
        <f t="shared" si="4"/>
        <v>14080</v>
      </c>
      <c r="AF56" s="960"/>
      <c r="AG56" s="960">
        <f t="shared" si="4"/>
        <v>14080</v>
      </c>
      <c r="AH56" s="960"/>
    </row>
    <row r="57" spans="1:34" s="3" customFormat="1">
      <c r="A57" s="966"/>
      <c r="B57" s="966"/>
      <c r="C57" s="958"/>
      <c r="E57" s="967"/>
      <c r="F57" s="960"/>
      <c r="G57" s="968">
        <f t="shared" si="3"/>
        <v>0</v>
      </c>
      <c r="H57" s="960"/>
      <c r="I57" s="968">
        <f t="shared" si="3"/>
        <v>0</v>
      </c>
      <c r="J57" s="960"/>
      <c r="K57" s="968">
        <f t="shared" si="3"/>
        <v>0</v>
      </c>
      <c r="L57" s="960"/>
      <c r="M57" s="968">
        <f t="shared" si="3"/>
        <v>0</v>
      </c>
      <c r="N57" s="960"/>
      <c r="O57" s="968">
        <f t="shared" si="3"/>
        <v>0</v>
      </c>
      <c r="P57" s="960"/>
      <c r="Q57" s="968">
        <f t="shared" si="3"/>
        <v>0</v>
      </c>
      <c r="R57" s="960"/>
      <c r="S57" s="968">
        <f t="shared" si="3"/>
        <v>0</v>
      </c>
      <c r="T57" s="960"/>
      <c r="U57" s="968">
        <f t="shared" si="3"/>
        <v>0</v>
      </c>
      <c r="V57" s="960"/>
      <c r="W57" s="968">
        <f t="shared" si="3"/>
        <v>0</v>
      </c>
      <c r="X57" s="960"/>
      <c r="Y57" s="968">
        <f t="shared" si="3"/>
        <v>0</v>
      </c>
      <c r="Z57" s="960"/>
      <c r="AA57" s="968">
        <f t="shared" si="3"/>
        <v>0</v>
      </c>
      <c r="AB57" s="960"/>
      <c r="AC57" s="968">
        <f t="shared" si="3"/>
        <v>0</v>
      </c>
      <c r="AD57" s="960"/>
      <c r="AE57" s="968">
        <f t="shared" si="3"/>
        <v>0</v>
      </c>
      <c r="AF57" s="960"/>
      <c r="AG57" s="968">
        <f t="shared" si="3"/>
        <v>0</v>
      </c>
      <c r="AH57" s="960"/>
    </row>
    <row r="58" spans="1:34" s="3" customFormat="1">
      <c r="A58" s="962" t="s">
        <v>852</v>
      </c>
      <c r="C58" s="961"/>
      <c r="E58" s="960">
        <f>SUM(E53:E57)</f>
        <v>46580</v>
      </c>
      <c r="F58" s="960"/>
      <c r="G58" s="960">
        <f>SUM(G53:G57)</f>
        <v>47717.499999999993</v>
      </c>
      <c r="H58" s="960"/>
      <c r="I58" s="960">
        <f>SUM(I53:I57)</f>
        <v>48894.812499999993</v>
      </c>
      <c r="J58" s="960"/>
      <c r="K58" s="960">
        <f>SUM(K53:K57)</f>
        <v>50113.330937499988</v>
      </c>
      <c r="L58" s="960"/>
      <c r="M58" s="960">
        <f>SUM(M53:M57)</f>
        <v>51374.497520312485</v>
      </c>
      <c r="N58" s="960"/>
      <c r="O58" s="960">
        <f>SUM(O53:O57)</f>
        <v>52679.804933523417</v>
      </c>
      <c r="P58" s="960"/>
      <c r="Q58" s="960">
        <f>SUM(Q53:Q57)</f>
        <v>54030.798106196737</v>
      </c>
      <c r="R58" s="960"/>
      <c r="S58" s="960">
        <f>SUM(S53:S57)</f>
        <v>55429.07603991362</v>
      </c>
      <c r="T58" s="960"/>
      <c r="U58" s="960">
        <f>SUM(U53:U57)</f>
        <v>56876.293701310591</v>
      </c>
      <c r="V58" s="960"/>
      <c r="W58" s="960">
        <f>SUM(W53:W57)</f>
        <v>58374.163980856458</v>
      </c>
      <c r="X58" s="960"/>
      <c r="Y58" s="960">
        <f>SUM(Y53:Y57)</f>
        <v>59924.459720186431</v>
      </c>
      <c r="Z58" s="960"/>
      <c r="AA58" s="960">
        <f>SUM(AA53:AA57)</f>
        <v>61529.01581039295</v>
      </c>
      <c r="AB58" s="960"/>
      <c r="AC58" s="960">
        <f>SUM(AC53:AC57)</f>
        <v>63189.731363756699</v>
      </c>
      <c r="AD58" s="960"/>
      <c r="AE58" s="960">
        <f>SUM(AE53:AE57)</f>
        <v>64908.571961488175</v>
      </c>
      <c r="AF58" s="960"/>
      <c r="AG58" s="960">
        <f>SUM(AG53:AG57)</f>
        <v>66687.571980140259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146460.19999999972</v>
      </c>
      <c r="G60" s="962">
        <f>G45-G58</f>
        <v>142361.49400000041</v>
      </c>
      <c r="I60" s="962">
        <f>I45-I58</f>
        <v>137495.7932799994</v>
      </c>
      <c r="K60" s="962">
        <f>K45-K58</f>
        <v>131827.12201510009</v>
      </c>
      <c r="M60" s="962">
        <f>M45-M58</f>
        <v>125318.16280004912</v>
      </c>
      <c r="O60" s="962">
        <f>O45-O58</f>
        <v>117930.2110512167</v>
      </c>
      <c r="Q60" s="962">
        <f>Q45-Q58</f>
        <v>109623.12792994973</v>
      </c>
      <c r="S60" s="962">
        <f>S45-S58</f>
        <v>100355.29174061721</v>
      </c>
      <c r="U60" s="962">
        <f>U45-U58</f>
        <v>90083.547755202337</v>
      </c>
      <c r="W60" s="962">
        <f>W45-W58</f>
        <v>78763.156414769677</v>
      </c>
      <c r="Y60" s="962">
        <f>Y45-Y58</f>
        <v>66347.739856634289</v>
      </c>
      <c r="AA60" s="962">
        <f>AA45-AA58</f>
        <v>52789.226714443728</v>
      </c>
      <c r="AC60" s="962">
        <f>AC45-AC58</f>
        <v>38037.795136752422</v>
      </c>
      <c r="AE60" s="962">
        <f>AE45-AE58</f>
        <v>22041.813967960821</v>
      </c>
      <c r="AG60" s="962">
        <f>AG45-AG58</f>
        <v>4747.7820337977319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0.75</v>
      </c>
      <c r="E62" s="964">
        <f>E60*$C$62</f>
        <v>109845.14999999979</v>
      </c>
      <c r="G62" s="962">
        <f>G60*$C$62</f>
        <v>106771.12050000031</v>
      </c>
      <c r="I62" s="962">
        <f>I60*$C$62</f>
        <v>103121.84495999955</v>
      </c>
      <c r="K62" s="962">
        <f>K60*$C$62</f>
        <v>98870.341511325067</v>
      </c>
      <c r="M62" s="962">
        <f>M60*$C$62</f>
        <v>93988.622100036839</v>
      </c>
      <c r="O62" s="962">
        <f>O60*$C$62</f>
        <v>88447.658288412524</v>
      </c>
      <c r="Q62" s="962">
        <f>Q60*$C$62</f>
        <v>82217.345947462294</v>
      </c>
      <c r="S62" s="962">
        <f>S60*$C$62</f>
        <v>75266.468805462908</v>
      </c>
      <c r="U62" s="962">
        <f>U60*$C$62</f>
        <v>67562.660816401753</v>
      </c>
      <c r="W62" s="962">
        <f>W60*$C$62</f>
        <v>59072.367311077258</v>
      </c>
      <c r="Y62" s="962">
        <f>Y60*$C$62</f>
        <v>49760.804892475717</v>
      </c>
      <c r="AA62" s="962">
        <f>AA60*$C$62</f>
        <v>39591.920035832794</v>
      </c>
      <c r="AC62" s="962">
        <f>AC60*$C$62</f>
        <v>28528.346352564316</v>
      </c>
      <c r="AE62" s="962">
        <f>AE60*$C$62</f>
        <v>16531.360475970614</v>
      </c>
      <c r="AG62" s="962">
        <f>AG60*$C$62</f>
        <v>3560.8365253482989</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2791</v>
      </c>
      <c r="B66" s="964"/>
      <c r="C66" s="963"/>
      <c r="E66" s="964">
        <f>(E60-E62)*$C$65</f>
        <v>9153.7624999999825</v>
      </c>
      <c r="G66" s="960">
        <f t="shared" ref="G66:AG66" si="5">(G60-G62)*$C$65</f>
        <v>8897.5933750000258</v>
      </c>
      <c r="I66" s="960">
        <f t="shared" si="5"/>
        <v>8593.4870799999626</v>
      </c>
      <c r="K66" s="960">
        <f t="shared" si="5"/>
        <v>8239.1951259437556</v>
      </c>
      <c r="M66" s="960">
        <f t="shared" si="5"/>
        <v>7832.3851750030699</v>
      </c>
      <c r="O66" s="960">
        <f t="shared" si="5"/>
        <v>7370.6381907010436</v>
      </c>
      <c r="Q66" s="960">
        <f t="shared" si="5"/>
        <v>6851.4454956218578</v>
      </c>
      <c r="S66" s="960">
        <f t="shared" si="5"/>
        <v>6272.2057337885744</v>
      </c>
      <c r="U66" s="960">
        <f t="shared" si="5"/>
        <v>5630.221734700146</v>
      </c>
      <c r="W66" s="960">
        <f t="shared" si="5"/>
        <v>4922.6972759231048</v>
      </c>
      <c r="Y66" s="960">
        <f t="shared" si="5"/>
        <v>4146.7337410396431</v>
      </c>
      <c r="AA66" s="960">
        <f t="shared" si="5"/>
        <v>3299.3266696527335</v>
      </c>
      <c r="AC66" s="960">
        <f t="shared" si="5"/>
        <v>2377.3621960470264</v>
      </c>
      <c r="AE66" s="960">
        <f t="shared" si="5"/>
        <v>1377.6133729975518</v>
      </c>
      <c r="AG66" s="960">
        <f t="shared" si="5"/>
        <v>296.73637711235824</v>
      </c>
    </row>
    <row r="67" spans="1:34" s="960" customFormat="1">
      <c r="A67" s="965" t="s">
        <v>2792</v>
      </c>
      <c r="B67" s="965"/>
      <c r="C67" s="970"/>
      <c r="E67" s="964">
        <f>($E$60-$E$62)*$C$65</f>
        <v>9153.7624999999825</v>
      </c>
      <c r="G67" s="960">
        <f>($G$60-$G$62)*$C$65</f>
        <v>8897.5933750000258</v>
      </c>
      <c r="I67" s="960">
        <f>($I$60-$I$62)*$C$65</f>
        <v>8593.4870799999626</v>
      </c>
      <c r="K67" s="960">
        <f>($K$60-$K$62)*$C$65</f>
        <v>8239.1951259437556</v>
      </c>
      <c r="M67" s="960">
        <f>($M$60-$M$62)*$C$65</f>
        <v>7832.3851750030699</v>
      </c>
      <c r="O67" s="960">
        <f>($O$60-$O$62)*$C$65</f>
        <v>7370.6381907010436</v>
      </c>
      <c r="Q67" s="960">
        <f>($Q$60-$Q$62)*$C$65</f>
        <v>6851.4454956218578</v>
      </c>
      <c r="S67" s="960">
        <f>($S$60-$S$62)*$C$65</f>
        <v>6272.2057337885744</v>
      </c>
      <c r="U67" s="960">
        <f>($U$60-$U$62)*$C$65</f>
        <v>5630.221734700146</v>
      </c>
      <c r="W67" s="960">
        <f>($W$60-$W$62)*$C$65</f>
        <v>4922.6972759231048</v>
      </c>
      <c r="Y67" s="960">
        <f>($Y$60-$Y$62)*$C$65</f>
        <v>4146.7337410396431</v>
      </c>
      <c r="AA67" s="960">
        <f>($AA$60-$AA$62)*$C$65</f>
        <v>3299.3266696527335</v>
      </c>
      <c r="AC67" s="960">
        <f>($AC$60-$AC$62)*$C$65</f>
        <v>2377.3621960470264</v>
      </c>
      <c r="AE67" s="960">
        <f>($AE$60-$AE$62)*$C$65</f>
        <v>1377.6133729975518</v>
      </c>
      <c r="AG67" s="960">
        <f>($AG$60-$AG$62)*$C$65</f>
        <v>296.73637711235824</v>
      </c>
    </row>
    <row r="68" spans="1:34" s="960" customFormat="1">
      <c r="A68" s="965" t="s">
        <v>2793</v>
      </c>
      <c r="B68" s="965"/>
      <c r="C68" s="970"/>
      <c r="E68" s="964">
        <f t="shared" ref="E68:E69" si="6">($E$60-$E$62)*$C$65</f>
        <v>9153.7624999999825</v>
      </c>
      <c r="G68" s="960">
        <f t="shared" ref="G68:G69" si="7">($G$60-$G$62)*$C$65</f>
        <v>8897.5933750000258</v>
      </c>
      <c r="I68" s="960">
        <f t="shared" ref="I68:I69" si="8">($I$60-$I$62)*$C$65</f>
        <v>8593.4870799999626</v>
      </c>
      <c r="K68" s="960">
        <f t="shared" ref="K68:K69" si="9">($K$60-$K$62)*$C$65</f>
        <v>8239.1951259437556</v>
      </c>
      <c r="M68" s="960">
        <f t="shared" ref="M68:M69" si="10">($M$60-$M$62)*$C$65</f>
        <v>7832.3851750030699</v>
      </c>
      <c r="O68" s="960">
        <f t="shared" ref="O68:O69" si="11">($O$60-$O$62)*$C$65</f>
        <v>7370.6381907010436</v>
      </c>
      <c r="Q68" s="960">
        <f t="shared" ref="Q68:Q69" si="12">($Q$60-$Q$62)*$C$65</f>
        <v>6851.4454956218578</v>
      </c>
      <c r="S68" s="960">
        <f t="shared" ref="S68:S69" si="13">($S$60-$S$62)*$C$65</f>
        <v>6272.2057337885744</v>
      </c>
      <c r="U68" s="960">
        <f t="shared" ref="U68:U69" si="14">($U$60-$U$62)*$C$65</f>
        <v>5630.221734700146</v>
      </c>
      <c r="W68" s="960">
        <f t="shared" ref="W68:W69" si="15">($W$60-$W$62)*$C$65</f>
        <v>4922.6972759231048</v>
      </c>
      <c r="Y68" s="960">
        <f t="shared" ref="Y68:Y69" si="16">($Y$60-$Y$62)*$C$65</f>
        <v>4146.7337410396431</v>
      </c>
      <c r="AA68" s="960">
        <f t="shared" ref="AA68:AA69" si="17">($AA$60-$AA$62)*$C$65</f>
        <v>3299.3266696527335</v>
      </c>
      <c r="AC68" s="960">
        <f>($AC$60-$AC$62)*$C$65</f>
        <v>2377.3621960470264</v>
      </c>
      <c r="AE68" s="960">
        <f t="shared" ref="AE68:AE69" si="18">($AE$60-$AE$62)*$C$65</f>
        <v>1377.6133729975518</v>
      </c>
      <c r="AG68" s="960">
        <f t="shared" ref="AG68:AG69" si="19">($AG$60-$AG$62)*$C$65</f>
        <v>296.73637711235824</v>
      </c>
    </row>
    <row r="69" spans="1:34" s="960" customFormat="1">
      <c r="A69" s="965" t="s">
        <v>2762</v>
      </c>
      <c r="B69" s="965"/>
      <c r="C69" s="970"/>
      <c r="E69" s="1264">
        <f t="shared" si="6"/>
        <v>9153.7624999999825</v>
      </c>
      <c r="G69" s="1265">
        <f t="shared" si="7"/>
        <v>8897.5933750000258</v>
      </c>
      <c r="I69" s="1265">
        <f t="shared" si="8"/>
        <v>8593.4870799999626</v>
      </c>
      <c r="K69" s="1265">
        <f t="shared" si="9"/>
        <v>8239.1951259437556</v>
      </c>
      <c r="M69" s="1265">
        <f t="shared" si="10"/>
        <v>7832.3851750030699</v>
      </c>
      <c r="O69" s="1265">
        <f t="shared" si="11"/>
        <v>7370.6381907010436</v>
      </c>
      <c r="Q69" s="1265">
        <f t="shared" si="12"/>
        <v>6851.4454956218578</v>
      </c>
      <c r="S69" s="1265">
        <f t="shared" si="13"/>
        <v>6272.2057337885744</v>
      </c>
      <c r="U69" s="1265">
        <f t="shared" si="14"/>
        <v>5630.221734700146</v>
      </c>
      <c r="W69" s="1265">
        <f t="shared" si="15"/>
        <v>4922.6972759231048</v>
      </c>
      <c r="Y69" s="1265">
        <f t="shared" si="16"/>
        <v>4146.7337410396431</v>
      </c>
      <c r="AA69" s="1265">
        <f t="shared" si="17"/>
        <v>3299.3266696527335</v>
      </c>
      <c r="AC69" s="1265">
        <f>($AC$60-$AC$62)*$C$65</f>
        <v>2377.3621960470264</v>
      </c>
      <c r="AE69" s="1265">
        <f t="shared" si="18"/>
        <v>1377.6133729975518</v>
      </c>
      <c r="AG69" s="1265">
        <f t="shared" si="19"/>
        <v>296.73637711235824</v>
      </c>
    </row>
    <row r="70" spans="1:34" s="960" customFormat="1">
      <c r="A70" s="962" t="s">
        <v>852</v>
      </c>
      <c r="C70" s="970"/>
      <c r="E70" s="960">
        <f>SUM(E66:E69)</f>
        <v>36615.04999999993</v>
      </c>
      <c r="G70" s="960">
        <f>SUM(G66:G69)</f>
        <v>35590.373500000103</v>
      </c>
      <c r="I70" s="960">
        <f>SUM(I66:I69)</f>
        <v>34373.94831999985</v>
      </c>
      <c r="K70" s="960">
        <f>SUM(K66:K69)</f>
        <v>32956.780503775022</v>
      </c>
      <c r="M70" s="960">
        <f>SUM(M66:M69)</f>
        <v>31329.54070001228</v>
      </c>
      <c r="O70" s="960">
        <f>SUM(O66:O69)</f>
        <v>29482.552762804175</v>
      </c>
      <c r="Q70" s="960">
        <f>SUM(Q66:Q69)</f>
        <v>27405.781982487431</v>
      </c>
      <c r="S70" s="960">
        <f>SUM(S66:S69)</f>
        <v>25088.822935154298</v>
      </c>
      <c r="U70" s="960">
        <f>SUM(U66:U69)</f>
        <v>22520.886938800584</v>
      </c>
      <c r="W70" s="960">
        <f>SUM(W66:W69)</f>
        <v>19690.789103692419</v>
      </c>
      <c r="Y70" s="960">
        <f>SUM(Y66:Y69)</f>
        <v>16586.934964158572</v>
      </c>
      <c r="AA70" s="960">
        <f>SUM(AA66:AA69)</f>
        <v>13197.306678610934</v>
      </c>
      <c r="AC70" s="960">
        <f>SUM(AC66:AC69)</f>
        <v>9509.4487841881055</v>
      </c>
      <c r="AE70" s="960">
        <f>SUM(AE66:AE69)</f>
        <v>5510.4534919902071</v>
      </c>
      <c r="AG70" s="960">
        <f>SUM(AG66:AG69)</f>
        <v>1186.945508449433</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56:AG56" formula="1"/>
  </ignoredError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197000</v>
      </c>
      <c r="C5" s="266">
        <f>'Sources and Uses Budget'!$C4</f>
        <v>197000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197000</v>
      </c>
      <c r="C9" s="270">
        <f>SUM(C5:C8)</f>
        <v>197000</v>
      </c>
      <c r="D9" s="270">
        <f t="shared" si="0"/>
        <v>0</v>
      </c>
      <c r="E9" s="268"/>
      <c r="F9" s="267"/>
    </row>
    <row r="10" spans="1:6" s="352" customFormat="1">
      <c r="A10" s="364" t="s">
        <v>594</v>
      </c>
      <c r="B10" s="266">
        <f>'Sources and Uses Budget'!$C9</f>
        <v>25603000</v>
      </c>
      <c r="C10" s="266">
        <f>'Sources and Uses Budget'!$C9</f>
        <v>25603000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25603000</v>
      </c>
      <c r="C12" s="270">
        <f>SUM(C10:C11)</f>
        <v>25603000</v>
      </c>
      <c r="D12" s="270">
        <f t="shared" si="0"/>
        <v>0</v>
      </c>
      <c r="E12" s="268"/>
      <c r="F12" s="267"/>
    </row>
    <row r="13" spans="1:6" s="352" customFormat="1">
      <c r="A13" s="365" t="s">
        <v>84</v>
      </c>
      <c r="B13" s="270">
        <f>SUM(B9+B12)</f>
        <v>25800000</v>
      </c>
      <c r="C13" s="270">
        <f>SUM(C9+C12)</f>
        <v>25800000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1220381</v>
      </c>
      <c r="C18" s="266">
        <f>'Sources and Uses Budget'!$C17</f>
        <v>1220381</v>
      </c>
      <c r="D18" s="270">
        <f t="shared" si="0"/>
        <v>0</v>
      </c>
      <c r="E18" s="268"/>
      <c r="F18" s="267"/>
    </row>
    <row r="19" spans="1:6" s="352" customFormat="1">
      <c r="A19" s="145" t="s">
        <v>599</v>
      </c>
      <c r="B19" s="266">
        <f>'Sources and Uses Budget'!$C18</f>
        <v>19267584</v>
      </c>
      <c r="C19" s="266">
        <f>'Sources and Uses Budget'!$C18</f>
        <v>19267584</v>
      </c>
      <c r="D19" s="270">
        <f t="shared" si="0"/>
        <v>0</v>
      </c>
      <c r="E19" s="268"/>
      <c r="F19" s="267"/>
    </row>
    <row r="20" spans="1:6" s="352" customFormat="1">
      <c r="A20" s="145" t="s">
        <v>600</v>
      </c>
      <c r="B20" s="266">
        <f>'Sources and Uses Budget'!$C19</f>
        <v>1355278</v>
      </c>
      <c r="C20" s="266">
        <f>'Sources and Uses Budget'!$C19</f>
        <v>1355278</v>
      </c>
      <c r="D20" s="270">
        <f t="shared" si="0"/>
        <v>0</v>
      </c>
      <c r="E20" s="268"/>
      <c r="F20" s="267"/>
    </row>
    <row r="21" spans="1:6" s="352" customFormat="1">
      <c r="A21" s="145" t="s">
        <v>137</v>
      </c>
      <c r="B21" s="266">
        <f>'Sources and Uses Budget'!$C20</f>
        <v>451759</v>
      </c>
      <c r="C21" s="266">
        <f>'Sources and Uses Budget'!$C20</f>
        <v>451759</v>
      </c>
      <c r="D21" s="270">
        <f t="shared" si="0"/>
        <v>0</v>
      </c>
      <c r="E21" s="268"/>
      <c r="F21" s="267"/>
    </row>
    <row r="22" spans="1:6" s="352" customFormat="1">
      <c r="A22" s="145" t="s">
        <v>138</v>
      </c>
      <c r="B22" s="266">
        <f>'Sources and Uses Budget'!$C21</f>
        <v>1355278</v>
      </c>
      <c r="C22" s="266">
        <f>'Sources and Uses Budget'!$C21</f>
        <v>1355278</v>
      </c>
      <c r="D22" s="270">
        <f t="shared" si="0"/>
        <v>0</v>
      </c>
      <c r="E22" s="268"/>
      <c r="F22" s="267"/>
    </row>
    <row r="23" spans="1:6" s="352" customFormat="1">
      <c r="A23" s="145" t="s">
        <v>139</v>
      </c>
      <c r="B23" s="266">
        <f>'Sources and Uses Budget'!$C22</f>
        <v>2100000</v>
      </c>
      <c r="C23" s="266">
        <f>'Sources and Uses Budget'!$C22</f>
        <v>2100000</v>
      </c>
      <c r="D23" s="270">
        <f t="shared" si="0"/>
        <v>0</v>
      </c>
      <c r="E23" s="268"/>
      <c r="F23" s="267"/>
    </row>
    <row r="24" spans="1:6" s="352" customFormat="1">
      <c r="A24" s="145" t="s">
        <v>140</v>
      </c>
      <c r="B24" s="266">
        <f>'Sources and Uses Budget'!$C23</f>
        <v>555727</v>
      </c>
      <c r="C24" s="266">
        <f>'Sources and Uses Budget'!$C23</f>
        <v>555727</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Payment and Performance Bond</v>
      </c>
      <c r="B26" s="266">
        <f>'Sources and Uses Budget'!$C25</f>
        <v>288462</v>
      </c>
      <c r="C26" s="266">
        <f>'Sources and Uses Budget'!$C25</f>
        <v>288462</v>
      </c>
      <c r="D26" s="270">
        <f t="shared" si="0"/>
        <v>0</v>
      </c>
      <c r="E26" s="268"/>
      <c r="F26" s="267"/>
    </row>
    <row r="27" spans="1:6" s="352" customFormat="1">
      <c r="A27" s="1018" t="s">
        <v>133</v>
      </c>
      <c r="B27" s="270">
        <f>SUM(B18:B26)</f>
        <v>26594469</v>
      </c>
      <c r="C27" s="270">
        <f>SUM(C18:C26)</f>
        <v>26594469</v>
      </c>
      <c r="D27" s="270">
        <f>SUM(D18:D26)</f>
        <v>0</v>
      </c>
      <c r="E27" s="268"/>
      <c r="F27" s="267"/>
    </row>
    <row r="28" spans="1:6" s="352" customFormat="1">
      <c r="A28" s="271" t="s">
        <v>141</v>
      </c>
      <c r="B28" s="266">
        <f>'Sources and Uses Budget'!$C$27</f>
        <v>1173809</v>
      </c>
      <c r="C28" s="266">
        <f>'Sources and Uses Budget'!$C$27</f>
        <v>1173809</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293820</v>
      </c>
      <c r="C41" s="266">
        <f>'Sources and Uses Budget'!$C40</f>
        <v>293820</v>
      </c>
      <c r="D41" s="270">
        <f t="shared" si="0"/>
        <v>0</v>
      </c>
      <c r="E41" s="268"/>
      <c r="F41" s="267"/>
    </row>
    <row r="42" spans="1:6" s="352" customFormat="1">
      <c r="A42" s="269" t="s">
        <v>146</v>
      </c>
      <c r="B42" s="266">
        <f>'Sources and Uses Budget'!$C41</f>
        <v>92940</v>
      </c>
      <c r="C42" s="266">
        <f>'Sources and Uses Budget'!$C41</f>
        <v>92940</v>
      </c>
      <c r="D42" s="270">
        <f t="shared" si="0"/>
        <v>0</v>
      </c>
      <c r="E42" s="268"/>
      <c r="F42" s="267"/>
    </row>
    <row r="43" spans="1:6" s="352" customFormat="1">
      <c r="A43" s="271" t="s">
        <v>147</v>
      </c>
      <c r="B43" s="270">
        <f>SUM(B41:B42)</f>
        <v>386760</v>
      </c>
      <c r="C43" s="270">
        <f>SUM(C41:C42)</f>
        <v>386760</v>
      </c>
      <c r="D43" s="270">
        <f t="shared" si="0"/>
        <v>0</v>
      </c>
      <c r="E43" s="268"/>
      <c r="F43" s="267"/>
    </row>
    <row r="44" spans="1:6" s="352" customFormat="1">
      <c r="A44" s="271" t="s">
        <v>148</v>
      </c>
      <c r="B44" s="266">
        <f>'Sources and Uses Budget'!$C43</f>
        <v>38300</v>
      </c>
      <c r="C44" s="266">
        <f>'Sources and Uses Budget'!$C43</f>
        <v>38300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1751068</v>
      </c>
      <c r="C46" s="266">
        <f>'Sources and Uses Budget'!$C45</f>
        <v>1751068</v>
      </c>
      <c r="D46" s="270">
        <f t="shared" si="0"/>
        <v>0</v>
      </c>
      <c r="E46" s="268"/>
      <c r="F46" s="267"/>
    </row>
    <row r="47" spans="1:6" s="352" customFormat="1">
      <c r="A47" s="145" t="s">
        <v>151</v>
      </c>
      <c r="B47" s="266">
        <f>'Sources and Uses Budget'!$C46</f>
        <v>267496</v>
      </c>
      <c r="C47" s="266">
        <f>'Sources and Uses Budget'!$C46</f>
        <v>267496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121209</v>
      </c>
      <c r="C50" s="266">
        <f>'Sources and Uses Budget'!$C49</f>
        <v>121209</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339682</v>
      </c>
      <c r="C53" s="266">
        <f>'Sources and Uses Budget'!$C52</f>
        <v>339682</v>
      </c>
      <c r="D53" s="270">
        <f t="shared" si="0"/>
        <v>0</v>
      </c>
      <c r="E53" s="268"/>
      <c r="F53" s="267"/>
    </row>
    <row r="54" spans="1:6" s="352" customFormat="1">
      <c r="A54" s="155" t="str">
        <f>'Sources and Uses Budget'!A53</f>
        <v xml:space="preserve">Other: Inspection &amp; Bond Counsel </v>
      </c>
      <c r="B54" s="266">
        <f>'Sources and Uses Budget'!$C53</f>
        <v>83000</v>
      </c>
      <c r="C54" s="266">
        <f>'Sources and Uses Budget'!$C53</f>
        <v>83000</v>
      </c>
      <c r="D54" s="270">
        <f t="shared" si="0"/>
        <v>0</v>
      </c>
      <c r="E54" s="268"/>
      <c r="F54" s="267"/>
    </row>
    <row r="55" spans="1:6" s="353" customFormat="1">
      <c r="A55" s="271" t="s">
        <v>157</v>
      </c>
      <c r="B55" s="273">
        <f>SUM(B46:B54)</f>
        <v>2637455</v>
      </c>
      <c r="C55" s="273">
        <f>SUM(C46:C54)</f>
        <v>2637455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112639</v>
      </c>
      <c r="C57" s="266">
        <f>'Sources and Uses Budget'!$C56</f>
        <v>112639</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Conversion Fee</v>
      </c>
      <c r="B62" s="266">
        <f>'Sources and Uses Budget'!$C61</f>
        <v>10000</v>
      </c>
      <c r="C62" s="266">
        <f>'Sources and Uses Budget'!$C61</f>
        <v>10000</v>
      </c>
      <c r="D62" s="270">
        <f t="shared" si="0"/>
        <v>0</v>
      </c>
      <c r="E62" s="268"/>
      <c r="F62" s="267"/>
    </row>
    <row r="63" spans="1:6" s="352" customFormat="1" ht="13.7" customHeight="1">
      <c r="A63" s="271" t="s">
        <v>301</v>
      </c>
      <c r="B63" s="270">
        <f>SUM(B57:B62)</f>
        <v>162639</v>
      </c>
      <c r="C63" s="270">
        <f>SUM(C57:C62)</f>
        <v>162639</v>
      </c>
      <c r="D63" s="270">
        <f t="shared" si="0"/>
        <v>0</v>
      </c>
      <c r="E63" s="268"/>
      <c r="F63" s="267"/>
    </row>
    <row r="64" spans="1:6" s="352" customFormat="1">
      <c r="A64" s="274" t="s">
        <v>302</v>
      </c>
      <c r="B64" s="270">
        <f>SUM(B9+B12+B14+B15+B17+B26+B28+B39+B43+B44+B55+B63)</f>
        <v>30487425</v>
      </c>
      <c r="C64" s="270">
        <f>SUM(C9+C12+C14+C15+C17+C26+C28+C39+C43+C44+C55+C63)</f>
        <v>30487425</v>
      </c>
      <c r="D64" s="270">
        <f t="shared" si="0"/>
        <v>0</v>
      </c>
      <c r="E64" s="268"/>
      <c r="F64" s="267"/>
    </row>
    <row r="65" spans="1:6" s="352" customFormat="1" ht="24">
      <c r="A65" s="141" t="s">
        <v>1642</v>
      </c>
      <c r="B65" s="264"/>
      <c r="C65" s="264"/>
      <c r="D65" s="264"/>
      <c r="E65" s="282"/>
      <c r="F65" s="264"/>
    </row>
    <row r="66" spans="1:6" s="352" customFormat="1">
      <c r="A66" s="145" t="s">
        <v>171</v>
      </c>
      <c r="B66" s="266">
        <f>'Sources and Uses Budget'!$C65</f>
        <v>79000</v>
      </c>
      <c r="C66" s="266">
        <f>'Sources and Uses Budget'!$C65</f>
        <v>79000</v>
      </c>
      <c r="D66" s="270">
        <f t="shared" si="0"/>
        <v>0</v>
      </c>
      <c r="E66" s="268"/>
      <c r="F66" s="267"/>
    </row>
    <row r="67" spans="1:6" s="352" customFormat="1" ht="24">
      <c r="A67" s="283" t="s">
        <v>1639</v>
      </c>
      <c r="B67" s="266">
        <f>'Sources and Uses Budget'!$C66</f>
        <v>0</v>
      </c>
      <c r="C67" s="266">
        <f>'Sources and Uses Budget'!$C66</f>
        <v>0</v>
      </c>
      <c r="D67" s="270"/>
      <c r="E67" s="268"/>
      <c r="F67" s="267"/>
    </row>
    <row r="68" spans="1:6" s="352" customFormat="1" ht="24">
      <c r="A68" s="283" t="s">
        <v>1640</v>
      </c>
      <c r="B68" s="266">
        <f>'Sources and Uses Budget'!$C67</f>
        <v>0</v>
      </c>
      <c r="C68" s="266">
        <f>'Sources and Uses Budget'!$C67</f>
        <v>0</v>
      </c>
      <c r="D68" s="270"/>
      <c r="E68" s="268"/>
      <c r="F68" s="267"/>
    </row>
    <row r="69" spans="1:6" s="352" customFormat="1">
      <c r="A69" s="283" t="s">
        <v>1646</v>
      </c>
      <c r="B69" s="266">
        <f>'Sources and Uses Budget'!$C68</f>
        <v>27480</v>
      </c>
      <c r="C69" s="266">
        <f>'Sources and Uses Budget'!$C68</f>
        <v>27480</v>
      </c>
      <c r="D69" s="270"/>
      <c r="E69" s="268"/>
      <c r="F69" s="267"/>
    </row>
    <row r="70" spans="1:6" s="352" customFormat="1">
      <c r="A70" s="155" t="str">
        <f>'Sources and Uses Budget'!A69</f>
        <v xml:space="preserve">Other: Borrower Legal Counsel </v>
      </c>
      <c r="B70" s="266">
        <f>'Sources and Uses Budget'!$C69</f>
        <v>393000</v>
      </c>
      <c r="C70" s="266">
        <f>'Sources and Uses Budget'!$C69</f>
        <v>393000</v>
      </c>
      <c r="D70" s="270">
        <f t="shared" si="0"/>
        <v>0</v>
      </c>
      <c r="E70" s="268"/>
      <c r="F70" s="267"/>
    </row>
    <row r="71" spans="1:6" s="352" customFormat="1">
      <c r="A71" s="149" t="s">
        <v>1643</v>
      </c>
      <c r="B71" s="270">
        <f>SUM(B66:B70)</f>
        <v>499480</v>
      </c>
      <c r="C71" s="270">
        <f>SUM(C66:C70)</f>
        <v>499480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1689374</v>
      </c>
      <c r="C73" s="266">
        <f>'Sources and Uses Budget'!$C72</f>
        <v>1689374</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984</v>
      </c>
      <c r="B75" s="266">
        <f>'Sources and Uses Budget'!$C74</f>
        <v>159000</v>
      </c>
      <c r="C75" s="266">
        <f>'Sources and Uses Budget'!$C74</f>
        <v>159000</v>
      </c>
      <c r="D75" s="270">
        <f t="shared" si="0"/>
        <v>0</v>
      </c>
      <c r="E75" s="268"/>
      <c r="F75" s="267"/>
    </row>
    <row r="76" spans="1:6" s="352" customFormat="1">
      <c r="A76" s="269" t="s">
        <v>605</v>
      </c>
      <c r="B76" s="266">
        <f>'Sources and Uses Budget'!$C75</f>
        <v>749672</v>
      </c>
      <c r="C76" s="266">
        <f>'Sources and Uses Budget'!$C75</f>
        <v>749672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2598046</v>
      </c>
      <c r="C78" s="270">
        <f>SUM(C73:C77)</f>
        <v>2598046</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2628447</v>
      </c>
      <c r="C80" s="266">
        <f>'Sources and Uses Budget'!$C79</f>
        <v>2628447</v>
      </c>
      <c r="D80" s="270">
        <f t="shared" si="1"/>
        <v>0</v>
      </c>
      <c r="E80" s="268"/>
      <c r="F80" s="267"/>
    </row>
    <row r="81" spans="1:6" s="352" customFormat="1">
      <c r="A81" s="510" t="s">
        <v>58</v>
      </c>
      <c r="B81" s="266">
        <f>'Sources and Uses Budget'!$C80</f>
        <v>184057</v>
      </c>
      <c r="C81" s="266">
        <f>'Sources and Uses Budget'!$C80</f>
        <v>184057</v>
      </c>
      <c r="D81" s="270">
        <f>C81-B81</f>
        <v>0</v>
      </c>
      <c r="E81" s="268"/>
      <c r="F81" s="267"/>
    </row>
    <row r="82" spans="1:6" s="352" customFormat="1">
      <c r="A82" s="271" t="s">
        <v>1207</v>
      </c>
      <c r="B82" s="270">
        <f>SUM(B80:B81)</f>
        <v>2812504</v>
      </c>
      <c r="C82" s="270">
        <f>SUM(C80:C81)</f>
        <v>2812504</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119800</v>
      </c>
      <c r="C84" s="266">
        <f>'Sources and Uses Budget'!$C83</f>
        <v>119800</v>
      </c>
      <c r="D84" s="270">
        <f t="shared" si="1"/>
        <v>0</v>
      </c>
      <c r="E84" s="268"/>
      <c r="F84" s="267"/>
    </row>
    <row r="85" spans="1:6" s="352" customFormat="1">
      <c r="A85" s="269" t="s">
        <v>766</v>
      </c>
      <c r="B85" s="266">
        <f>'Sources and Uses Budget'!$C84</f>
        <v>80000</v>
      </c>
      <c r="C85" s="266">
        <f>'Sources and Uses Budget'!$C84</f>
        <v>80000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196000</v>
      </c>
      <c r="C87" s="266">
        <f>'Sources and Uses Budget'!$C86</f>
        <v>196000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30000</v>
      </c>
      <c r="C89" s="266">
        <f>'Sources and Uses Budget'!$C88</f>
        <v>30000</v>
      </c>
      <c r="D89" s="270">
        <f t="shared" si="1"/>
        <v>0</v>
      </c>
      <c r="E89" s="268"/>
      <c r="F89" s="267"/>
    </row>
    <row r="90" spans="1:6" s="352" customFormat="1">
      <c r="A90" s="269" t="s">
        <v>771</v>
      </c>
      <c r="B90" s="266">
        <f>'Sources and Uses Budget'!$C89</f>
        <v>509500</v>
      </c>
      <c r="C90" s="266">
        <f>'Sources and Uses Budget'!$C89</f>
        <v>509500</v>
      </c>
      <c r="D90" s="270">
        <f t="shared" si="1"/>
        <v>0</v>
      </c>
      <c r="E90" s="268"/>
      <c r="F90" s="267"/>
    </row>
    <row r="91" spans="1:6" s="352" customFormat="1">
      <c r="A91" s="269" t="s">
        <v>772</v>
      </c>
      <c r="B91" s="266">
        <f>'Sources and Uses Budget'!$C90</f>
        <v>14500</v>
      </c>
      <c r="C91" s="266">
        <f>'Sources and Uses Budget'!$C90</f>
        <v>14500</v>
      </c>
      <c r="D91" s="270">
        <f t="shared" si="1"/>
        <v>0</v>
      </c>
      <c r="E91" s="268"/>
      <c r="F91" s="267"/>
    </row>
    <row r="92" spans="1:6" s="352" customFormat="1">
      <c r="A92" s="269" t="s">
        <v>371</v>
      </c>
      <c r="B92" s="266">
        <f>'Sources and Uses Budget'!$C91</f>
        <v>43000</v>
      </c>
      <c r="C92" s="266">
        <f>'Sources and Uses Budget'!$C91</f>
        <v>43000</v>
      </c>
      <c r="D92" s="270">
        <f t="shared" si="1"/>
        <v>0</v>
      </c>
      <c r="E92" s="268"/>
      <c r="F92" s="267"/>
    </row>
    <row r="93" spans="1:6" s="352" customFormat="1">
      <c r="A93" s="510" t="s">
        <v>1209</v>
      </c>
      <c r="B93" s="266">
        <f>'Sources and Uses Budget'!$C92</f>
        <v>18400</v>
      </c>
      <c r="C93" s="266">
        <f>'Sources and Uses Budget'!$C92</f>
        <v>18400</v>
      </c>
      <c r="D93" s="270">
        <f t="shared" si="1"/>
        <v>0</v>
      </c>
      <c r="E93" s="268"/>
      <c r="F93" s="267"/>
    </row>
    <row r="94" spans="1:6" s="352" customFormat="1">
      <c r="A94" s="272" t="s">
        <v>34</v>
      </c>
      <c r="B94" s="266">
        <f>'Sources and Uses Budget'!$C93</f>
        <v>64400</v>
      </c>
      <c r="C94" s="266">
        <f>'Sources and Uses Budget'!$C93</f>
        <v>64400</v>
      </c>
      <c r="D94" s="270">
        <f t="shared" si="1"/>
        <v>0</v>
      </c>
      <c r="E94" s="268"/>
      <c r="F94" s="267"/>
    </row>
    <row r="95" spans="1:6" s="352" customFormat="1">
      <c r="A95" s="272" t="s">
        <v>34</v>
      </c>
      <c r="B95" s="266">
        <f>'Sources and Uses Budget'!$C94</f>
        <v>94500</v>
      </c>
      <c r="C95" s="266">
        <f>'Sources and Uses Budget'!$C94</f>
        <v>94500</v>
      </c>
      <c r="D95" s="270">
        <f t="shared" si="1"/>
        <v>0</v>
      </c>
      <c r="E95" s="268"/>
      <c r="F95" s="267"/>
    </row>
    <row r="96" spans="1:6" s="352" customFormat="1">
      <c r="A96" s="272" t="s">
        <v>34</v>
      </c>
      <c r="B96" s="266">
        <f>'Sources and Uses Budget'!$C95</f>
        <v>66700</v>
      </c>
      <c r="C96" s="266">
        <f>'Sources and Uses Budget'!$C95</f>
        <v>66700</v>
      </c>
      <c r="D96" s="270">
        <f t="shared" si="1"/>
        <v>0</v>
      </c>
      <c r="E96" s="268"/>
      <c r="F96" s="267"/>
    </row>
    <row r="97" spans="1:6" s="352" customFormat="1">
      <c r="A97" s="271" t="s">
        <v>773</v>
      </c>
      <c r="B97" s="270">
        <f>SUM(B84:B96)</f>
        <v>1236800</v>
      </c>
      <c r="C97" s="270">
        <f>SUM(C84:C96)</f>
        <v>1236800</v>
      </c>
      <c r="D97" s="270">
        <f t="shared" si="1"/>
        <v>0</v>
      </c>
      <c r="E97" s="268"/>
      <c r="F97" s="267"/>
    </row>
    <row r="98" spans="1:6" s="352" customFormat="1">
      <c r="A98" s="271" t="s">
        <v>774</v>
      </c>
      <c r="B98" s="270">
        <f>SUM(B64+B71+B78+B82+B97)</f>
        <v>37634255</v>
      </c>
      <c r="C98" s="270">
        <f>SUM(C64+C71+C78+C82+C97)</f>
        <v>37634255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8902153</v>
      </c>
      <c r="C100" s="266">
        <f>'Sources and Uses Budget'!$C99</f>
        <v>8902153</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8902153</v>
      </c>
      <c r="C105" s="270">
        <f>SUM(C100:C104)</f>
        <v>8902153</v>
      </c>
      <c r="D105" s="270">
        <f t="shared" si="1"/>
        <v>0</v>
      </c>
      <c r="E105" s="268"/>
      <c r="F105" s="267"/>
    </row>
    <row r="106" spans="1:6" s="352" customFormat="1">
      <c r="A106" s="271" t="s">
        <v>779</v>
      </c>
      <c r="B106" s="273">
        <f>SUM(B98+B105)</f>
        <v>46536408</v>
      </c>
      <c r="C106" s="273">
        <f>SUM(C98+C105)</f>
        <v>46536408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80" t="s">
        <v>1866</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2044</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6" t="s">
        <v>1871</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82" t="s">
        <v>1188</v>
      </c>
      <c r="B56" s="1282"/>
      <c r="C56" s="1282"/>
      <c r="D56" s="1282"/>
      <c r="E56" s="1282"/>
      <c r="F56" s="1282"/>
      <c r="G56" s="1282"/>
      <c r="H56" s="1282"/>
      <c r="I56" s="1282"/>
      <c r="J56" s="1282"/>
    </row>
    <row r="57" spans="1:10" ht="12.75">
      <c r="A57" s="1282"/>
      <c r="B57" s="1282"/>
      <c r="C57" s="1282"/>
      <c r="D57" s="1282"/>
      <c r="E57" s="1282"/>
      <c r="F57" s="1282"/>
      <c r="G57" s="1282"/>
      <c r="H57" s="1282"/>
      <c r="I57" s="1282"/>
      <c r="J57" s="1282"/>
    </row>
    <row r="58" spans="1:10" ht="12.75">
      <c r="A58" s="1282"/>
      <c r="B58" s="1282"/>
      <c r="C58" s="1282"/>
      <c r="D58" s="1282"/>
      <c r="E58" s="1282"/>
      <c r="F58" s="1282"/>
      <c r="G58" s="1282"/>
      <c r="H58" s="1282"/>
      <c r="I58" s="1282"/>
      <c r="J58" s="1282"/>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83" t="s">
        <v>1867</v>
      </c>
      <c r="B71" s="1283"/>
      <c r="C71" s="1283"/>
      <c r="D71" s="1283"/>
      <c r="E71" s="1283"/>
      <c r="F71" s="1283"/>
      <c r="G71" s="1283"/>
      <c r="H71" s="1283"/>
      <c r="I71" s="1283"/>
    </row>
    <row r="72" spans="1:9" ht="12.75">
      <c r="A72" s="1273" t="s">
        <v>2042</v>
      </c>
      <c r="B72" s="1273"/>
      <c r="C72" s="1273"/>
      <c r="D72" s="1273"/>
      <c r="E72" s="1273"/>
    </row>
    <row r="73" spans="1:9" ht="12.75">
      <c r="A73" s="1273" t="s">
        <v>2043</v>
      </c>
      <c r="B73" s="1273"/>
      <c r="C73" s="1273"/>
      <c r="D73" s="1273"/>
      <c r="E73" s="1273"/>
    </row>
    <row r="74" spans="1:9" ht="12.75">
      <c r="A74" s="1273" t="s">
        <v>1868</v>
      </c>
      <c r="B74" s="1273"/>
      <c r="C74" s="1273"/>
      <c r="D74" s="1273"/>
      <c r="E74" s="1273"/>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 workbookViewId="0">
      <selection activeCell="D20" sqref="D20:F21"/>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7" t="s">
        <v>2455</v>
      </c>
      <c r="B2" s="1287"/>
      <c r="C2" s="1287"/>
      <c r="D2" s="1287"/>
      <c r="E2" s="1287"/>
      <c r="F2" s="1287"/>
      <c r="G2" s="1287"/>
      <c r="H2" s="1287"/>
      <c r="I2" s="1287"/>
    </row>
    <row r="3" spans="1:13">
      <c r="A3" s="1288" t="s">
        <v>2216</v>
      </c>
      <c r="B3" s="1288"/>
      <c r="C3" s="1288"/>
      <c r="D3" s="1288"/>
      <c r="E3" s="1288"/>
      <c r="F3" s="1288"/>
      <c r="G3" s="1288"/>
      <c r="H3" s="1288"/>
      <c r="I3" s="1288"/>
    </row>
    <row r="4" spans="1:13">
      <c r="A4" s="1288"/>
      <c r="B4" s="1288"/>
      <c r="C4" s="1285"/>
      <c r="D4" s="1285"/>
      <c r="E4" s="1285"/>
      <c r="F4" s="1285"/>
      <c r="G4" s="1285"/>
    </row>
    <row r="5" spans="1:13">
      <c r="A5" s="1288"/>
      <c r="B5" s="1288"/>
      <c r="C5" s="1285"/>
      <c r="D5" s="1285"/>
      <c r="E5" s="1285"/>
      <c r="F5" s="1285"/>
      <c r="G5" s="1285"/>
    </row>
    <row r="6" spans="1:13" ht="12.75" customHeight="1">
      <c r="A6" s="1312" t="s">
        <v>2215</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2" t="s">
        <v>1099</v>
      </c>
      <c r="B9" s="1292"/>
      <c r="C9" s="1292"/>
      <c r="D9" s="1292"/>
      <c r="E9" s="1292"/>
      <c r="F9" s="1292"/>
      <c r="G9" s="1292"/>
      <c r="H9" s="1028"/>
      <c r="I9" s="1029"/>
    </row>
    <row r="10" spans="1:13">
      <c r="A10" s="482"/>
      <c r="B10" s="482"/>
      <c r="E10" s="404"/>
    </row>
    <row r="11" spans="1:13" ht="13.7" customHeight="1">
      <c r="C11" s="482"/>
      <c r="D11" s="1311" t="s">
        <v>1098</v>
      </c>
      <c r="E11" s="1311"/>
      <c r="F11" s="1311"/>
    </row>
    <row r="12" spans="1:13">
      <c r="C12" s="482"/>
      <c r="D12" s="1311"/>
      <c r="E12" s="1311"/>
      <c r="F12" s="1311"/>
    </row>
    <row r="13" spans="1:13">
      <c r="A13" s="483"/>
      <c r="B13" s="483"/>
      <c r="C13" s="483"/>
      <c r="D13" s="1290" t="s">
        <v>1088</v>
      </c>
      <c r="E13" s="1290"/>
      <c r="F13" s="1290"/>
      <c r="M13" s="96"/>
    </row>
    <row r="14" spans="1:13">
      <c r="A14" s="483"/>
      <c r="B14" s="483"/>
      <c r="C14" s="483"/>
      <c r="D14" s="476"/>
      <c r="L14" s="312"/>
    </row>
    <row r="15" spans="1:13" ht="14.25">
      <c r="A15" s="484"/>
      <c r="B15" s="485" t="s">
        <v>2795</v>
      </c>
      <c r="C15" s="483"/>
      <c r="D15" s="1289" t="s">
        <v>1919</v>
      </c>
      <c r="E15" s="1289"/>
      <c r="F15" s="1289"/>
      <c r="I15" s="490"/>
    </row>
    <row r="16" spans="1:13">
      <c r="A16" s="483"/>
      <c r="B16" s="483"/>
      <c r="C16" s="483"/>
      <c r="D16" s="1289"/>
      <c r="E16" s="1289"/>
      <c r="F16" s="1289"/>
      <c r="I16" s="490"/>
    </row>
    <row r="17" spans="1:9">
      <c r="A17" s="483"/>
      <c r="B17" s="483"/>
      <c r="C17" s="483"/>
      <c r="D17" s="1289"/>
      <c r="E17" s="1289"/>
      <c r="F17" s="1289"/>
      <c r="I17" s="490"/>
    </row>
    <row r="18" spans="1:9">
      <c r="A18" s="483"/>
      <c r="B18" s="483"/>
      <c r="C18" s="483"/>
      <c r="D18" s="445"/>
      <c r="E18" s="312" t="s">
        <v>1917</v>
      </c>
      <c r="F18" s="445"/>
      <c r="I18" s="490"/>
    </row>
    <row r="19" spans="1:9">
      <c r="A19" s="483"/>
      <c r="B19" s="483"/>
      <c r="C19" s="483"/>
      <c r="I19" s="490"/>
    </row>
    <row r="20" spans="1:9" ht="14.25">
      <c r="A20" s="484"/>
      <c r="B20" s="485" t="s">
        <v>2795</v>
      </c>
      <c r="D20" s="1289" t="s">
        <v>1920</v>
      </c>
      <c r="E20" s="1289"/>
      <c r="F20" s="1289"/>
      <c r="I20" s="490"/>
    </row>
    <row r="21" spans="1:9" ht="14.25">
      <c r="A21" s="484"/>
      <c r="D21" s="1289"/>
      <c r="E21" s="1289"/>
      <c r="F21" s="1289"/>
      <c r="I21" s="490"/>
    </row>
    <row r="22" spans="1:9" ht="14.25">
      <c r="A22" s="484"/>
      <c r="D22" s="392"/>
      <c r="E22" s="96" t="s">
        <v>1916</v>
      </c>
      <c r="F22" s="392"/>
      <c r="I22" s="490"/>
    </row>
    <row r="23" spans="1:9" ht="14.25">
      <c r="A23" s="484"/>
      <c r="B23" s="484"/>
      <c r="D23" s="446"/>
      <c r="I23" s="490"/>
    </row>
    <row r="24" spans="1:9" ht="14.25">
      <c r="A24" s="484"/>
      <c r="B24" s="485" t="s">
        <v>2796</v>
      </c>
      <c r="D24" s="1289" t="s">
        <v>1089</v>
      </c>
      <c r="E24" s="1289"/>
      <c r="F24" s="1289"/>
      <c r="I24" s="490"/>
    </row>
    <row r="25" spans="1:9" ht="14.25">
      <c r="A25" s="484"/>
      <c r="B25" s="484"/>
      <c r="D25" s="1289"/>
      <c r="E25" s="1289"/>
      <c r="F25" s="1289"/>
      <c r="I25" s="490"/>
    </row>
    <row r="26" spans="1:9">
      <c r="I26" s="490"/>
    </row>
    <row r="27" spans="1:9" ht="14.25">
      <c r="A27" s="484"/>
      <c r="B27" s="485" t="s">
        <v>2795</v>
      </c>
      <c r="D27" s="1289" t="s">
        <v>2045</v>
      </c>
      <c r="E27" s="1289"/>
      <c r="F27" s="1289"/>
      <c r="I27" s="490"/>
    </row>
    <row r="28" spans="1:9">
      <c r="D28" s="1289"/>
      <c r="E28" s="1289"/>
      <c r="F28" s="1289"/>
      <c r="I28" s="490"/>
    </row>
    <row r="29" spans="1:9">
      <c r="D29" s="1289"/>
      <c r="E29" s="1289"/>
      <c r="F29" s="1289"/>
      <c r="I29" s="490"/>
    </row>
    <row r="30" spans="1:9">
      <c r="D30" s="1289"/>
      <c r="E30" s="1289"/>
      <c r="F30" s="1289"/>
      <c r="I30" s="490"/>
    </row>
    <row r="31" spans="1:9">
      <c r="D31" s="1289"/>
      <c r="E31" s="1289"/>
      <c r="F31" s="1289"/>
      <c r="I31" s="490"/>
    </row>
    <row r="32" spans="1:9">
      <c r="D32" s="447"/>
      <c r="I32" s="490"/>
    </row>
    <row r="33" spans="1:9">
      <c r="B33" s="485" t="s">
        <v>2796</v>
      </c>
      <c r="D33" s="1289" t="s">
        <v>2046</v>
      </c>
      <c r="E33" s="1289"/>
      <c r="F33" s="1289"/>
      <c r="I33" s="490"/>
    </row>
    <row r="34" spans="1:9">
      <c r="D34" s="1289"/>
      <c r="E34" s="1289"/>
      <c r="F34" s="1289"/>
      <c r="I34" s="490"/>
    </row>
    <row r="35" spans="1:9" ht="14.25">
      <c r="A35" s="484"/>
      <c r="B35" s="484"/>
      <c r="D35" s="447"/>
      <c r="I35" s="490"/>
    </row>
    <row r="36" spans="1:9" ht="14.45" customHeight="1">
      <c r="A36" s="484"/>
      <c r="B36" s="485" t="s">
        <v>2795</v>
      </c>
      <c r="D36" s="1289" t="s">
        <v>1212</v>
      </c>
      <c r="E36" s="1289"/>
      <c r="F36" s="1289"/>
      <c r="I36" s="490"/>
    </row>
    <row r="37" spans="1:9" ht="14.25">
      <c r="A37" s="484"/>
      <c r="B37" s="484"/>
      <c r="D37" s="1289"/>
      <c r="E37" s="1289"/>
      <c r="F37" s="1289"/>
      <c r="I37" s="490"/>
    </row>
    <row r="38" spans="1:9" ht="14.25">
      <c r="A38" s="484"/>
      <c r="B38" s="484"/>
      <c r="D38" s="1289"/>
      <c r="E38" s="1289"/>
      <c r="F38" s="1289"/>
      <c r="I38" s="490"/>
    </row>
    <row r="39" spans="1:9" ht="14.25">
      <c r="A39" s="484"/>
      <c r="B39" s="484"/>
      <c r="D39" s="1289"/>
      <c r="E39" s="1289"/>
      <c r="F39" s="1289"/>
      <c r="I39" s="490"/>
    </row>
    <row r="40" spans="1:9" ht="14.25">
      <c r="A40" s="484"/>
      <c r="B40" s="484"/>
      <c r="I40" s="490"/>
    </row>
    <row r="41" spans="1:9" ht="14.25">
      <c r="A41" s="484"/>
      <c r="B41" s="485" t="s">
        <v>2796</v>
      </c>
      <c r="D41" s="1289" t="s">
        <v>1090</v>
      </c>
      <c r="E41" s="1289"/>
      <c r="F41" s="1289"/>
      <c r="I41" s="490"/>
    </row>
    <row r="42" spans="1:9" ht="14.25">
      <c r="A42" s="484"/>
      <c r="B42" s="484"/>
      <c r="D42" s="1289"/>
      <c r="E42" s="1289"/>
      <c r="F42" s="1289"/>
      <c r="I42" s="490"/>
    </row>
    <row r="43" spans="1:9" ht="14.25">
      <c r="A43" s="484"/>
      <c r="B43" s="484"/>
      <c r="D43" s="1289"/>
      <c r="E43" s="1289"/>
      <c r="F43" s="1289"/>
      <c r="I43" s="490"/>
    </row>
    <row r="44" spans="1:9" ht="14.25">
      <c r="A44" s="484"/>
      <c r="B44" s="484"/>
      <c r="D44" s="1289"/>
      <c r="E44" s="1289"/>
      <c r="F44" s="1289"/>
      <c r="I44" s="490"/>
    </row>
    <row r="45" spans="1:9" ht="14.25">
      <c r="A45" s="484"/>
      <c r="B45" s="484"/>
      <c r="D45" s="1289"/>
      <c r="E45" s="1289"/>
      <c r="F45" s="1289"/>
      <c r="I45" s="490"/>
    </row>
    <row r="46" spans="1:9" ht="14.25">
      <c r="A46" s="484"/>
      <c r="B46" s="484"/>
      <c r="D46" s="445"/>
      <c r="E46" s="445"/>
      <c r="F46" s="445"/>
      <c r="I46" s="490"/>
    </row>
    <row r="47" spans="1:9" ht="14.25">
      <c r="A47" s="484"/>
      <c r="B47" s="485" t="s">
        <v>2796</v>
      </c>
      <c r="D47" s="1289" t="s">
        <v>1091</v>
      </c>
      <c r="E47" s="1289"/>
      <c r="F47" s="1289"/>
      <c r="I47" s="490"/>
    </row>
    <row r="48" spans="1:9" ht="14.25">
      <c r="A48" s="484"/>
      <c r="B48" s="484"/>
      <c r="D48" s="1289"/>
      <c r="E48" s="1289"/>
      <c r="F48" s="1289"/>
      <c r="I48" s="490"/>
    </row>
    <row r="49" spans="1:9" ht="14.25">
      <c r="A49" s="484"/>
      <c r="B49" s="484"/>
      <c r="D49" s="1289"/>
      <c r="E49" s="1289"/>
      <c r="F49" s="1289"/>
      <c r="I49" s="490"/>
    </row>
    <row r="50" spans="1:9" ht="23.25" customHeight="1">
      <c r="A50" s="484"/>
      <c r="B50" s="484"/>
      <c r="D50" s="1289"/>
      <c r="E50" s="1289"/>
      <c r="F50" s="1289"/>
      <c r="I50" s="490"/>
    </row>
    <row r="51" spans="1:9" ht="14.25">
      <c r="A51" s="484"/>
      <c r="B51" s="484"/>
      <c r="D51" s="446"/>
      <c r="I51" s="490"/>
    </row>
    <row r="52" spans="1:9" ht="14.45" customHeight="1">
      <c r="A52" s="484"/>
      <c r="B52" s="485" t="s">
        <v>2795</v>
      </c>
      <c r="D52" s="1289" t="s">
        <v>1092</v>
      </c>
      <c r="E52" s="1289"/>
      <c r="F52" s="1289"/>
      <c r="I52" s="490"/>
    </row>
    <row r="53" spans="1:9" ht="14.25">
      <c r="A53" s="484"/>
      <c r="B53" s="484"/>
      <c r="D53" s="1289"/>
      <c r="E53" s="1289"/>
      <c r="F53" s="1289"/>
      <c r="I53" s="490"/>
    </row>
    <row r="54" spans="1:9" ht="14.25">
      <c r="A54" s="484"/>
      <c r="B54" s="484"/>
      <c r="D54" s="1289"/>
      <c r="E54" s="1289"/>
      <c r="F54" s="1289"/>
      <c r="I54" s="490"/>
    </row>
    <row r="55" spans="1:9" ht="14.25">
      <c r="A55" s="484"/>
      <c r="B55" s="484"/>
      <c r="I55" s="490"/>
    </row>
    <row r="56" spans="1:9" ht="14.25">
      <c r="A56" s="484"/>
      <c r="B56" s="485" t="s">
        <v>2795</v>
      </c>
      <c r="D56" s="1313" t="s">
        <v>1093</v>
      </c>
      <c r="E56" s="1313"/>
      <c r="F56" s="1313"/>
      <c r="I56" s="490"/>
    </row>
    <row r="57" spans="1:9" ht="14.25">
      <c r="A57" s="484"/>
      <c r="B57" s="484"/>
      <c r="D57" s="1313"/>
      <c r="E57" s="1313"/>
      <c r="F57" s="1313"/>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2796</v>
      </c>
      <c r="D61" s="1289" t="s">
        <v>1094</v>
      </c>
      <c r="E61" s="1289"/>
      <c r="F61" s="1289"/>
      <c r="I61" s="490"/>
    </row>
    <row r="62" spans="1:9">
      <c r="D62" s="1289"/>
      <c r="E62" s="1289"/>
      <c r="F62" s="1289"/>
      <c r="I62" s="490"/>
    </row>
    <row r="63" spans="1:9">
      <c r="D63" s="1289"/>
      <c r="E63" s="1289"/>
      <c r="F63" s="1289"/>
      <c r="I63" s="490"/>
    </row>
    <row r="64" spans="1:9">
      <c r="I64" s="490"/>
    </row>
    <row r="65" spans="1:9" ht="14.25">
      <c r="A65" s="484"/>
      <c r="B65" s="485" t="s">
        <v>2796</v>
      </c>
      <c r="D65" s="1289" t="s">
        <v>1095</v>
      </c>
      <c r="E65" s="1289"/>
      <c r="F65" s="1289"/>
      <c r="I65" s="490"/>
    </row>
    <row r="66" spans="1:9">
      <c r="D66" s="1289"/>
      <c r="E66" s="1289"/>
      <c r="F66" s="1289"/>
      <c r="I66" s="490"/>
    </row>
    <row r="67" spans="1:9">
      <c r="I67" s="490"/>
    </row>
    <row r="68" spans="1:9" ht="14.25">
      <c r="A68" s="484"/>
      <c r="B68" s="485" t="s">
        <v>2795</v>
      </c>
      <c r="D68" s="1289" t="s">
        <v>1096</v>
      </c>
      <c r="E68" s="1289"/>
      <c r="F68" s="1289"/>
      <c r="I68" s="490"/>
    </row>
    <row r="69" spans="1:9">
      <c r="D69" s="1289"/>
      <c r="E69" s="1289"/>
      <c r="F69" s="1289"/>
      <c r="I69" s="490"/>
    </row>
    <row r="70" spans="1:9">
      <c r="D70" s="1289"/>
      <c r="E70" s="1289"/>
      <c r="F70" s="1289"/>
      <c r="I70" s="490"/>
    </row>
    <row r="71" spans="1:9">
      <c r="I71" s="490"/>
    </row>
    <row r="72" spans="1:9" ht="14.25">
      <c r="A72" s="484"/>
      <c r="B72" s="485" t="s">
        <v>2795</v>
      </c>
      <c r="D72" s="1289" t="s">
        <v>1097</v>
      </c>
      <c r="E72" s="1289"/>
      <c r="F72" s="1289"/>
      <c r="I72" s="490"/>
    </row>
    <row r="73" spans="1:9">
      <c r="D73" s="1289"/>
      <c r="E73" s="1289"/>
      <c r="F73" s="1289"/>
      <c r="I73" s="490"/>
    </row>
    <row r="74" spans="1:9" ht="14.25">
      <c r="A74" s="484"/>
      <c r="B74" s="484"/>
      <c r="D74" s="446"/>
      <c r="I74" s="490"/>
    </row>
    <row r="75" spans="1:9">
      <c r="A75" s="1292" t="s">
        <v>1042</v>
      </c>
      <c r="B75" s="1292"/>
      <c r="C75" s="1292"/>
      <c r="D75" s="1292"/>
      <c r="E75" s="1292"/>
      <c r="F75" s="1292"/>
      <c r="G75" s="1292"/>
      <c r="H75" s="1028"/>
      <c r="I75" s="1153"/>
    </row>
    <row r="76" spans="1:9">
      <c r="I76" s="490"/>
    </row>
    <row r="77" spans="1:9">
      <c r="C77" s="486"/>
      <c r="D77" s="1291" t="s">
        <v>1100</v>
      </c>
      <c r="E77" s="1291"/>
      <c r="F77" s="1291"/>
      <c r="I77" s="490"/>
    </row>
    <row r="78" spans="1:9">
      <c r="A78" s="446"/>
      <c r="B78" s="446"/>
      <c r="D78" s="1289" t="s">
        <v>1115</v>
      </c>
      <c r="E78" s="1289"/>
      <c r="F78" s="1289"/>
      <c r="I78" s="490"/>
    </row>
    <row r="79" spans="1:9">
      <c r="A79" s="446"/>
      <c r="B79" s="446"/>
      <c r="I79" s="490"/>
    </row>
    <row r="80" spans="1:9" ht="13.7" customHeight="1">
      <c r="A80" s="484"/>
      <c r="B80" s="485" t="s">
        <v>2795</v>
      </c>
      <c r="D80" s="1289" t="s">
        <v>1243</v>
      </c>
      <c r="E80" s="1289"/>
      <c r="F80" s="1289"/>
      <c r="I80" s="490"/>
    </row>
    <row r="81" spans="1:9" ht="14.25">
      <c r="A81" s="484"/>
      <c r="B81" s="484"/>
      <c r="D81" s="1289"/>
      <c r="E81" s="1289"/>
      <c r="F81" s="1289"/>
      <c r="I81" s="490"/>
    </row>
    <row r="82" spans="1:9" ht="14.25">
      <c r="A82" s="484"/>
      <c r="B82" s="484"/>
      <c r="D82" s="1289"/>
      <c r="E82" s="1289"/>
      <c r="F82" s="1289"/>
      <c r="I82" s="490"/>
    </row>
    <row r="83" spans="1:9" ht="14.25">
      <c r="A83" s="484"/>
      <c r="B83" s="484"/>
      <c r="D83" s="1289"/>
      <c r="E83" s="1289"/>
      <c r="F83" s="1289"/>
      <c r="I83" s="490"/>
    </row>
    <row r="84" spans="1:9" ht="14.25">
      <c r="A84" s="484"/>
      <c r="B84" s="484"/>
      <c r="D84" s="1289"/>
      <c r="E84" s="1289"/>
      <c r="F84" s="1289"/>
      <c r="I84" s="490"/>
    </row>
    <row r="85" spans="1:9" ht="14.25">
      <c r="A85" s="484"/>
      <c r="B85" s="484"/>
      <c r="D85" s="1289"/>
      <c r="E85" s="1289"/>
      <c r="F85" s="1289"/>
      <c r="I85" s="490"/>
    </row>
    <row r="86" spans="1:9" ht="14.25">
      <c r="A86" s="484"/>
      <c r="B86" s="484"/>
      <c r="D86" s="1289"/>
      <c r="E86" s="1289"/>
      <c r="F86" s="1289"/>
      <c r="I86" s="490"/>
    </row>
    <row r="87" spans="1:9" ht="14.25">
      <c r="A87" s="484"/>
      <c r="B87" s="484"/>
      <c r="D87" s="1289"/>
      <c r="E87" s="1289"/>
      <c r="F87" s="1289"/>
      <c r="I87" s="490"/>
    </row>
    <row r="88" spans="1:9" ht="14.25">
      <c r="A88" s="484"/>
      <c r="B88" s="484"/>
      <c r="D88" s="385"/>
      <c r="E88" s="385"/>
      <c r="F88" s="385"/>
      <c r="I88" s="490"/>
    </row>
    <row r="89" spans="1:9" ht="15" customHeight="1">
      <c r="A89" s="484"/>
      <c r="B89" s="485" t="s">
        <v>2795</v>
      </c>
      <c r="D89" s="1289" t="s">
        <v>1740</v>
      </c>
      <c r="E89" s="1289"/>
      <c r="F89" s="1289"/>
      <c r="I89" s="490"/>
    </row>
    <row r="90" spans="1:9" ht="14.25">
      <c r="A90" s="484"/>
      <c r="B90" s="484"/>
      <c r="D90" s="1289"/>
      <c r="E90" s="1289"/>
      <c r="F90" s="1289"/>
      <c r="I90" s="490"/>
    </row>
    <row r="91" spans="1:9" ht="14.25">
      <c r="A91" s="484"/>
      <c r="B91" s="484"/>
      <c r="D91" s="445"/>
      <c r="E91" s="445"/>
      <c r="F91" s="445"/>
      <c r="I91" s="490"/>
    </row>
    <row r="92" spans="1:9" ht="14.25">
      <c r="A92" s="484"/>
      <c r="B92" s="485" t="s">
        <v>2795</v>
      </c>
      <c r="D92" s="1289" t="s">
        <v>1743</v>
      </c>
      <c r="E92" s="1289"/>
      <c r="F92" s="1289"/>
      <c r="I92" s="490"/>
    </row>
    <row r="93" spans="1:9" ht="14.25">
      <c r="A93" s="484"/>
      <c r="B93" s="484"/>
      <c r="D93" s="1289"/>
      <c r="E93" s="1289"/>
      <c r="F93" s="1289"/>
      <c r="I93" s="490"/>
    </row>
    <row r="94" spans="1:9" ht="14.25">
      <c r="A94" s="484"/>
      <c r="B94" s="484"/>
      <c r="D94" s="1289"/>
      <c r="E94" s="1289"/>
      <c r="F94" s="1289"/>
      <c r="I94" s="490"/>
    </row>
    <row r="95" spans="1:9" ht="14.25">
      <c r="A95" s="484"/>
      <c r="B95" s="484"/>
      <c r="D95" s="445"/>
      <c r="E95" s="445"/>
      <c r="F95" s="445"/>
      <c r="I95" s="490"/>
    </row>
    <row r="96" spans="1:9" ht="14.25">
      <c r="A96" s="484"/>
      <c r="B96" s="485" t="s">
        <v>2795</v>
      </c>
      <c r="D96" s="1289" t="s">
        <v>1742</v>
      </c>
      <c r="E96" s="1289"/>
      <c r="F96" s="1289"/>
      <c r="I96" s="490"/>
    </row>
    <row r="97" spans="1:9" s="987" customFormat="1" ht="14.25">
      <c r="A97" s="985"/>
      <c r="B97" s="985"/>
      <c r="C97" s="986"/>
      <c r="D97" s="1289"/>
      <c r="E97" s="1289"/>
      <c r="F97" s="1289"/>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2796</v>
      </c>
      <c r="D100" s="1289" t="s">
        <v>1741</v>
      </c>
      <c r="E100" s="1289"/>
      <c r="F100" s="1289"/>
      <c r="I100" s="490"/>
    </row>
    <row r="101" spans="1:9" ht="14.25">
      <c r="A101" s="484"/>
      <c r="B101" s="484"/>
      <c r="D101" s="1289"/>
      <c r="E101" s="1289"/>
      <c r="F101" s="1289"/>
      <c r="I101" s="490"/>
    </row>
    <row r="102" spans="1:9" ht="14.25">
      <c r="A102" s="484"/>
      <c r="B102" s="484"/>
      <c r="D102" s="445"/>
      <c r="E102" s="445"/>
      <c r="F102" s="445"/>
      <c r="I102" s="490"/>
    </row>
    <row r="103" spans="1:9" ht="14.45" customHeight="1">
      <c r="A103" s="484"/>
      <c r="B103" s="485" t="s">
        <v>2795</v>
      </c>
      <c r="D103" s="1289" t="s">
        <v>1192</v>
      </c>
      <c r="E103" s="1289"/>
      <c r="F103" s="1289"/>
      <c r="I103" s="490"/>
    </row>
    <row r="104" spans="1:9" ht="14.25">
      <c r="A104" s="484"/>
      <c r="B104" s="484"/>
      <c r="D104" s="1289"/>
      <c r="E104" s="1289"/>
      <c r="F104" s="1289"/>
      <c r="I104" s="490"/>
    </row>
    <row r="105" spans="1:9" ht="14.25">
      <c r="A105" s="484"/>
      <c r="B105" s="484"/>
      <c r="D105" s="1289"/>
      <c r="E105" s="1289"/>
      <c r="F105" s="1289"/>
      <c r="I105" s="490"/>
    </row>
    <row r="106" spans="1:9" ht="14.25">
      <c r="A106" s="484"/>
      <c r="B106" s="484"/>
      <c r="D106" s="1289"/>
      <c r="E106" s="1289"/>
      <c r="F106" s="1289"/>
      <c r="I106" s="490"/>
    </row>
    <row r="107" spans="1:9" ht="14.25">
      <c r="A107" s="484"/>
      <c r="B107" s="484"/>
      <c r="D107" s="1289"/>
      <c r="E107" s="1289"/>
      <c r="F107" s="1289"/>
      <c r="I107" s="490"/>
    </row>
    <row r="108" spans="1:9" ht="14.25">
      <c r="A108" s="484"/>
      <c r="B108" s="484"/>
      <c r="D108" s="1289"/>
      <c r="E108" s="1289"/>
      <c r="F108" s="1289"/>
      <c r="I108" s="490"/>
    </row>
    <row r="109" spans="1:9" ht="14.25">
      <c r="A109" s="484"/>
      <c r="B109" s="484"/>
      <c r="D109" s="1289"/>
      <c r="E109" s="1289"/>
      <c r="F109" s="1289"/>
      <c r="I109" s="490"/>
    </row>
    <row r="110" spans="1:9" ht="14.25">
      <c r="A110" s="484"/>
      <c r="B110" s="484"/>
      <c r="D110" s="1289"/>
      <c r="E110" s="1289"/>
      <c r="F110" s="1289"/>
      <c r="I110" s="490"/>
    </row>
    <row r="111" spans="1:9" ht="14.25">
      <c r="A111" s="484"/>
      <c r="B111" s="484"/>
      <c r="D111" s="1289"/>
      <c r="E111" s="1289"/>
      <c r="F111" s="1289"/>
      <c r="I111" s="490"/>
    </row>
    <row r="112" spans="1:9" ht="14.25">
      <c r="A112" s="484"/>
      <c r="B112" s="484"/>
      <c r="D112" s="1289"/>
      <c r="E112" s="1289"/>
      <c r="F112" s="1289"/>
      <c r="I112" s="490"/>
    </row>
    <row r="113" spans="1:9" ht="14.25">
      <c r="A113" s="484"/>
      <c r="B113" s="484"/>
      <c r="D113" s="1289"/>
      <c r="E113" s="1289"/>
      <c r="F113" s="1289"/>
      <c r="I113" s="490"/>
    </row>
    <row r="114" spans="1:9" ht="14.25">
      <c r="A114" s="484"/>
      <c r="B114" s="484"/>
      <c r="D114" s="1289"/>
      <c r="E114" s="1289"/>
      <c r="F114" s="1289"/>
      <c r="I114" s="490"/>
    </row>
    <row r="115" spans="1:9" ht="14.25">
      <c r="A115" s="484"/>
      <c r="B115" s="484"/>
      <c r="D115" s="1289"/>
      <c r="E115" s="1289"/>
      <c r="F115" s="1289"/>
      <c r="I115" s="490"/>
    </row>
    <row r="116" spans="1:9" ht="14.25">
      <c r="A116" s="484"/>
      <c r="B116" s="484"/>
      <c r="D116" s="1289"/>
      <c r="E116" s="1289"/>
      <c r="F116" s="1289"/>
      <c r="I116" s="490"/>
    </row>
    <row r="117" spans="1:9" ht="14.25">
      <c r="A117" s="484"/>
      <c r="B117" s="484"/>
      <c r="D117" s="1289"/>
      <c r="E117" s="1289"/>
      <c r="F117" s="1289"/>
      <c r="I117" s="490"/>
    </row>
    <row r="118" spans="1:9" ht="14.25">
      <c r="A118" s="484"/>
      <c r="B118" s="484"/>
      <c r="D118" s="524"/>
      <c r="E118" s="524"/>
      <c r="F118" s="524"/>
      <c r="I118" s="490"/>
    </row>
    <row r="119" spans="1:9" ht="14.25" customHeight="1">
      <c r="A119" s="484"/>
      <c r="B119" s="485" t="s">
        <v>2796</v>
      </c>
      <c r="D119" s="1309" t="s">
        <v>1101</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2795</v>
      </c>
      <c r="C128" s="402"/>
      <c r="D128" s="1309" t="s">
        <v>2047</v>
      </c>
      <c r="E128" s="1309"/>
      <c r="F128" s="1309"/>
      <c r="I128" s="490"/>
    </row>
    <row r="129" spans="1:9" ht="14.25">
      <c r="A129" s="484"/>
      <c r="B129" s="484"/>
      <c r="C129" s="402"/>
      <c r="D129" s="1309"/>
      <c r="E129" s="1309"/>
      <c r="F129" s="1309"/>
      <c r="I129" s="490"/>
    </row>
    <row r="130" spans="1:9">
      <c r="I130" s="490"/>
    </row>
    <row r="131" spans="1:9" ht="14.25">
      <c r="A131" s="484"/>
      <c r="B131" s="485" t="s">
        <v>2795</v>
      </c>
      <c r="D131" s="1289" t="s">
        <v>1102</v>
      </c>
      <c r="E131" s="1289"/>
      <c r="F131" s="1289"/>
      <c r="I131" s="490"/>
    </row>
    <row r="132" spans="1:9">
      <c r="D132" s="1289"/>
      <c r="E132" s="1289"/>
      <c r="F132" s="1289"/>
      <c r="I132" s="490"/>
    </row>
    <row r="133" spans="1:9">
      <c r="D133" s="1289"/>
      <c r="E133" s="1289"/>
      <c r="F133" s="1289"/>
      <c r="I133" s="490"/>
    </row>
    <row r="134" spans="1:9">
      <c r="D134" s="1289"/>
      <c r="E134" s="1289"/>
      <c r="F134" s="1289"/>
      <c r="I134" s="490"/>
    </row>
    <row r="135" spans="1:9">
      <c r="D135" s="1289"/>
      <c r="E135" s="1289"/>
      <c r="F135" s="1289"/>
      <c r="I135" s="490"/>
    </row>
    <row r="136" spans="1:9">
      <c r="I136" s="490"/>
    </row>
    <row r="137" spans="1:9" ht="14.25">
      <c r="A137" s="484"/>
      <c r="B137" s="485" t="s">
        <v>2795</v>
      </c>
      <c r="D137" s="1289" t="s">
        <v>1103</v>
      </c>
      <c r="E137" s="1289"/>
      <c r="F137" s="1289"/>
      <c r="I137" s="490"/>
    </row>
    <row r="138" spans="1:9" s="417" customFormat="1" ht="13.7" customHeight="1">
      <c r="A138" s="488"/>
      <c r="B138" s="488"/>
      <c r="C138" s="488"/>
      <c r="D138" s="1289"/>
      <c r="E138" s="1289"/>
      <c r="F138" s="1289"/>
      <c r="I138" s="1155"/>
    </row>
    <row r="139" spans="1:9" ht="13.7" customHeight="1">
      <c r="D139" s="1289"/>
      <c r="E139" s="1289"/>
      <c r="F139" s="1289"/>
      <c r="I139" s="490"/>
    </row>
    <row r="140" spans="1:9" ht="13.7" customHeight="1">
      <c r="D140" s="1289"/>
      <c r="E140" s="1289"/>
      <c r="F140" s="1289"/>
      <c r="I140" s="490"/>
    </row>
    <row r="141" spans="1:9" ht="13.7" customHeight="1">
      <c r="D141" s="1289"/>
      <c r="E141" s="1289"/>
      <c r="F141" s="1289"/>
      <c r="I141" s="490"/>
    </row>
    <row r="142" spans="1:9" ht="13.7" customHeight="1">
      <c r="A142" s="489"/>
      <c r="B142" s="489"/>
      <c r="D142" s="1289"/>
      <c r="E142" s="1289"/>
      <c r="F142" s="1289"/>
      <c r="I142" s="490"/>
    </row>
    <row r="143" spans="1:9" ht="13.7" customHeight="1">
      <c r="D143" s="1289"/>
      <c r="E143" s="1289"/>
      <c r="F143" s="1289"/>
      <c r="I143" s="490"/>
    </row>
    <row r="144" spans="1:9" ht="13.7" customHeight="1">
      <c r="D144" s="1289"/>
      <c r="E144" s="1289"/>
      <c r="F144" s="1289"/>
      <c r="I144" s="490"/>
    </row>
    <row r="145" spans="2:9" ht="13.7" customHeight="1">
      <c r="D145" s="1289"/>
      <c r="E145" s="1289"/>
      <c r="F145" s="1289"/>
      <c r="I145" s="490"/>
    </row>
    <row r="146" spans="2:9" ht="13.7" customHeight="1">
      <c r="D146" s="1289"/>
      <c r="E146" s="1289"/>
      <c r="F146" s="1289"/>
      <c r="I146" s="490"/>
    </row>
    <row r="147" spans="2:9" ht="13.7" customHeight="1">
      <c r="D147" s="1289"/>
      <c r="E147" s="1289"/>
      <c r="F147" s="1289"/>
      <c r="I147" s="490"/>
    </row>
    <row r="148" spans="2:9" ht="13.7" customHeight="1">
      <c r="D148" s="1289"/>
      <c r="E148" s="1289"/>
      <c r="F148" s="1289"/>
      <c r="I148" s="490"/>
    </row>
    <row r="149" spans="2:9" ht="13.7" customHeight="1">
      <c r="D149" s="1289"/>
      <c r="E149" s="1289"/>
      <c r="F149" s="1289"/>
      <c r="I149" s="490"/>
    </row>
    <row r="150" spans="2:9" ht="13.7" customHeight="1">
      <c r="D150" s="476"/>
      <c r="E150" s="446"/>
      <c r="F150" s="446"/>
      <c r="I150" s="490"/>
    </row>
    <row r="151" spans="2:9" ht="13.7" customHeight="1">
      <c r="B151" s="485" t="s">
        <v>2796</v>
      </c>
      <c r="D151" s="1289" t="s">
        <v>1175</v>
      </c>
      <c r="E151" s="1289"/>
      <c r="F151" s="1289"/>
      <c r="I151" s="490"/>
    </row>
    <row r="152" spans="2:9" ht="13.7" customHeight="1">
      <c r="D152" s="1289"/>
      <c r="E152" s="1289"/>
      <c r="F152" s="1289"/>
      <c r="I152" s="490"/>
    </row>
    <row r="153" spans="2:9" ht="13.7" customHeight="1">
      <c r="D153" s="1289"/>
      <c r="E153" s="1289"/>
      <c r="F153" s="1289"/>
      <c r="I153" s="490"/>
    </row>
    <row r="154" spans="2:9" ht="13.7" customHeight="1">
      <c r="D154" s="1289"/>
      <c r="E154" s="1289"/>
      <c r="F154" s="1289"/>
      <c r="I154" s="490"/>
    </row>
    <row r="155" spans="2:9" ht="13.7" customHeight="1">
      <c r="D155" s="1289"/>
      <c r="E155" s="1289"/>
      <c r="F155" s="1289"/>
      <c r="I155" s="490"/>
    </row>
    <row r="156" spans="2:9" ht="13.7" customHeight="1">
      <c r="D156" s="1289"/>
      <c r="E156" s="1289"/>
      <c r="F156" s="1289"/>
      <c r="I156" s="490"/>
    </row>
    <row r="157" spans="2:9" ht="13.7" customHeight="1">
      <c r="D157" s="1289"/>
      <c r="E157" s="1289"/>
      <c r="F157" s="1289"/>
      <c r="I157" s="490"/>
    </row>
    <row r="158" spans="2:9" ht="13.7" customHeight="1">
      <c r="D158" s="1289"/>
      <c r="E158" s="1289"/>
      <c r="F158" s="1289"/>
      <c r="I158" s="490"/>
    </row>
    <row r="159" spans="2:9" ht="13.7" customHeight="1">
      <c r="D159" s="1289"/>
      <c r="E159" s="1289"/>
      <c r="F159" s="1289"/>
      <c r="I159" s="490"/>
    </row>
    <row r="160" spans="2:9" ht="13.7" customHeight="1">
      <c r="D160" s="1289"/>
      <c r="E160" s="1289"/>
      <c r="F160" s="1289"/>
      <c r="I160" s="490"/>
    </row>
    <row r="161" spans="1:9" ht="13.7" customHeight="1">
      <c r="D161" s="1289"/>
      <c r="E161" s="1289"/>
      <c r="F161" s="1289"/>
      <c r="I161" s="490"/>
    </row>
    <row r="162" spans="1:9" ht="13.7" customHeight="1">
      <c r="D162" s="1289"/>
      <c r="E162" s="1289"/>
      <c r="F162" s="1289"/>
      <c r="I162" s="490"/>
    </row>
    <row r="163" spans="1:9" ht="13.7" customHeight="1">
      <c r="D163" s="1289"/>
      <c r="E163" s="1289"/>
      <c r="F163" s="1289"/>
      <c r="I163" s="490"/>
    </row>
    <row r="164" spans="1:9" ht="13.7" customHeight="1">
      <c r="D164" s="1289"/>
      <c r="E164" s="1289"/>
      <c r="F164" s="1289"/>
      <c r="I164" s="490"/>
    </row>
    <row r="165" spans="1:9" ht="13.7" customHeight="1">
      <c r="D165" s="1289"/>
      <c r="E165" s="1289"/>
      <c r="F165" s="1289"/>
      <c r="I165" s="490"/>
    </row>
    <row r="166" spans="1:9" ht="13.7" customHeight="1">
      <c r="D166" s="1289"/>
      <c r="E166" s="1289"/>
      <c r="F166" s="1289"/>
      <c r="I166" s="490"/>
    </row>
    <row r="167" spans="1:9" ht="13.7" customHeight="1">
      <c r="D167" s="1289"/>
      <c r="E167" s="1289"/>
      <c r="F167" s="1289"/>
      <c r="I167" s="490"/>
    </row>
    <row r="168" spans="1:9" ht="13.7" customHeight="1">
      <c r="D168" s="1289"/>
      <c r="E168" s="1289"/>
      <c r="F168" s="1289"/>
      <c r="I168" s="490"/>
    </row>
    <row r="169" spans="1:9" ht="13.7" customHeight="1">
      <c r="D169" s="1310" t="s">
        <v>2070</v>
      </c>
      <c r="E169" s="1310"/>
      <c r="F169" s="1310"/>
      <c r="G169" s="507"/>
      <c r="I169" s="490"/>
    </row>
    <row r="170" spans="1:9" ht="13.7" customHeight="1">
      <c r="D170" s="1301"/>
      <c r="E170" s="1301"/>
      <c r="F170" s="1301"/>
      <c r="G170" s="1301"/>
      <c r="I170" s="490"/>
    </row>
    <row r="171" spans="1:9" ht="14.45" customHeight="1">
      <c r="A171" s="489"/>
      <c r="B171" s="485" t="s">
        <v>2796</v>
      </c>
      <c r="C171" s="476"/>
      <c r="D171" s="1269" t="s">
        <v>2210</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2795</v>
      </c>
      <c r="C177" s="476"/>
      <c r="D177" s="1269" t="s">
        <v>1104</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customHeight="1">
      <c r="B182" s="485" t="s">
        <v>2796</v>
      </c>
      <c r="D182" s="1293" t="s">
        <v>2048</v>
      </c>
      <c r="E182" s="1293"/>
      <c r="F182" s="1293"/>
      <c r="I182" s="490"/>
    </row>
    <row r="183" spans="1:9" ht="13.7" customHeight="1">
      <c r="D183" s="1293"/>
      <c r="E183" s="1293"/>
      <c r="F183" s="1293"/>
      <c r="I183" s="490"/>
    </row>
    <row r="184" spans="1:9" ht="13.7" customHeight="1">
      <c r="D184" s="1293"/>
      <c r="E184" s="1293"/>
      <c r="F184" s="1293"/>
      <c r="I184" s="490"/>
    </row>
    <row r="185" spans="1:9" ht="13.7" customHeight="1">
      <c r="A185" s="490"/>
      <c r="B185" s="490"/>
      <c r="E185" s="446"/>
      <c r="F185" s="446"/>
      <c r="I185" s="490"/>
    </row>
    <row r="186" spans="1:9">
      <c r="A186" s="1292" t="s">
        <v>2049</v>
      </c>
      <c r="B186" s="1292"/>
      <c r="C186" s="1292"/>
      <c r="D186" s="1292"/>
      <c r="E186" s="1292"/>
      <c r="F186" s="1292"/>
      <c r="G186" s="1292"/>
      <c r="H186" s="1028"/>
      <c r="I186" s="1153"/>
    </row>
    <row r="187" spans="1:9" ht="12" customHeight="1">
      <c r="D187" s="446"/>
      <c r="E187" s="446"/>
      <c r="F187" s="446"/>
      <c r="I187" s="490"/>
    </row>
    <row r="188" spans="1:9">
      <c r="B188" s="1295" t="s">
        <v>446</v>
      </c>
      <c r="C188" s="1295"/>
      <c r="D188" s="1295"/>
      <c r="E188" s="1295"/>
      <c r="F188" s="1295"/>
      <c r="I188" s="490"/>
    </row>
    <row r="189" spans="1:9">
      <c r="B189" s="392" t="s">
        <v>1872</v>
      </c>
      <c r="C189" s="392"/>
      <c r="D189" s="392"/>
      <c r="E189" s="392"/>
      <c r="F189" s="392"/>
      <c r="I189" s="490"/>
    </row>
    <row r="190" spans="1:9" ht="12" customHeight="1">
      <c r="A190" s="482"/>
      <c r="B190" s="482"/>
      <c r="C190" s="482"/>
      <c r="I190" s="490"/>
    </row>
    <row r="191" spans="1:9">
      <c r="A191" s="1292" t="s">
        <v>1043</v>
      </c>
      <c r="B191" s="1292"/>
      <c r="C191" s="1292"/>
      <c r="D191" s="1292"/>
      <c r="E191" s="1292"/>
      <c r="F191" s="1292"/>
      <c r="G191" s="1292"/>
      <c r="H191" s="1028"/>
      <c r="I191" s="1153"/>
    </row>
    <row r="192" spans="1:9" ht="12" customHeight="1">
      <c r="A192" s="404"/>
      <c r="B192" s="404"/>
      <c r="E192" s="404"/>
      <c r="I192" s="490"/>
    </row>
    <row r="193" spans="1:9" ht="13.7" customHeight="1">
      <c r="A193" s="404"/>
      <c r="B193" s="404"/>
      <c r="D193" s="1291" t="s">
        <v>1744</v>
      </c>
      <c r="E193" s="1291"/>
      <c r="F193" s="1291"/>
      <c r="I193" s="490"/>
    </row>
    <row r="194" spans="1:9">
      <c r="A194" s="404"/>
      <c r="B194" s="404"/>
      <c r="D194" s="1291"/>
      <c r="E194" s="1291"/>
      <c r="F194" s="1291"/>
      <c r="I194" s="490"/>
    </row>
    <row r="195" spans="1:9">
      <c r="A195" s="404"/>
      <c r="B195" s="404"/>
      <c r="D195" s="1295" t="s">
        <v>1193</v>
      </c>
      <c r="E195" s="1295"/>
      <c r="F195" s="1295"/>
      <c r="I195" s="490"/>
    </row>
    <row r="196" spans="1:9">
      <c r="A196" s="404"/>
      <c r="B196" s="404"/>
      <c r="D196" s="392"/>
      <c r="E196" s="392"/>
      <c r="F196" s="392"/>
      <c r="I196" s="490"/>
    </row>
    <row r="197" spans="1:9">
      <c r="A197" s="404"/>
      <c r="B197" s="485" t="s">
        <v>2796</v>
      </c>
      <c r="D197" s="1306" t="s">
        <v>1745</v>
      </c>
      <c r="E197" s="1306"/>
      <c r="F197" s="1306"/>
      <c r="I197" s="490"/>
    </row>
    <row r="198" spans="1:9">
      <c r="A198" s="404"/>
      <c r="B198" s="404"/>
      <c r="D198" s="1307" t="s">
        <v>1899</v>
      </c>
      <c r="E198" s="1307"/>
      <c r="F198" s="1307"/>
      <c r="I198" s="490"/>
    </row>
    <row r="199" spans="1:9">
      <c r="A199" s="404"/>
      <c r="B199" s="404"/>
      <c r="D199" s="96" t="s">
        <v>1746</v>
      </c>
      <c r="E199" s="1308" t="s">
        <v>1922</v>
      </c>
      <c r="F199" s="1308"/>
      <c r="I199" s="490"/>
    </row>
    <row r="200" spans="1:9">
      <c r="A200" s="404"/>
      <c r="B200" s="404"/>
      <c r="D200" s="3"/>
      <c r="E200" s="3"/>
      <c r="F200" s="3"/>
      <c r="I200" s="490"/>
    </row>
    <row r="201" spans="1:9">
      <c r="A201" s="404"/>
      <c r="B201" s="485" t="s">
        <v>2796</v>
      </c>
      <c r="D201" s="1307" t="s">
        <v>1747</v>
      </c>
      <c r="E201" s="1307"/>
      <c r="F201" s="1307"/>
      <c r="I201" s="490"/>
    </row>
    <row r="202" spans="1:9">
      <c r="A202" s="404"/>
      <c r="B202" s="404"/>
      <c r="D202" s="1306" t="s">
        <v>1899</v>
      </c>
      <c r="E202" s="1306"/>
      <c r="F202" s="1306"/>
      <c r="I202" s="490"/>
    </row>
    <row r="203" spans="1:9">
      <c r="A203" s="404"/>
      <c r="B203" s="404"/>
      <c r="D203" s="57" t="s">
        <v>1748</v>
      </c>
      <c r="E203" s="1308" t="s">
        <v>1923</v>
      </c>
      <c r="F203" s="1308"/>
      <c r="I203" s="490"/>
    </row>
    <row r="204" spans="1:9">
      <c r="A204" s="404"/>
      <c r="B204" s="404"/>
      <c r="D204" s="3"/>
      <c r="E204" s="3"/>
      <c r="F204" s="3"/>
      <c r="I204" s="490"/>
    </row>
    <row r="205" spans="1:9">
      <c r="A205" s="404"/>
      <c r="B205" s="485" t="s">
        <v>2796</v>
      </c>
      <c r="D205" s="1307" t="s">
        <v>1749</v>
      </c>
      <c r="E205" s="1307"/>
      <c r="F205" s="1307"/>
      <c r="I205" s="490"/>
    </row>
    <row r="206" spans="1:9">
      <c r="A206" s="404"/>
      <c r="B206" s="404"/>
      <c r="D206" s="1306" t="s">
        <v>1899</v>
      </c>
      <c r="E206" s="1306"/>
      <c r="F206" s="1306"/>
      <c r="I206" s="490"/>
    </row>
    <row r="207" spans="1:9">
      <c r="A207" s="404"/>
      <c r="B207" s="404"/>
      <c r="D207" s="57" t="s">
        <v>1746</v>
      </c>
      <c r="E207" s="1308" t="s">
        <v>1924</v>
      </c>
      <c r="F207" s="1308"/>
      <c r="I207" s="490"/>
    </row>
    <row r="208" spans="1:9">
      <c r="A208" s="404"/>
      <c r="B208" s="404"/>
      <c r="D208" s="392"/>
      <c r="E208" s="392"/>
      <c r="F208" s="392"/>
      <c r="I208" s="490"/>
    </row>
    <row r="209" spans="1:9" ht="14.25" customHeight="1">
      <c r="A209" s="484"/>
      <c r="B209" s="485" t="s">
        <v>2796</v>
      </c>
      <c r="D209" s="386" t="s">
        <v>1892</v>
      </c>
      <c r="E209" s="385"/>
      <c r="F209" s="385"/>
      <c r="I209" s="490"/>
    </row>
    <row r="210" spans="1:9" ht="14.25">
      <c r="A210" s="484"/>
      <c r="B210" s="484"/>
      <c r="D210" s="1306" t="s">
        <v>1899</v>
      </c>
      <c r="E210" s="1306"/>
      <c r="F210" s="1306"/>
      <c r="I210" s="490"/>
    </row>
    <row r="211" spans="1:9">
      <c r="D211" s="385"/>
      <c r="E211" s="1308" t="s">
        <v>1925</v>
      </c>
      <c r="F211" s="1308"/>
      <c r="I211" s="490"/>
    </row>
    <row r="212" spans="1:9">
      <c r="D212" s="447"/>
      <c r="I212" s="490"/>
    </row>
    <row r="213" spans="1:9">
      <c r="B213" s="485" t="s">
        <v>2796</v>
      </c>
      <c r="D213" s="1307" t="s">
        <v>1750</v>
      </c>
      <c r="E213" s="1307"/>
      <c r="F213" s="1307"/>
      <c r="I213" s="490"/>
    </row>
    <row r="214" spans="1:9">
      <c r="D214" s="1306" t="s">
        <v>1899</v>
      </c>
      <c r="E214" s="1306"/>
      <c r="F214" s="1306"/>
      <c r="I214" s="490"/>
    </row>
    <row r="215" spans="1:9">
      <c r="D215" s="57" t="s">
        <v>1746</v>
      </c>
      <c r="E215" s="1308" t="s">
        <v>1926</v>
      </c>
      <c r="F215" s="1308"/>
      <c r="I215" s="490"/>
    </row>
    <row r="216" spans="1:9">
      <c r="D216" s="451"/>
      <c r="E216" s="451"/>
      <c r="F216" s="451"/>
      <c r="I216" s="490"/>
    </row>
    <row r="217" spans="1:9" ht="14.25">
      <c r="A217" s="484"/>
      <c r="B217" s="485" t="s">
        <v>2796</v>
      </c>
      <c r="D217" s="1289" t="s">
        <v>1214</v>
      </c>
      <c r="E217" s="1289"/>
      <c r="F217" s="1289"/>
      <c r="I217" s="490"/>
    </row>
    <row r="218" spans="1:9" ht="14.45" customHeight="1">
      <c r="A218" s="484"/>
      <c r="B218" s="402"/>
      <c r="D218" s="1289"/>
      <c r="E218" s="1289"/>
      <c r="F218" s="1289"/>
      <c r="I218" s="490"/>
    </row>
    <row r="219" spans="1:9" ht="14.25">
      <c r="A219" s="484"/>
      <c r="D219" s="1289"/>
      <c r="E219" s="1289"/>
      <c r="F219" s="1289"/>
      <c r="I219" s="490"/>
    </row>
    <row r="220" spans="1:9" ht="14.25">
      <c r="A220" s="484"/>
      <c r="D220" s="1289"/>
      <c r="E220" s="1289"/>
      <c r="F220" s="1289"/>
      <c r="I220" s="490"/>
    </row>
    <row r="221" spans="1:9">
      <c r="D221" s="451"/>
      <c r="E221" s="451"/>
      <c r="F221" s="451"/>
      <c r="I221" s="490"/>
    </row>
    <row r="222" spans="1:9">
      <c r="A222" s="1292" t="s">
        <v>1044</v>
      </c>
      <c r="B222" s="1292"/>
      <c r="C222" s="1292"/>
      <c r="D222" s="1292"/>
      <c r="E222" s="1292"/>
      <c r="F222" s="1292"/>
      <c r="G222" s="1292"/>
      <c r="H222" s="1028"/>
      <c r="I222" s="1153"/>
    </row>
    <row r="223" spans="1:9" ht="12" customHeight="1">
      <c r="D223" s="446"/>
      <c r="E223" s="446"/>
      <c r="F223" s="446"/>
      <c r="I223" s="490"/>
    </row>
    <row r="224" spans="1:9">
      <c r="C224" s="486"/>
      <c r="D224" s="1297" t="s">
        <v>208</v>
      </c>
      <c r="E224" s="1297"/>
      <c r="F224" s="1297"/>
      <c r="I224" s="490"/>
    </row>
    <row r="225" spans="1:9">
      <c r="A225" s="482"/>
      <c r="B225" s="482"/>
      <c r="C225" s="482"/>
      <c r="D225" s="1290" t="s">
        <v>1118</v>
      </c>
      <c r="E225" s="1290"/>
      <c r="F225" s="1290"/>
      <c r="I225" s="490"/>
    </row>
    <row r="226" spans="1:9" ht="12" customHeight="1">
      <c r="A226" s="490"/>
      <c r="B226" s="490"/>
      <c r="C226" s="490"/>
      <c r="I226" s="490"/>
    </row>
    <row r="227" spans="1:9" ht="13.7" customHeight="1">
      <c r="A227" s="490"/>
      <c r="C227" s="490"/>
      <c r="D227" s="1297" t="s">
        <v>546</v>
      </c>
      <c r="E227" s="1297"/>
      <c r="F227" s="1297"/>
      <c r="I227" s="490"/>
    </row>
    <row r="228" spans="1:9" ht="14.25">
      <c r="A228" s="484"/>
      <c r="B228" s="485" t="s">
        <v>2795</v>
      </c>
      <c r="D228" s="1289" t="s">
        <v>1751</v>
      </c>
      <c r="E228" s="1289"/>
      <c r="F228" s="1289"/>
      <c r="I228" s="490"/>
    </row>
    <row r="229" spans="1:9" ht="14.25" customHeight="1">
      <c r="A229" s="484"/>
      <c r="B229" s="484"/>
      <c r="D229" s="1289"/>
      <c r="E229" s="1289"/>
      <c r="F229" s="1289"/>
      <c r="I229" s="490"/>
    </row>
    <row r="230" spans="1:9" ht="14.25" customHeight="1">
      <c r="A230" s="484"/>
      <c r="B230" s="484"/>
      <c r="D230" s="1289"/>
      <c r="E230" s="1289"/>
      <c r="F230" s="1289"/>
      <c r="I230" s="490"/>
    </row>
    <row r="231" spans="1:9" ht="14.25">
      <c r="A231" s="484"/>
      <c r="B231" s="484"/>
      <c r="D231" s="1289"/>
      <c r="E231" s="1289"/>
      <c r="F231" s="1289"/>
      <c r="I231" s="490"/>
    </row>
    <row r="232" spans="1:9" ht="14.25">
      <c r="A232" s="484"/>
      <c r="B232" s="484"/>
      <c r="D232" s="445"/>
      <c r="E232" s="445"/>
      <c r="F232" s="445"/>
      <c r="I232" s="490"/>
    </row>
    <row r="233" spans="1:9" ht="14.25">
      <c r="A233" s="484"/>
      <c r="B233" s="485" t="s">
        <v>2795</v>
      </c>
      <c r="D233" s="1289" t="s">
        <v>1752</v>
      </c>
      <c r="E233" s="1289"/>
      <c r="F233" s="1289"/>
      <c r="I233" s="490"/>
    </row>
    <row r="234" spans="1:9" ht="14.25">
      <c r="A234" s="484"/>
      <c r="B234" s="484"/>
      <c r="D234" s="1289"/>
      <c r="E234" s="1289"/>
      <c r="F234" s="1289"/>
      <c r="I234" s="490"/>
    </row>
    <row r="235" spans="1:9" ht="14.25">
      <c r="A235" s="484"/>
      <c r="B235" s="484"/>
      <c r="D235" s="1289"/>
      <c r="E235" s="1289"/>
      <c r="F235" s="1289"/>
      <c r="I235" s="490"/>
    </row>
    <row r="236" spans="1:9" ht="14.25">
      <c r="A236" s="484"/>
      <c r="B236" s="484"/>
      <c r="D236" s="1289"/>
      <c r="E236" s="1289"/>
      <c r="F236" s="1289"/>
      <c r="I236" s="490"/>
    </row>
    <row r="237" spans="1:9" ht="14.25" customHeight="1">
      <c r="A237" s="484"/>
      <c r="B237" s="484"/>
      <c r="D237" s="1289"/>
      <c r="E237" s="1289"/>
      <c r="F237" s="1289"/>
      <c r="I237" s="490"/>
    </row>
    <row r="238" spans="1:9" ht="14.25" customHeight="1">
      <c r="A238" s="484"/>
      <c r="B238" s="484"/>
      <c r="D238" s="445"/>
      <c r="E238" s="445"/>
      <c r="F238" s="445"/>
      <c r="I238" s="490"/>
    </row>
    <row r="239" spans="1:9" ht="14.25">
      <c r="A239" s="484"/>
      <c r="B239" s="484"/>
      <c r="D239" s="1289" t="s">
        <v>1116</v>
      </c>
      <c r="E239" s="1289"/>
      <c r="F239" s="1289"/>
      <c r="I239" s="490"/>
    </row>
    <row r="240" spans="1:9" ht="14.25">
      <c r="A240" s="484"/>
      <c r="B240" s="484"/>
      <c r="D240" s="1289"/>
      <c r="E240" s="1289"/>
      <c r="F240" s="1289"/>
      <c r="I240" s="490"/>
    </row>
    <row r="241" spans="1:9" ht="14.25">
      <c r="A241" s="484"/>
      <c r="B241" s="484"/>
      <c r="D241" s="1289"/>
      <c r="E241" s="1289"/>
      <c r="F241" s="1289"/>
      <c r="I241" s="490"/>
    </row>
    <row r="242" spans="1:9" ht="14.25">
      <c r="A242" s="484"/>
      <c r="B242" s="484"/>
      <c r="D242" s="1289"/>
      <c r="E242" s="1289"/>
      <c r="F242" s="1289"/>
      <c r="I242" s="490"/>
    </row>
    <row r="243" spans="1:9" ht="14.25">
      <c r="A243" s="484"/>
      <c r="B243" s="484"/>
      <c r="D243" s="1289"/>
      <c r="E243" s="1289"/>
      <c r="F243" s="1289"/>
      <c r="I243" s="490"/>
    </row>
    <row r="244" spans="1:9" ht="14.25">
      <c r="A244" s="484"/>
      <c r="B244" s="484"/>
      <c r="D244" s="446"/>
      <c r="E244" s="446"/>
      <c r="F244" s="446"/>
      <c r="I244" s="490"/>
    </row>
    <row r="245" spans="1:9" ht="14.25">
      <c r="A245" s="484"/>
      <c r="B245" s="485" t="s">
        <v>2795</v>
      </c>
      <c r="D245" s="1289" t="s">
        <v>2050</v>
      </c>
      <c r="E245" s="1289"/>
      <c r="F245" s="1289"/>
      <c r="I245" s="490"/>
    </row>
    <row r="246" spans="1:9" ht="14.25">
      <c r="A246" s="484"/>
      <c r="B246" s="484"/>
      <c r="D246" s="1289"/>
      <c r="E246" s="1289"/>
      <c r="F246" s="1289"/>
      <c r="I246" s="490"/>
    </row>
    <row r="247" spans="1:9" ht="14.25">
      <c r="A247" s="484"/>
      <c r="B247" s="484"/>
      <c r="D247" s="1289"/>
      <c r="E247" s="1289"/>
      <c r="F247" s="1289"/>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2795</v>
      </c>
      <c r="D250" s="1289" t="s">
        <v>2051</v>
      </c>
      <c r="E250" s="1289"/>
      <c r="F250" s="1289"/>
      <c r="I250" s="490"/>
    </row>
    <row r="251" spans="1:9" ht="14.25">
      <c r="A251" s="484"/>
      <c r="B251" s="484"/>
      <c r="D251" s="1289"/>
      <c r="E251" s="1289"/>
      <c r="F251" s="1289"/>
      <c r="I251" s="490"/>
    </row>
    <row r="252" spans="1:9" ht="14.25">
      <c r="A252" s="484"/>
      <c r="B252" s="484"/>
      <c r="D252" s="1289"/>
      <c r="E252" s="1289"/>
      <c r="F252" s="1289"/>
      <c r="I252" s="490"/>
    </row>
    <row r="253" spans="1:9" ht="14.25">
      <c r="A253" s="484"/>
      <c r="B253" s="484"/>
      <c r="D253" s="1289"/>
      <c r="E253" s="1289"/>
      <c r="F253" s="1289"/>
      <c r="I253" s="490"/>
    </row>
    <row r="254" spans="1:9" ht="14.25">
      <c r="A254" s="484"/>
      <c r="B254" s="484"/>
      <c r="D254" s="1289"/>
      <c r="E254" s="1289"/>
      <c r="F254" s="1289"/>
      <c r="I254" s="490"/>
    </row>
    <row r="255" spans="1:9" ht="14.25">
      <c r="A255" s="484"/>
      <c r="B255" s="484"/>
      <c r="D255" s="445"/>
      <c r="E255" s="445"/>
      <c r="F255" s="445"/>
      <c r="I255" s="490"/>
    </row>
    <row r="256" spans="1:9" ht="14.25">
      <c r="A256" s="484"/>
      <c r="B256" s="485" t="s">
        <v>2795</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2795</v>
      </c>
      <c r="D259" s="1289" t="s">
        <v>1117</v>
      </c>
      <c r="E259" s="1289"/>
      <c r="F259" s="1289"/>
      <c r="I259" s="490"/>
    </row>
    <row r="260" spans="1:9" ht="14.25">
      <c r="A260" s="484"/>
      <c r="B260" s="484"/>
      <c r="D260" s="1289"/>
      <c r="E260" s="1289"/>
      <c r="F260" s="1289"/>
      <c r="I260" s="490"/>
    </row>
    <row r="261" spans="1:9">
      <c r="D261" s="491"/>
      <c r="I261" s="490"/>
    </row>
    <row r="262" spans="1:9">
      <c r="A262" s="1292" t="s">
        <v>1045</v>
      </c>
      <c r="B262" s="1292"/>
      <c r="C262" s="1292"/>
      <c r="D262" s="1292"/>
      <c r="E262" s="1292"/>
      <c r="F262" s="1292"/>
      <c r="G262" s="1292"/>
      <c r="H262" s="1028"/>
      <c r="I262" s="1153"/>
    </row>
    <row r="263" spans="1:9">
      <c r="D263" s="491"/>
      <c r="I263" s="490"/>
    </row>
    <row r="264" spans="1:9">
      <c r="C264" s="486"/>
      <c r="D264" s="1297" t="s">
        <v>1119</v>
      </c>
      <c r="E264" s="1297"/>
      <c r="F264" s="1297"/>
      <c r="I264" s="490"/>
    </row>
    <row r="265" spans="1:9">
      <c r="A265" s="482"/>
      <c r="B265" s="482"/>
      <c r="C265" s="482"/>
      <c r="D265" s="446"/>
      <c r="E265" s="446"/>
      <c r="F265" s="446"/>
      <c r="I265" s="490"/>
    </row>
    <row r="266" spans="1:9">
      <c r="A266" s="483"/>
      <c r="B266" s="483"/>
      <c r="C266" s="483"/>
      <c r="D266" s="1297" t="s">
        <v>269</v>
      </c>
      <c r="E266" s="1297"/>
      <c r="F266" s="1297"/>
      <c r="I266" s="490"/>
    </row>
    <row r="267" spans="1:9" ht="14.45" customHeight="1">
      <c r="A267" s="484"/>
      <c r="B267" s="485" t="s">
        <v>2795</v>
      </c>
      <c r="D267" s="1289" t="s">
        <v>1194</v>
      </c>
      <c r="E267" s="1289"/>
      <c r="F267" s="1289"/>
      <c r="I267" s="490"/>
    </row>
    <row r="268" spans="1:9">
      <c r="D268" s="1289"/>
      <c r="E268" s="1289"/>
      <c r="F268" s="1289"/>
      <c r="I268" s="490"/>
    </row>
    <row r="269" spans="1:9">
      <c r="E269" s="1036" t="s">
        <v>1895</v>
      </c>
      <c r="I269" s="490"/>
    </row>
    <row r="270" spans="1:9">
      <c r="D270" s="446"/>
      <c r="E270" s="446"/>
      <c r="F270" s="446"/>
      <c r="I270" s="490"/>
    </row>
    <row r="271" spans="1:9" ht="14.45" customHeight="1">
      <c r="A271" s="484"/>
      <c r="B271" s="485" t="s">
        <v>2795</v>
      </c>
      <c r="D271" s="1289" t="s">
        <v>2053</v>
      </c>
      <c r="E271" s="1289"/>
      <c r="F271" s="1289"/>
      <c r="I271" s="490"/>
    </row>
    <row r="272" spans="1:9">
      <c r="D272" s="1289"/>
      <c r="E272" s="1289"/>
      <c r="F272" s="1289"/>
      <c r="I272" s="490"/>
    </row>
    <row r="273" spans="1:9">
      <c r="D273" s="1289"/>
      <c r="E273" s="1289"/>
      <c r="F273" s="1289"/>
      <c r="I273" s="490"/>
    </row>
    <row r="274" spans="1:9">
      <c r="D274" s="1289"/>
      <c r="E274" s="1289"/>
      <c r="F274" s="1289"/>
      <c r="I274" s="490"/>
    </row>
    <row r="275" spans="1:9">
      <c r="D275" s="1289"/>
      <c r="E275" s="1289"/>
      <c r="F275" s="1289"/>
      <c r="I275" s="490"/>
    </row>
    <row r="276" spans="1:9">
      <c r="D276" s="1289"/>
      <c r="E276" s="1289"/>
      <c r="F276" s="1289"/>
      <c r="I276" s="490"/>
    </row>
    <row r="277" spans="1:9">
      <c r="D277" s="446"/>
      <c r="E277" s="446"/>
      <c r="F277" s="446"/>
      <c r="I277" s="490"/>
    </row>
    <row r="278" spans="1:9" ht="14.25">
      <c r="A278" s="484"/>
      <c r="B278" s="485" t="s">
        <v>2796</v>
      </c>
      <c r="D278" s="1289" t="s">
        <v>1120</v>
      </c>
      <c r="E278" s="1289"/>
      <c r="F278" s="1289"/>
      <c r="I278" s="490"/>
    </row>
    <row r="279" spans="1:9">
      <c r="D279" s="1289"/>
      <c r="E279" s="1289"/>
      <c r="F279" s="1289"/>
      <c r="I279" s="490"/>
    </row>
    <row r="280" spans="1:9">
      <c r="D280" s="1289"/>
      <c r="E280" s="1289"/>
      <c r="F280" s="1289"/>
      <c r="I280" s="490"/>
    </row>
    <row r="281" spans="1:9">
      <c r="D281" s="492"/>
      <c r="E281" s="446"/>
      <c r="F281" s="446"/>
      <c r="I281" s="490"/>
    </row>
    <row r="282" spans="1:9">
      <c r="A282" s="1292" t="s">
        <v>1046</v>
      </c>
      <c r="B282" s="1292"/>
      <c r="C282" s="1292"/>
      <c r="D282" s="1292"/>
      <c r="E282" s="1292"/>
      <c r="F282" s="1292"/>
      <c r="G282" s="1292"/>
      <c r="H282" s="1028"/>
      <c r="I282" s="1153"/>
    </row>
    <row r="283" spans="1:9">
      <c r="D283" s="492"/>
      <c r="E283" s="446"/>
      <c r="F283" s="446"/>
      <c r="I283" s="490"/>
    </row>
    <row r="284" spans="1:9">
      <c r="C284" s="482"/>
      <c r="D284" s="1291" t="s">
        <v>1121</v>
      </c>
      <c r="E284" s="1291"/>
      <c r="F284" s="1291"/>
      <c r="I284" s="490"/>
    </row>
    <row r="285" spans="1:9">
      <c r="C285" s="482"/>
      <c r="D285" s="1291"/>
      <c r="E285" s="1291"/>
      <c r="F285" s="1291"/>
      <c r="I285" s="490"/>
    </row>
    <row r="286" spans="1:9">
      <c r="A286" s="483"/>
      <c r="B286" s="483"/>
      <c r="C286" s="483"/>
      <c r="D286" s="404"/>
      <c r="I286" s="490"/>
    </row>
    <row r="287" spans="1:9">
      <c r="C287" s="483"/>
      <c r="D287" s="1297" t="s">
        <v>209</v>
      </c>
      <c r="E287" s="1297"/>
      <c r="F287" s="1297"/>
      <c r="I287" s="490"/>
    </row>
    <row r="288" spans="1:9" ht="15.75" customHeight="1">
      <c r="A288" s="484"/>
      <c r="B288" s="484"/>
      <c r="D288" s="1304" t="s">
        <v>1122</v>
      </c>
      <c r="E288" s="1304"/>
      <c r="F288" s="1304"/>
      <c r="I288" s="490"/>
    </row>
    <row r="289" spans="1:9">
      <c r="E289" s="446"/>
      <c r="F289" s="446"/>
      <c r="I289" s="490"/>
    </row>
    <row r="290" spans="1:9" ht="14.25">
      <c r="A290" s="484"/>
      <c r="B290" s="485" t="s">
        <v>2795</v>
      </c>
      <c r="D290" s="1289" t="s">
        <v>1123</v>
      </c>
      <c r="E290" s="1289"/>
      <c r="F290" s="1289"/>
      <c r="I290" s="490"/>
    </row>
    <row r="291" spans="1:9" ht="14.25">
      <c r="A291" s="484"/>
      <c r="B291" s="484"/>
      <c r="D291" s="1289"/>
      <c r="E291" s="1289"/>
      <c r="F291" s="1289"/>
      <c r="I291" s="490"/>
    </row>
    <row r="292" spans="1:9">
      <c r="D292" s="446"/>
      <c r="E292" s="446"/>
      <c r="F292" s="446"/>
      <c r="I292" s="490"/>
    </row>
    <row r="293" spans="1:9" ht="14.25">
      <c r="A293" s="484"/>
      <c r="B293" s="485" t="s">
        <v>2795</v>
      </c>
      <c r="D293" s="1289" t="s">
        <v>1124</v>
      </c>
      <c r="E293" s="1289"/>
      <c r="F293" s="1289"/>
      <c r="I293" s="490"/>
    </row>
    <row r="294" spans="1:9" ht="14.25">
      <c r="A294" s="484"/>
      <c r="B294" s="484"/>
      <c r="D294" s="1289"/>
      <c r="E294" s="1289"/>
      <c r="F294" s="1289"/>
      <c r="I294" s="490"/>
    </row>
    <row r="295" spans="1:9" ht="14.25">
      <c r="A295" s="484"/>
      <c r="B295" s="484"/>
      <c r="D295" s="1289"/>
      <c r="E295" s="1289"/>
      <c r="F295" s="1289"/>
      <c r="I295" s="490"/>
    </row>
    <row r="296" spans="1:9">
      <c r="D296" s="446"/>
      <c r="E296" s="446"/>
      <c r="F296" s="446"/>
      <c r="I296" s="490"/>
    </row>
    <row r="297" spans="1:9" ht="14.25">
      <c r="A297" s="484"/>
      <c r="B297" s="485" t="s">
        <v>2796</v>
      </c>
      <c r="D297" s="1289" t="s">
        <v>1125</v>
      </c>
      <c r="E297" s="1289"/>
      <c r="F297" s="1289"/>
      <c r="I297" s="490"/>
    </row>
    <row r="298" spans="1:9" ht="14.25">
      <c r="A298" s="484"/>
      <c r="B298" s="484"/>
      <c r="D298" s="1289"/>
      <c r="E298" s="1289"/>
      <c r="F298" s="1289"/>
      <c r="I298" s="490"/>
    </row>
    <row r="299" spans="1:9">
      <c r="A299" s="490"/>
      <c r="B299" s="490"/>
      <c r="E299" s="446"/>
      <c r="F299" s="446"/>
      <c r="I299" s="490"/>
    </row>
    <row r="300" spans="1:9">
      <c r="A300" s="1292" t="s">
        <v>1047</v>
      </c>
      <c r="B300" s="1292"/>
      <c r="C300" s="1292"/>
      <c r="D300" s="1292"/>
      <c r="E300" s="1292"/>
      <c r="F300" s="1292"/>
      <c r="G300" s="1292"/>
      <c r="H300" s="1028"/>
      <c r="I300" s="1153"/>
    </row>
    <row r="301" spans="1:9">
      <c r="A301" s="490"/>
      <c r="B301" s="490"/>
      <c r="D301" s="446"/>
      <c r="E301" s="446"/>
      <c r="F301" s="446"/>
      <c r="I301" s="490"/>
    </row>
    <row r="302" spans="1:9">
      <c r="C302" s="490"/>
      <c r="D302" s="1297" t="s">
        <v>681</v>
      </c>
      <c r="E302" s="1297"/>
      <c r="F302" s="1297"/>
      <c r="I302" s="490"/>
    </row>
    <row r="303" spans="1:9">
      <c r="C303" s="490"/>
      <c r="D303" s="1290" t="s">
        <v>1126</v>
      </c>
      <c r="E303" s="1290"/>
      <c r="F303" s="1290"/>
      <c r="I303" s="490"/>
    </row>
    <row r="304" spans="1:9">
      <c r="C304" s="490"/>
      <c r="D304" s="493"/>
      <c r="I304" s="490"/>
    </row>
    <row r="305" spans="1:9">
      <c r="B305" s="485" t="s">
        <v>2795</v>
      </c>
      <c r="D305" s="1290" t="s">
        <v>1127</v>
      </c>
      <c r="E305" s="1290"/>
      <c r="F305" s="1290"/>
      <c r="I305" s="490"/>
    </row>
    <row r="306" spans="1:9" ht="14.25">
      <c r="A306" s="484"/>
      <c r="B306" s="484"/>
      <c r="D306" s="494"/>
      <c r="E306" s="495"/>
      <c r="F306" s="495"/>
      <c r="I306" s="490"/>
    </row>
    <row r="307" spans="1:9" ht="13.7" customHeight="1">
      <c r="B307" s="485" t="s">
        <v>2796</v>
      </c>
      <c r="D307" s="1299" t="s">
        <v>1217</v>
      </c>
      <c r="E307" s="1299"/>
      <c r="F307" s="1299"/>
      <c r="I307" s="490"/>
    </row>
    <row r="308" spans="1:9" ht="14.25">
      <c r="A308" s="484"/>
      <c r="B308" s="484"/>
      <c r="D308" s="1299"/>
      <c r="E308" s="1299"/>
      <c r="F308" s="1299"/>
      <c r="I308" s="490"/>
    </row>
    <row r="309" spans="1:9" ht="14.25">
      <c r="A309" s="484"/>
      <c r="B309" s="484"/>
      <c r="D309" s="1299"/>
      <c r="E309" s="1299"/>
      <c r="F309" s="1299"/>
      <c r="I309" s="490"/>
    </row>
    <row r="310" spans="1:9" ht="14.25">
      <c r="A310" s="484"/>
      <c r="B310" s="484"/>
      <c r="D310" s="1299"/>
      <c r="E310" s="1299"/>
      <c r="F310" s="1299"/>
      <c r="I310" s="490"/>
    </row>
    <row r="311" spans="1:9" ht="14.25">
      <c r="A311" s="484"/>
      <c r="B311" s="484"/>
      <c r="D311" s="1299"/>
      <c r="E311" s="1299"/>
      <c r="F311" s="1299"/>
      <c r="I311" s="490"/>
    </row>
    <row r="312" spans="1:9" ht="14.25">
      <c r="A312" s="484"/>
      <c r="B312" s="484"/>
      <c r="D312" s="494"/>
      <c r="E312" s="495"/>
      <c r="F312" s="495"/>
      <c r="I312" s="490"/>
    </row>
    <row r="313" spans="1:9" ht="13.7" customHeight="1">
      <c r="B313" s="485" t="s">
        <v>2796</v>
      </c>
      <c r="D313" s="1299" t="s">
        <v>1128</v>
      </c>
      <c r="E313" s="1299"/>
      <c r="F313" s="1299"/>
      <c r="I313" s="490"/>
    </row>
    <row r="314" spans="1:9">
      <c r="D314" s="1299"/>
      <c r="E314" s="1299"/>
      <c r="F314" s="1299"/>
      <c r="I314" s="490"/>
    </row>
    <row r="315" spans="1:9" ht="14.25">
      <c r="A315" s="484"/>
      <c r="B315" s="484"/>
      <c r="D315" s="494"/>
      <c r="E315" s="495"/>
      <c r="F315" s="495"/>
      <c r="I315" s="490"/>
    </row>
    <row r="316" spans="1:9">
      <c r="B316" s="485" t="s">
        <v>2795</v>
      </c>
      <c r="D316" s="1290" t="s">
        <v>1129</v>
      </c>
      <c r="E316" s="1290"/>
      <c r="F316" s="1290"/>
      <c r="I316" s="490"/>
    </row>
    <row r="317" spans="1:9">
      <c r="E317" s="446"/>
      <c r="F317" s="446"/>
      <c r="I317" s="490"/>
    </row>
    <row r="318" spans="1:9" ht="14.25">
      <c r="A318" s="484"/>
      <c r="B318" s="485" t="s">
        <v>2795</v>
      </c>
      <c r="D318" s="1289" t="s">
        <v>2242</v>
      </c>
      <c r="E318" s="1289"/>
      <c r="F318" s="1289"/>
      <c r="I318" s="490"/>
    </row>
    <row r="319" spans="1:9" ht="14.25">
      <c r="A319" s="484"/>
      <c r="B319" s="484"/>
      <c r="D319" s="1289"/>
      <c r="E319" s="1289"/>
      <c r="F319" s="1289"/>
      <c r="I319" s="490"/>
    </row>
    <row r="320" spans="1:9" ht="14.25">
      <c r="A320" s="484"/>
      <c r="B320" s="484"/>
      <c r="D320" s="1289"/>
      <c r="E320" s="1289"/>
      <c r="F320" s="1289"/>
      <c r="I320" s="490"/>
    </row>
    <row r="321" spans="1:9" ht="14.25">
      <c r="A321" s="484"/>
      <c r="B321" s="484"/>
      <c r="D321" s="1289"/>
      <c r="E321" s="1289"/>
      <c r="F321" s="1289"/>
      <c r="I321" s="490"/>
    </row>
    <row r="322" spans="1:9" ht="14.25">
      <c r="A322" s="484"/>
      <c r="B322" s="484"/>
      <c r="D322" s="1289"/>
      <c r="E322" s="1289"/>
      <c r="F322" s="1289"/>
      <c r="I322" s="490"/>
    </row>
    <row r="323" spans="1:9" ht="14.25">
      <c r="A323" s="484"/>
      <c r="B323" s="484"/>
      <c r="D323" s="1289"/>
      <c r="E323" s="1289"/>
      <c r="F323" s="1289"/>
      <c r="I323" s="490"/>
    </row>
    <row r="324" spans="1:9" ht="14.25">
      <c r="A324" s="484"/>
      <c r="B324" s="484"/>
      <c r="D324" s="1289"/>
      <c r="E324" s="1289"/>
      <c r="F324" s="1289"/>
      <c r="I324" s="490"/>
    </row>
    <row r="325" spans="1:9" ht="14.25">
      <c r="A325" s="484"/>
      <c r="B325" s="484"/>
      <c r="D325" s="1289"/>
      <c r="E325" s="1289"/>
      <c r="F325" s="1289"/>
      <c r="I325" s="490"/>
    </row>
    <row r="326" spans="1:9" ht="14.25">
      <c r="A326" s="484"/>
      <c r="B326" s="484"/>
      <c r="D326" s="1289"/>
      <c r="E326" s="1289"/>
      <c r="F326" s="1289"/>
      <c r="I326" s="490"/>
    </row>
    <row r="327" spans="1:9" ht="14.25">
      <c r="A327" s="484"/>
      <c r="B327" s="484"/>
      <c r="D327" s="1289"/>
      <c r="E327" s="1289"/>
      <c r="F327" s="1289"/>
      <c r="I327" s="490"/>
    </row>
    <row r="328" spans="1:9" ht="14.25">
      <c r="A328" s="484"/>
      <c r="B328" s="484"/>
      <c r="D328" s="1289"/>
      <c r="E328" s="1289"/>
      <c r="F328" s="1289"/>
      <c r="I328" s="490"/>
    </row>
    <row r="329" spans="1:9" ht="14.25">
      <c r="A329" s="484"/>
      <c r="B329" s="484"/>
      <c r="D329" s="1289"/>
      <c r="E329" s="1289"/>
      <c r="F329" s="1289"/>
      <c r="I329" s="490"/>
    </row>
    <row r="330" spans="1:9" ht="14.25">
      <c r="A330" s="484"/>
      <c r="B330" s="484"/>
      <c r="D330" s="1289"/>
      <c r="E330" s="1289"/>
      <c r="F330" s="1289"/>
      <c r="I330" s="490"/>
    </row>
    <row r="331" spans="1:9" ht="14.25">
      <c r="A331" s="484"/>
      <c r="B331" s="484"/>
      <c r="D331" s="1289"/>
      <c r="E331" s="1289"/>
      <c r="F331" s="1289"/>
      <c r="I331" s="490"/>
    </row>
    <row r="332" spans="1:9" ht="14.25">
      <c r="A332" s="484"/>
      <c r="B332" s="484"/>
      <c r="D332" s="1289"/>
      <c r="E332" s="1289"/>
      <c r="F332" s="1289"/>
      <c r="I332" s="490"/>
    </row>
    <row r="333" spans="1:9">
      <c r="D333" s="446"/>
      <c r="E333" s="446"/>
      <c r="F333" s="446"/>
      <c r="I333" s="490"/>
    </row>
    <row r="334" spans="1:9" ht="14.25">
      <c r="A334" s="484"/>
      <c r="B334" s="485" t="s">
        <v>2796</v>
      </c>
      <c r="D334" s="1289" t="s">
        <v>1130</v>
      </c>
      <c r="E334" s="1289"/>
      <c r="F334" s="1289"/>
      <c r="I334" s="490"/>
    </row>
    <row r="335" spans="1:9">
      <c r="D335" s="1289"/>
      <c r="E335" s="1289"/>
      <c r="F335" s="1289"/>
      <c r="I335" s="490"/>
    </row>
    <row r="336" spans="1:9">
      <c r="D336" s="1289"/>
      <c r="E336" s="1289"/>
      <c r="F336" s="1289"/>
      <c r="I336" s="490"/>
    </row>
    <row r="337" spans="1:9">
      <c r="D337" s="1289"/>
      <c r="E337" s="1289"/>
      <c r="F337" s="1289"/>
      <c r="I337" s="490"/>
    </row>
    <row r="338" spans="1:9">
      <c r="D338" s="1289"/>
      <c r="E338" s="1289"/>
      <c r="F338" s="1289"/>
      <c r="I338" s="490"/>
    </row>
    <row r="339" spans="1:9">
      <c r="D339" s="1289"/>
      <c r="E339" s="1289"/>
      <c r="F339" s="1289"/>
      <c r="I339" s="490"/>
    </row>
    <row r="340" spans="1:9">
      <c r="D340" s="1289"/>
      <c r="E340" s="1289"/>
      <c r="F340" s="1289"/>
      <c r="I340" s="490"/>
    </row>
    <row r="341" spans="1:9">
      <c r="D341" s="1289"/>
      <c r="E341" s="1289"/>
      <c r="F341" s="1289"/>
      <c r="I341" s="490"/>
    </row>
    <row r="342" spans="1:9">
      <c r="D342" s="1289"/>
      <c r="E342" s="1289"/>
      <c r="F342" s="1289"/>
      <c r="I342" s="490"/>
    </row>
    <row r="343" spans="1:9">
      <c r="D343" s="446"/>
      <c r="E343" s="446"/>
      <c r="F343" s="446"/>
      <c r="I343" s="490"/>
    </row>
    <row r="344" spans="1:9" ht="14.25" customHeight="1">
      <c r="A344" s="484"/>
      <c r="B344" s="485" t="s">
        <v>2795</v>
      </c>
      <c r="D344" s="1289" t="s">
        <v>1900</v>
      </c>
      <c r="E344" s="1289"/>
      <c r="F344" s="1289"/>
      <c r="I344" s="490"/>
    </row>
    <row r="345" spans="1:9">
      <c r="D345" s="1289"/>
      <c r="E345" s="1289"/>
      <c r="F345" s="1289"/>
      <c r="I345" s="490"/>
    </row>
    <row r="346" spans="1:9">
      <c r="D346" s="1289"/>
      <c r="E346" s="1289"/>
      <c r="F346" s="1289"/>
      <c r="I346" s="490"/>
    </row>
    <row r="347" spans="1:9">
      <c r="D347" s="1289"/>
      <c r="E347" s="1289"/>
      <c r="F347" s="1289"/>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02" t="s">
        <v>977</v>
      </c>
      <c r="E351" s="1302"/>
      <c r="F351" s="1302"/>
      <c r="G351" s="1027"/>
      <c r="H351" s="1027"/>
      <c r="I351" s="1156"/>
    </row>
    <row r="352" spans="1:9" ht="13.5" thickTop="1">
      <c r="D352" s="1300" t="s">
        <v>2243</v>
      </c>
      <c r="E352" s="1300"/>
      <c r="F352" s="1300"/>
      <c r="I352" s="490"/>
    </row>
    <row r="353" spans="1:9">
      <c r="D353" s="446"/>
      <c r="E353" s="446"/>
      <c r="F353" s="446"/>
      <c r="I353" s="490"/>
    </row>
    <row r="354" spans="1:9">
      <c r="A354" s="476"/>
      <c r="B354" s="476"/>
      <c r="C354" s="476"/>
      <c r="D354" s="447"/>
      <c r="E354" s="447"/>
      <c r="F354" s="446"/>
      <c r="I354" s="490"/>
    </row>
    <row r="355" spans="1:9" ht="14.25">
      <c r="A355" s="484"/>
      <c r="B355" s="485" t="s">
        <v>2796</v>
      </c>
      <c r="C355" s="487"/>
      <c r="D355" s="1290" t="s">
        <v>1898</v>
      </c>
      <c r="E355" s="1290"/>
      <c r="F355" s="1290"/>
      <c r="I355" s="490"/>
    </row>
    <row r="356" spans="1:9" ht="12.75" customHeight="1">
      <c r="D356" s="1037"/>
      <c r="E356" s="96" t="s">
        <v>1897</v>
      </c>
      <c r="F356" s="1037"/>
      <c r="I356" s="490"/>
    </row>
    <row r="357" spans="1:9">
      <c r="D357" s="1289" t="s">
        <v>1237</v>
      </c>
      <c r="E357" s="1289"/>
      <c r="F357" s="1289"/>
      <c r="I357" s="490"/>
    </row>
    <row r="358" spans="1:9">
      <c r="D358" s="1289"/>
      <c r="E358" s="1289"/>
      <c r="F358" s="1289"/>
      <c r="I358" s="490"/>
    </row>
    <row r="359" spans="1:9">
      <c r="D359" s="1289"/>
      <c r="E359" s="1289"/>
      <c r="F359" s="1289"/>
      <c r="I359" s="490"/>
    </row>
    <row r="360" spans="1:9" ht="14.25">
      <c r="A360" s="484"/>
      <c r="B360" s="485" t="s">
        <v>2796</v>
      </c>
      <c r="C360" s="476"/>
      <c r="D360" s="1301" t="s">
        <v>2054</v>
      </c>
      <c r="E360" s="1301"/>
      <c r="F360" s="1301"/>
      <c r="I360" s="480"/>
    </row>
    <row r="361" spans="1:9">
      <c r="A361" s="476"/>
      <c r="B361" s="476"/>
      <c r="C361" s="476"/>
      <c r="D361" s="447"/>
      <c r="E361" s="447"/>
      <c r="F361" s="446"/>
      <c r="I361" s="490"/>
    </row>
    <row r="362" spans="1:9">
      <c r="A362" s="476"/>
      <c r="B362" s="485" t="s">
        <v>2796</v>
      </c>
      <c r="C362" s="476"/>
      <c r="D362" s="1269" t="s">
        <v>2055</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2796</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2796</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2796</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2796</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2796</v>
      </c>
      <c r="D423" s="1269" t="s">
        <v>1879</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2796</v>
      </c>
      <c r="C429" s="476"/>
      <c r="D429" s="1269" t="s">
        <v>1238</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303" t="s">
        <v>2071</v>
      </c>
      <c r="E433" s="1269"/>
      <c r="F433" s="1269"/>
      <c r="I433" s="490"/>
    </row>
    <row r="434" spans="1:9">
      <c r="D434" s="446"/>
      <c r="E434" s="446"/>
      <c r="F434" s="446"/>
      <c r="I434" s="490"/>
    </row>
    <row r="435" spans="1:9" ht="14.25">
      <c r="A435" s="484"/>
      <c r="B435" s="485" t="s">
        <v>2796</v>
      </c>
      <c r="C435" s="487"/>
      <c r="D435" s="1289" t="s">
        <v>2056</v>
      </c>
      <c r="E435" s="1289"/>
      <c r="F435" s="1289"/>
      <c r="I435" s="490"/>
    </row>
    <row r="436" spans="1:9" ht="14.25">
      <c r="A436" s="484"/>
      <c r="B436" s="484"/>
      <c r="D436" s="1289"/>
      <c r="E436" s="1289"/>
      <c r="F436" s="1289"/>
      <c r="I436" s="490"/>
    </row>
    <row r="437" spans="1:9">
      <c r="D437" s="1289"/>
      <c r="E437" s="1289"/>
      <c r="F437" s="1289"/>
      <c r="I437" s="490"/>
    </row>
    <row r="438" spans="1:9">
      <c r="D438" s="1289"/>
      <c r="E438" s="1289"/>
      <c r="F438" s="1289"/>
      <c r="I438" s="490"/>
    </row>
    <row r="439" spans="1:9">
      <c r="D439" s="1289"/>
      <c r="E439" s="1289"/>
      <c r="F439" s="1289"/>
      <c r="I439" s="490"/>
    </row>
    <row r="440" spans="1:9">
      <c r="D440" s="1289"/>
      <c r="E440" s="1289"/>
      <c r="F440" s="1289"/>
      <c r="I440" s="490"/>
    </row>
    <row r="441" spans="1:9">
      <c r="D441" s="1289"/>
      <c r="E441" s="1289"/>
      <c r="F441" s="1289"/>
      <c r="I441" s="490"/>
    </row>
    <row r="442" spans="1:9">
      <c r="D442" s="1289"/>
      <c r="E442" s="1289"/>
      <c r="F442" s="1289"/>
      <c r="I442" s="490"/>
    </row>
    <row r="443" spans="1:9">
      <c r="D443" s="1289"/>
      <c r="E443" s="1289"/>
      <c r="F443" s="1289"/>
      <c r="I443" s="490"/>
    </row>
    <row r="444" spans="1:9">
      <c r="D444" s="1289"/>
      <c r="E444" s="1289"/>
      <c r="F444" s="1289"/>
      <c r="I444" s="490"/>
    </row>
    <row r="445" spans="1:9">
      <c r="D445" s="1289"/>
      <c r="E445" s="1289"/>
      <c r="F445" s="1289"/>
      <c r="I445" s="490"/>
    </row>
    <row r="446" spans="1:9">
      <c r="D446" s="1289"/>
      <c r="E446" s="1289"/>
      <c r="F446" s="1289"/>
      <c r="I446" s="490"/>
    </row>
    <row r="447" spans="1:9">
      <c r="D447" s="1289"/>
      <c r="E447" s="1289"/>
      <c r="F447" s="1289"/>
      <c r="I447" s="490"/>
    </row>
    <row r="448" spans="1:9">
      <c r="A448" s="402"/>
      <c r="B448" s="402"/>
      <c r="C448" s="402"/>
      <c r="D448" s="1289"/>
      <c r="E448" s="1289"/>
      <c r="F448" s="1289"/>
      <c r="I448" s="490"/>
    </row>
    <row r="449" spans="1:9">
      <c r="A449" s="402"/>
      <c r="B449" s="402"/>
      <c r="C449" s="402"/>
      <c r="D449" s="1289"/>
      <c r="E449" s="1289"/>
      <c r="F449" s="1289"/>
      <c r="I449" s="490"/>
    </row>
    <row r="450" spans="1:9">
      <c r="A450" s="402"/>
      <c r="B450" s="402"/>
      <c r="C450" s="402"/>
      <c r="D450" s="1289"/>
      <c r="E450" s="1289"/>
      <c r="F450" s="1289"/>
      <c r="I450" s="490"/>
    </row>
    <row r="451" spans="1:9">
      <c r="A451" s="402"/>
      <c r="B451" s="402"/>
      <c r="C451" s="402"/>
      <c r="D451" s="1289"/>
      <c r="E451" s="1289"/>
      <c r="F451" s="1289"/>
      <c r="I451" s="490"/>
    </row>
    <row r="452" spans="1:9">
      <c r="A452" s="402"/>
      <c r="B452" s="402"/>
      <c r="C452" s="402"/>
      <c r="D452" s="1289"/>
      <c r="E452" s="1289"/>
      <c r="F452" s="1289"/>
      <c r="I452" s="490"/>
    </row>
    <row r="453" spans="1:9">
      <c r="A453" s="402"/>
      <c r="B453" s="402"/>
      <c r="C453" s="402"/>
      <c r="D453" s="1289"/>
      <c r="E453" s="1289"/>
      <c r="F453" s="1289"/>
      <c r="I453" s="490"/>
    </row>
    <row r="454" spans="1:9">
      <c r="A454" s="402"/>
      <c r="B454" s="402"/>
      <c r="C454" s="402"/>
      <c r="D454" s="1289"/>
      <c r="E454" s="1289"/>
      <c r="F454" s="1289"/>
      <c r="I454" s="490"/>
    </row>
    <row r="455" spans="1:9">
      <c r="A455" s="402"/>
      <c r="B455" s="402"/>
      <c r="C455" s="402"/>
      <c r="D455" s="1289"/>
      <c r="E455" s="1289"/>
      <c r="F455" s="1289"/>
      <c r="I455" s="490"/>
    </row>
    <row r="456" spans="1:9">
      <c r="A456" s="402"/>
      <c r="B456" s="402"/>
      <c r="C456" s="402"/>
      <c r="D456" s="1289"/>
      <c r="E456" s="1289"/>
      <c r="F456" s="1289"/>
      <c r="I456" s="490"/>
    </row>
    <row r="457" spans="1:9">
      <c r="A457" s="402"/>
      <c r="B457" s="402"/>
      <c r="C457" s="402"/>
      <c r="D457" s="1289"/>
      <c r="E457" s="1289"/>
      <c r="F457" s="1289"/>
      <c r="I457" s="490"/>
    </row>
    <row r="458" spans="1:9">
      <c r="A458" s="402"/>
      <c r="B458" s="402"/>
      <c r="C458" s="402"/>
      <c r="D458" s="1289"/>
      <c r="E458" s="1289"/>
      <c r="F458" s="1289"/>
      <c r="I458" s="490"/>
    </row>
    <row r="459" spans="1:9">
      <c r="A459" s="402"/>
      <c r="B459" s="402"/>
      <c r="C459" s="402"/>
      <c r="D459" s="1289"/>
      <c r="E459" s="1289"/>
      <c r="F459" s="1289"/>
      <c r="I459" s="490"/>
    </row>
    <row r="460" spans="1:9">
      <c r="A460" s="402"/>
      <c r="B460" s="402"/>
      <c r="C460" s="402"/>
      <c r="D460" s="1289"/>
      <c r="E460" s="1289"/>
      <c r="F460" s="1289"/>
      <c r="I460" s="490"/>
    </row>
    <row r="461" spans="1:9">
      <c r="A461" s="402"/>
      <c r="B461" s="402"/>
      <c r="C461" s="402"/>
      <c r="D461" s="1289"/>
      <c r="E461" s="1289"/>
      <c r="F461" s="1289"/>
      <c r="I461" s="490"/>
    </row>
    <row r="462" spans="1:9">
      <c r="A462" s="402"/>
      <c r="B462" s="402"/>
      <c r="C462" s="402"/>
      <c r="D462" s="1289"/>
      <c r="E462" s="1289"/>
      <c r="F462" s="1289"/>
      <c r="I462" s="490"/>
    </row>
    <row r="463" spans="1:9">
      <c r="A463" s="402"/>
      <c r="B463" s="402"/>
      <c r="C463" s="402"/>
      <c r="D463" s="1289"/>
      <c r="E463" s="1289"/>
      <c r="F463" s="1289"/>
      <c r="I463" s="490"/>
    </row>
    <row r="464" spans="1:9">
      <c r="D464" s="1289"/>
      <c r="E464" s="1289"/>
      <c r="F464" s="1289"/>
      <c r="I464" s="490"/>
    </row>
    <row r="465" spans="1:9" ht="40.700000000000003" customHeight="1">
      <c r="D465" s="1289"/>
      <c r="E465" s="1289"/>
      <c r="F465" s="1289"/>
      <c r="I465" s="490"/>
    </row>
    <row r="466" spans="1:9">
      <c r="D466" s="446"/>
      <c r="E466" s="446"/>
      <c r="F466" s="446"/>
      <c r="I466" s="490"/>
    </row>
    <row r="467" spans="1:9" ht="14.25">
      <c r="A467" s="484"/>
      <c r="B467" s="485" t="s">
        <v>2796</v>
      </c>
      <c r="C467" s="487"/>
      <c r="D467" s="1289" t="s">
        <v>1135</v>
      </c>
      <c r="E467" s="1289"/>
      <c r="F467" s="1289"/>
      <c r="I467" s="490"/>
    </row>
    <row r="468" spans="1:9">
      <c r="D468" s="1289"/>
      <c r="E468" s="1289"/>
      <c r="F468" s="1289"/>
      <c r="I468" s="490"/>
    </row>
    <row r="469" spans="1:9">
      <c r="D469" s="1289"/>
      <c r="E469" s="1289"/>
      <c r="F469" s="1289"/>
      <c r="I469" s="490"/>
    </row>
    <row r="470" spans="1:9">
      <c r="D470" s="445"/>
      <c r="E470" s="445"/>
      <c r="F470" s="445"/>
      <c r="I470" s="490"/>
    </row>
    <row r="471" spans="1:9" ht="14.25">
      <c r="B471" s="485" t="s">
        <v>2796</v>
      </c>
      <c r="C471" s="484"/>
      <c r="D471" s="1289" t="s">
        <v>1195</v>
      </c>
      <c r="E471" s="1289"/>
      <c r="F471" s="1289"/>
      <c r="I471" s="490"/>
    </row>
    <row r="472" spans="1:9">
      <c r="D472" s="1289"/>
      <c r="E472" s="1289"/>
      <c r="F472" s="1289"/>
      <c r="I472" s="490"/>
    </row>
    <row r="473" spans="1:9">
      <c r="D473" s="446"/>
      <c r="E473" s="446"/>
      <c r="F473" s="446"/>
      <c r="I473" s="490"/>
    </row>
    <row r="474" spans="1:9" ht="14.25">
      <c r="B474" s="485" t="s">
        <v>2796</v>
      </c>
      <c r="C474" s="484"/>
      <c r="D474" s="1289" t="s">
        <v>1136</v>
      </c>
      <c r="E474" s="1289"/>
      <c r="F474" s="1289"/>
      <c r="I474" s="490"/>
    </row>
    <row r="475" spans="1:9">
      <c r="D475" s="1289"/>
      <c r="E475" s="1289"/>
      <c r="F475" s="1289"/>
      <c r="I475" s="490"/>
    </row>
    <row r="476" spans="1:9">
      <c r="D476" s="1289"/>
      <c r="E476" s="1289"/>
      <c r="F476" s="1289"/>
      <c r="I476" s="490"/>
    </row>
    <row r="477" spans="1:9">
      <c r="D477" s="1289"/>
      <c r="E477" s="1289"/>
      <c r="F477" s="1289"/>
      <c r="I477" s="490"/>
    </row>
    <row r="478" spans="1:9">
      <c r="B478" s="485" t="s">
        <v>2796</v>
      </c>
      <c r="D478" s="1289"/>
      <c r="E478" s="1289"/>
      <c r="F478" s="1289"/>
      <c r="I478" s="490"/>
    </row>
    <row r="479" spans="1:9">
      <c r="A479" s="402"/>
      <c r="B479" s="402"/>
      <c r="C479" s="402"/>
      <c r="D479" s="1289"/>
      <c r="E479" s="1289"/>
      <c r="F479" s="1289"/>
      <c r="I479" s="490"/>
    </row>
    <row r="480" spans="1:9">
      <c r="A480" s="402"/>
      <c r="C480" s="402"/>
      <c r="D480" s="1289"/>
      <c r="E480" s="1289"/>
      <c r="F480" s="1289"/>
      <c r="I480" s="490"/>
    </row>
    <row r="481" spans="1:9">
      <c r="A481" s="402"/>
      <c r="B481" s="485" t="s">
        <v>2796</v>
      </c>
      <c r="C481" s="402"/>
      <c r="D481" s="1289"/>
      <c r="E481" s="1289"/>
      <c r="F481" s="1289"/>
      <c r="I481" s="490"/>
    </row>
    <row r="482" spans="1:9">
      <c r="A482" s="402"/>
      <c r="B482" s="402"/>
      <c r="C482" s="402"/>
      <c r="D482" s="1289"/>
      <c r="E482" s="1289"/>
      <c r="F482" s="1289"/>
      <c r="I482" s="490"/>
    </row>
    <row r="483" spans="1:9">
      <c r="A483" s="402"/>
      <c r="C483" s="402"/>
      <c r="D483" s="1289"/>
      <c r="E483" s="1289"/>
      <c r="F483" s="1289"/>
      <c r="I483" s="490"/>
    </row>
    <row r="484" spans="1:9">
      <c r="A484" s="402"/>
      <c r="C484" s="402"/>
      <c r="D484" s="1289"/>
      <c r="E484" s="1289"/>
      <c r="F484" s="1289"/>
      <c r="I484" s="490"/>
    </row>
    <row r="485" spans="1:9">
      <c r="A485" s="402"/>
      <c r="C485" s="402"/>
      <c r="D485" s="1289"/>
      <c r="E485" s="1289"/>
      <c r="F485" s="1289"/>
      <c r="I485" s="490"/>
    </row>
    <row r="486" spans="1:9">
      <c r="A486" s="402"/>
      <c r="B486" s="485" t="s">
        <v>2796</v>
      </c>
      <c r="C486" s="402"/>
      <c r="D486" s="1289"/>
      <c r="E486" s="1289"/>
      <c r="F486" s="1289"/>
      <c r="I486" s="490"/>
    </row>
    <row r="487" spans="1:9">
      <c r="A487" s="402"/>
      <c r="C487" s="402"/>
      <c r="D487" s="1289"/>
      <c r="E487" s="1289"/>
      <c r="F487" s="1289"/>
      <c r="I487" s="490"/>
    </row>
    <row r="488" spans="1:9">
      <c r="A488" s="402"/>
      <c r="B488" s="485" t="s">
        <v>2796</v>
      </c>
      <c r="C488" s="402"/>
      <c r="D488" s="1289" t="s">
        <v>1137</v>
      </c>
      <c r="E488" s="1289"/>
      <c r="F488" s="1289"/>
      <c r="I488" s="490"/>
    </row>
    <row r="489" spans="1:9">
      <c r="A489" s="402"/>
      <c r="B489" s="402"/>
      <c r="C489" s="402"/>
      <c r="D489" s="1289"/>
      <c r="E489" s="1289"/>
      <c r="F489" s="1289"/>
      <c r="I489" s="490"/>
    </row>
    <row r="490" spans="1:9">
      <c r="A490" s="402"/>
      <c r="B490" s="402"/>
      <c r="C490" s="402"/>
      <c r="D490" s="1289"/>
      <c r="E490" s="1289"/>
      <c r="F490" s="1289"/>
      <c r="I490" s="490"/>
    </row>
    <row r="491" spans="1:9">
      <c r="A491" s="402"/>
      <c r="B491" s="402"/>
      <c r="C491" s="402"/>
      <c r="D491" s="1289"/>
      <c r="E491" s="1289"/>
      <c r="F491" s="1289"/>
      <c r="I491" s="490"/>
    </row>
    <row r="492" spans="1:9">
      <c r="D492" s="1289"/>
      <c r="E492" s="1289"/>
      <c r="F492" s="1289"/>
      <c r="I492" s="490"/>
    </row>
    <row r="493" spans="1:9">
      <c r="D493" s="446"/>
      <c r="E493" s="446"/>
      <c r="F493" s="446"/>
      <c r="I493" s="490"/>
    </row>
    <row r="494" spans="1:9">
      <c r="B494" s="485" t="s">
        <v>2796</v>
      </c>
      <c r="D494" s="1290" t="s">
        <v>1138</v>
      </c>
      <c r="E494" s="1290"/>
      <c r="F494" s="1290"/>
      <c r="I494" s="490"/>
    </row>
    <row r="495" spans="1:9">
      <c r="A495" s="446"/>
      <c r="B495" s="446"/>
      <c r="I495" s="490"/>
    </row>
    <row r="496" spans="1:9">
      <c r="A496" s="1292" t="s">
        <v>1048</v>
      </c>
      <c r="B496" s="1292"/>
      <c r="C496" s="1292"/>
      <c r="D496" s="1292"/>
      <c r="E496" s="1292"/>
      <c r="F496" s="1292"/>
      <c r="G496" s="1292"/>
      <c r="H496" s="1028"/>
      <c r="I496" s="1153"/>
    </row>
    <row r="497" spans="1:9">
      <c r="A497" s="446"/>
      <c r="B497" s="446"/>
      <c r="I497" s="490"/>
    </row>
    <row r="498" spans="1:9">
      <c r="D498" s="1305" t="s">
        <v>882</v>
      </c>
      <c r="E498" s="1305"/>
      <c r="F498" s="1305"/>
      <c r="I498" s="490"/>
    </row>
    <row r="499" spans="1:9" ht="14.25">
      <c r="A499" s="484"/>
      <c r="B499" s="484"/>
      <c r="D499" s="1301" t="s">
        <v>1139</v>
      </c>
      <c r="E499" s="1301"/>
      <c r="F499" s="1301"/>
      <c r="I499" s="490"/>
    </row>
    <row r="500" spans="1:9" ht="14.25">
      <c r="A500" s="484"/>
      <c r="B500" s="484"/>
      <c r="D500" s="447"/>
      <c r="I500" s="490"/>
    </row>
    <row r="501" spans="1:9" ht="14.25">
      <c r="A501" s="484"/>
      <c r="B501" s="485" t="s">
        <v>2795</v>
      </c>
      <c r="D501" s="1269" t="s">
        <v>1140</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2795</v>
      </c>
      <c r="D504" s="1293" t="s">
        <v>1271</v>
      </c>
      <c r="E504" s="1293"/>
      <c r="F504" s="1293"/>
      <c r="I504" s="490"/>
    </row>
    <row r="505" spans="1:9" ht="14.25">
      <c r="A505" s="484"/>
      <c r="D505" s="1293"/>
      <c r="E505" s="1293"/>
      <c r="F505" s="1293"/>
      <c r="I505" s="490"/>
    </row>
    <row r="506" spans="1:9" ht="14.25">
      <c r="A506" s="484"/>
      <c r="B506" s="484"/>
      <c r="D506" s="1293"/>
      <c r="E506" s="1293"/>
      <c r="F506" s="1293"/>
      <c r="I506" s="490"/>
    </row>
    <row r="507" spans="1:9" ht="14.25">
      <c r="A507" s="484"/>
      <c r="B507" s="484"/>
      <c r="D507" s="1293"/>
      <c r="E507" s="1293"/>
      <c r="F507" s="1293"/>
      <c r="I507" s="490"/>
    </row>
    <row r="508" spans="1:9" ht="14.25">
      <c r="A508" s="484"/>
      <c r="D508" s="520"/>
      <c r="E508" s="520"/>
      <c r="F508" s="520"/>
      <c r="I508" s="490"/>
    </row>
    <row r="509" spans="1:9" ht="14.25">
      <c r="A509" s="484"/>
      <c r="B509" s="485" t="s">
        <v>2796</v>
      </c>
      <c r="D509" s="1290" t="s">
        <v>1141</v>
      </c>
      <c r="E509" s="1290"/>
      <c r="F509" s="1290"/>
      <c r="I509" s="490"/>
    </row>
    <row r="510" spans="1:9" ht="14.25">
      <c r="A510" s="484"/>
      <c r="B510" s="484"/>
      <c r="D510" s="446"/>
      <c r="I510" s="490"/>
    </row>
    <row r="511" spans="1:9" ht="14.25">
      <c r="A511" s="484"/>
      <c r="B511" s="485" t="s">
        <v>2795</v>
      </c>
      <c r="D511" s="1289" t="s">
        <v>1142</v>
      </c>
      <c r="E511" s="1289"/>
      <c r="F511" s="1289"/>
      <c r="I511" s="490"/>
    </row>
    <row r="512" spans="1:9" ht="14.25">
      <c r="A512" s="484"/>
      <c r="D512" s="1289"/>
      <c r="E512" s="1289"/>
      <c r="F512" s="1289"/>
      <c r="I512" s="490"/>
    </row>
    <row r="513" spans="1:9">
      <c r="A513" s="490"/>
      <c r="B513" s="490"/>
      <c r="D513" s="447"/>
      <c r="I513" s="490"/>
    </row>
    <row r="514" spans="1:9">
      <c r="A514" s="490"/>
      <c r="B514" s="485" t="s">
        <v>2796</v>
      </c>
      <c r="D514" s="1290" t="s">
        <v>1143</v>
      </c>
      <c r="E514" s="1290"/>
      <c r="F514" s="1290"/>
      <c r="I514" s="490"/>
    </row>
    <row r="515" spans="1:9">
      <c r="D515" s="446"/>
      <c r="E515" s="446"/>
      <c r="F515" s="446"/>
      <c r="I515" s="490"/>
    </row>
    <row r="516" spans="1:9">
      <c r="B516" s="485" t="s">
        <v>2796</v>
      </c>
      <c r="D516" s="1289" t="s">
        <v>2277</v>
      </c>
      <c r="E516" s="1289"/>
      <c r="F516" s="1289"/>
      <c r="I516" s="490"/>
    </row>
    <row r="517" spans="1:9">
      <c r="D517" s="1289"/>
      <c r="E517" s="1289"/>
      <c r="F517" s="1289"/>
      <c r="I517" s="490"/>
    </row>
    <row r="518" spans="1:9">
      <c r="D518" s="1289"/>
      <c r="E518" s="1289"/>
      <c r="F518" s="1289"/>
      <c r="I518" s="490"/>
    </row>
    <row r="519" spans="1:9">
      <c r="D519" s="446"/>
      <c r="E519" s="446"/>
      <c r="F519" s="446"/>
      <c r="I519" s="490"/>
    </row>
    <row r="520" spans="1:9" ht="14.25">
      <c r="A520" s="484"/>
      <c r="B520" s="484"/>
      <c r="D520" s="446"/>
      <c r="I520" s="490"/>
    </row>
    <row r="521" spans="1:9">
      <c r="A521" s="1292" t="s">
        <v>1049</v>
      </c>
      <c r="B521" s="1292"/>
      <c r="C521" s="1292"/>
      <c r="D521" s="1292"/>
      <c r="E521" s="1292"/>
      <c r="F521" s="1292"/>
      <c r="G521" s="1292"/>
      <c r="H521" s="1028"/>
      <c r="I521" s="1153"/>
    </row>
    <row r="522" spans="1:9" ht="12" customHeight="1">
      <c r="A522" s="484"/>
      <c r="B522" s="484"/>
      <c r="D522" s="446"/>
      <c r="I522" s="490"/>
    </row>
    <row r="523" spans="1:9">
      <c r="C523" s="482"/>
      <c r="D523" s="1297" t="s">
        <v>792</v>
      </c>
      <c r="E523" s="1297"/>
      <c r="F523" s="1297"/>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2795</v>
      </c>
      <c r="C527" s="483"/>
      <c r="D527" s="1269" t="s">
        <v>2057</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2795</v>
      </c>
      <c r="D530" s="386" t="s">
        <v>1901</v>
      </c>
      <c r="E530" s="385"/>
      <c r="F530" s="385"/>
      <c r="I530" s="490"/>
    </row>
    <row r="531" spans="1:9">
      <c r="A531" s="483"/>
      <c r="B531" s="483"/>
      <c r="C531" s="483"/>
      <c r="D531" s="385"/>
      <c r="E531" s="96" t="s">
        <v>1902</v>
      </c>
      <c r="I531" s="490"/>
    </row>
    <row r="532" spans="1:9">
      <c r="A532" s="483"/>
      <c r="B532" s="483"/>
      <c r="D532" s="1286" t="s">
        <v>2058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2796</v>
      </c>
      <c r="C536" s="483"/>
      <c r="D536" s="1289" t="s">
        <v>2059</v>
      </c>
      <c r="E536" s="1289"/>
      <c r="F536" s="1289"/>
      <c r="I536" s="490"/>
    </row>
    <row r="537" spans="1:9">
      <c r="A537" s="483"/>
      <c r="B537" s="483"/>
      <c r="C537" s="483"/>
      <c r="D537" s="1289"/>
      <c r="E537" s="1289"/>
      <c r="F537" s="1289"/>
      <c r="I537" s="490"/>
    </row>
    <row r="538" spans="1:9" ht="12" customHeight="1">
      <c r="A538" s="446"/>
      <c r="B538" s="446"/>
      <c r="C538" s="487"/>
      <c r="D538" s="446"/>
      <c r="F538" s="448"/>
      <c r="I538" s="490"/>
    </row>
    <row r="539" spans="1:9">
      <c r="A539" s="1292" t="s">
        <v>1050</v>
      </c>
      <c r="B539" s="1292"/>
      <c r="C539" s="1292"/>
      <c r="D539" s="1292"/>
      <c r="E539" s="1292"/>
      <c r="F539" s="1292"/>
      <c r="G539" s="1292"/>
      <c r="H539" s="1028"/>
      <c r="I539" s="1153"/>
    </row>
    <row r="540" spans="1:9">
      <c r="A540" s="446"/>
      <c r="B540" s="446"/>
      <c r="C540" s="487"/>
      <c r="F540" s="448"/>
      <c r="I540" s="490"/>
    </row>
    <row r="541" spans="1:9">
      <c r="B541" s="1295" t="s">
        <v>446</v>
      </c>
      <c r="C541" s="1295"/>
      <c r="D541" s="1295"/>
      <c r="E541" s="1295"/>
      <c r="F541" s="1295"/>
      <c r="I541" s="490"/>
    </row>
    <row r="542" spans="1:9">
      <c r="A542" s="446"/>
      <c r="B542" s="446"/>
      <c r="C542" s="487"/>
      <c r="D542" s="446"/>
      <c r="F542" s="446"/>
      <c r="I542" s="490"/>
    </row>
    <row r="543" spans="1:9">
      <c r="A543" s="1296" t="s">
        <v>1051</v>
      </c>
      <c r="B543" s="1296"/>
      <c r="C543" s="1296"/>
      <c r="D543" s="1296"/>
      <c r="E543" s="1296"/>
      <c r="F543" s="1296"/>
      <c r="G543" s="1296"/>
      <c r="H543" s="1028"/>
      <c r="I543" s="1153"/>
    </row>
    <row r="544" spans="1:9">
      <c r="A544" s="446"/>
      <c r="B544" s="446"/>
      <c r="C544" s="487"/>
      <c r="D544" s="446"/>
      <c r="F544" s="446"/>
      <c r="I544" s="490"/>
    </row>
    <row r="545" spans="1:9">
      <c r="C545" s="487"/>
      <c r="D545" s="1297" t="s">
        <v>682</v>
      </c>
      <c r="E545" s="1297"/>
      <c r="F545" s="1297"/>
      <c r="I545" s="490"/>
    </row>
    <row r="546" spans="1:9">
      <c r="C546" s="487"/>
      <c r="D546" s="1290" t="s">
        <v>1079</v>
      </c>
      <c r="E546" s="1290"/>
      <c r="F546" s="1290"/>
      <c r="I546" s="490"/>
    </row>
    <row r="547" spans="1:9">
      <c r="C547" s="487"/>
      <c r="D547" s="446"/>
      <c r="E547" s="446"/>
      <c r="F547" s="446"/>
      <c r="I547" s="490"/>
    </row>
    <row r="548" spans="1:9" ht="13.7" customHeight="1">
      <c r="A548" s="484"/>
      <c r="B548" s="485" t="s">
        <v>2795</v>
      </c>
      <c r="C548" s="487"/>
      <c r="D548" s="1290" t="s">
        <v>883</v>
      </c>
      <c r="E548" s="1290"/>
      <c r="F548" s="1290"/>
      <c r="I548" s="490"/>
    </row>
    <row r="549" spans="1:9" ht="13.7" customHeight="1">
      <c r="A549" s="487"/>
      <c r="B549" s="487"/>
      <c r="C549" s="487"/>
      <c r="D549" s="446"/>
      <c r="I549" s="490"/>
    </row>
    <row r="550" spans="1:9" ht="14.25">
      <c r="A550" s="484"/>
      <c r="B550" s="485" t="s">
        <v>2795</v>
      </c>
      <c r="C550" s="487"/>
      <c r="D550" s="1289" t="s">
        <v>1080</v>
      </c>
      <c r="E550" s="1289"/>
      <c r="F550" s="1289"/>
      <c r="I550" s="490"/>
    </row>
    <row r="551" spans="1:9">
      <c r="A551" s="487"/>
      <c r="B551" s="487"/>
      <c r="C551" s="487"/>
      <c r="D551" s="1289"/>
      <c r="E551" s="1289"/>
      <c r="F551" s="1289"/>
      <c r="I551" s="490"/>
    </row>
    <row r="552" spans="1:9">
      <c r="A552" s="487"/>
      <c r="B552" s="487"/>
      <c r="C552" s="487"/>
      <c r="D552" s="446"/>
      <c r="E552" s="446"/>
      <c r="F552" s="446"/>
      <c r="I552" s="490"/>
    </row>
    <row r="553" spans="1:9" ht="14.25">
      <c r="A553" s="484"/>
      <c r="B553" s="485" t="s">
        <v>2795</v>
      </c>
      <c r="C553" s="487"/>
      <c r="D553" s="1289" t="s">
        <v>1081</v>
      </c>
      <c r="E553" s="1289"/>
      <c r="F553" s="1289"/>
      <c r="I553" s="490"/>
    </row>
    <row r="554" spans="1:9">
      <c r="A554" s="487"/>
      <c r="B554" s="487"/>
      <c r="C554" s="487"/>
      <c r="D554" s="1289"/>
      <c r="E554" s="1289"/>
      <c r="F554" s="1289"/>
      <c r="I554" s="490"/>
    </row>
    <row r="555" spans="1:9">
      <c r="A555" s="487"/>
      <c r="B555" s="487"/>
      <c r="C555" s="487"/>
      <c r="D555" s="446"/>
      <c r="E555" s="446"/>
      <c r="F555" s="446"/>
      <c r="I555" s="490"/>
    </row>
    <row r="556" spans="1:9" ht="14.25">
      <c r="A556" s="484"/>
      <c r="B556" s="485" t="s">
        <v>2795</v>
      </c>
      <c r="C556" s="487"/>
      <c r="D556" s="1289" t="s">
        <v>1082</v>
      </c>
      <c r="E556" s="1289"/>
      <c r="F556" s="1289"/>
      <c r="I556" s="490"/>
    </row>
    <row r="557" spans="1:9">
      <c r="A557" s="487"/>
      <c r="B557" s="487"/>
      <c r="C557" s="487"/>
      <c r="D557" s="1289"/>
      <c r="E557" s="1289"/>
      <c r="F557" s="1289"/>
      <c r="I557" s="490"/>
    </row>
    <row r="558" spans="1:9">
      <c r="A558" s="487"/>
      <c r="B558" s="487"/>
      <c r="C558" s="487"/>
      <c r="D558" s="446"/>
      <c r="E558" s="446"/>
      <c r="F558" s="446"/>
      <c r="I558" s="490"/>
    </row>
    <row r="559" spans="1:9" ht="14.25">
      <c r="A559" s="484"/>
      <c r="B559" s="485" t="s">
        <v>2795</v>
      </c>
      <c r="C559" s="487"/>
      <c r="D559" s="1289" t="s">
        <v>1083</v>
      </c>
      <c r="E559" s="1289"/>
      <c r="F559" s="1289"/>
      <c r="I559" s="490"/>
    </row>
    <row r="560" spans="1:9">
      <c r="A560" s="487"/>
      <c r="B560" s="487"/>
      <c r="C560" s="487"/>
      <c r="D560" s="1289"/>
      <c r="E560" s="1289"/>
      <c r="F560" s="1289"/>
      <c r="I560" s="490"/>
    </row>
    <row r="561" spans="1:9">
      <c r="A561" s="487"/>
      <c r="B561" s="487"/>
      <c r="C561" s="487"/>
      <c r="D561" s="1289"/>
      <c r="E561" s="1289"/>
      <c r="F561" s="1289"/>
      <c r="I561" s="490"/>
    </row>
    <row r="562" spans="1:9">
      <c r="A562" s="487"/>
      <c r="B562" s="487"/>
      <c r="C562" s="487"/>
      <c r="D562" s="446"/>
      <c r="E562" s="446"/>
      <c r="F562" s="446"/>
      <c r="I562" s="490"/>
    </row>
    <row r="563" spans="1:9" ht="14.25">
      <c r="A563" s="484"/>
      <c r="B563" s="485" t="s">
        <v>2796</v>
      </c>
      <c r="C563" s="487"/>
      <c r="D563" s="1289" t="s">
        <v>2244</v>
      </c>
      <c r="E563" s="1289"/>
      <c r="F563" s="1289"/>
      <c r="I563" s="490"/>
    </row>
    <row r="564" spans="1:9">
      <c r="A564" s="487"/>
      <c r="B564" s="487"/>
      <c r="C564" s="487"/>
      <c r="D564" s="1289"/>
      <c r="E564" s="1289"/>
      <c r="F564" s="1289"/>
      <c r="I564" s="490"/>
    </row>
    <row r="565" spans="1:9">
      <c r="A565" s="487"/>
      <c r="B565" s="487"/>
      <c r="C565" s="487"/>
      <c r="D565" s="446"/>
      <c r="E565" s="446"/>
      <c r="F565" s="446"/>
      <c r="I565" s="490"/>
    </row>
    <row r="566" spans="1:9" ht="14.25">
      <c r="A566" s="484"/>
      <c r="B566" s="485" t="s">
        <v>2795</v>
      </c>
      <c r="C566" s="487"/>
      <c r="D566" s="1289" t="s">
        <v>1084</v>
      </c>
      <c r="E566" s="1289"/>
      <c r="F566" s="1289"/>
      <c r="I566" s="490"/>
    </row>
    <row r="567" spans="1:9">
      <c r="A567" s="487"/>
      <c r="B567" s="487"/>
      <c r="C567" s="487"/>
      <c r="D567" s="1289"/>
      <c r="E567" s="1289"/>
      <c r="F567" s="1289"/>
      <c r="I567" s="490"/>
    </row>
    <row r="568" spans="1:9">
      <c r="A568" s="487"/>
      <c r="B568" s="487"/>
      <c r="C568" s="487"/>
      <c r="D568" s="446"/>
      <c r="E568" s="446"/>
      <c r="F568" s="446"/>
      <c r="I568" s="490"/>
    </row>
    <row r="569" spans="1:9" ht="14.25">
      <c r="A569" s="484"/>
      <c r="B569" s="485" t="s">
        <v>2795</v>
      </c>
      <c r="C569" s="487"/>
      <c r="D569" s="1290" t="s">
        <v>1085</v>
      </c>
      <c r="E569" s="1290"/>
      <c r="F569" s="1290"/>
      <c r="I569" s="490"/>
    </row>
    <row r="570" spans="1:9">
      <c r="A570" s="490"/>
      <c r="B570" s="490"/>
      <c r="C570" s="487"/>
      <c r="D570" s="1290" t="s">
        <v>1904</v>
      </c>
      <c r="E570" s="1290"/>
      <c r="F570" s="1290"/>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2795</v>
      </c>
      <c r="C573" s="487"/>
      <c r="D573" s="1290" t="s">
        <v>1086</v>
      </c>
      <c r="E573" s="1290"/>
      <c r="F573" s="1290"/>
      <c r="I573" s="490"/>
    </row>
    <row r="574" spans="1:9">
      <c r="C574" s="487"/>
      <c r="D574" s="1289" t="s">
        <v>1087</v>
      </c>
      <c r="E574" s="1289"/>
      <c r="F574" s="1289"/>
      <c r="I574" s="490"/>
    </row>
    <row r="575" spans="1:9">
      <c r="A575" s="487"/>
      <c r="B575" s="487"/>
      <c r="C575" s="487"/>
      <c r="D575" s="1289"/>
      <c r="E575" s="1289"/>
      <c r="F575" s="1289"/>
      <c r="I575" s="490"/>
    </row>
    <row r="576" spans="1:9">
      <c r="A576" s="487"/>
      <c r="B576" s="487"/>
      <c r="C576" s="487"/>
      <c r="D576" s="1289"/>
      <c r="E576" s="1289"/>
      <c r="F576" s="1289"/>
      <c r="I576" s="490"/>
    </row>
    <row r="577" spans="1:9">
      <c r="A577" s="487"/>
      <c r="B577" s="487"/>
      <c r="C577" s="487"/>
      <c r="D577" s="446"/>
      <c r="E577" s="446"/>
      <c r="F577" s="446"/>
      <c r="I577" s="490"/>
    </row>
    <row r="578" spans="1:9" ht="14.25">
      <c r="A578" s="484"/>
      <c r="B578" s="485" t="s">
        <v>2795</v>
      </c>
      <c r="C578" s="487"/>
      <c r="D578" s="1289" t="s">
        <v>2060</v>
      </c>
      <c r="E578" s="1289"/>
      <c r="F578" s="1289"/>
      <c r="I578" s="490"/>
    </row>
    <row r="579" spans="1:9" ht="14.25">
      <c r="A579" s="484"/>
      <c r="B579" s="484"/>
      <c r="C579" s="487"/>
      <c r="D579" s="1289"/>
      <c r="E579" s="1289"/>
      <c r="F579" s="1289"/>
      <c r="I579" s="490"/>
    </row>
    <row r="580" spans="1:9" ht="14.25">
      <c r="A580" s="484"/>
      <c r="B580" s="484"/>
      <c r="C580" s="487"/>
      <c r="D580" s="1289"/>
      <c r="E580" s="1289"/>
      <c r="F580" s="1289"/>
      <c r="I580" s="490"/>
    </row>
    <row r="581" spans="1:9" ht="14.25">
      <c r="A581" s="484"/>
      <c r="B581" s="484"/>
      <c r="C581" s="487"/>
      <c r="D581" s="1289"/>
      <c r="E581" s="1289"/>
      <c r="F581" s="1289"/>
      <c r="I581" s="490"/>
    </row>
    <row r="582" spans="1:9" ht="14.25">
      <c r="A582" s="484"/>
      <c r="B582" s="484"/>
      <c r="C582" s="487"/>
      <c r="D582" s="446"/>
      <c r="E582" s="446"/>
      <c r="F582" s="446"/>
      <c r="I582" s="490"/>
    </row>
    <row r="583" spans="1:9">
      <c r="A583" s="1292" t="s">
        <v>1052</v>
      </c>
      <c r="B583" s="1292"/>
      <c r="C583" s="1292"/>
      <c r="D583" s="1292"/>
      <c r="E583" s="1292"/>
      <c r="F583" s="1292"/>
      <c r="G583" s="1292"/>
      <c r="H583" s="1028"/>
      <c r="I583" s="1153"/>
    </row>
    <row r="584" spans="1:9">
      <c r="A584" s="487"/>
      <c r="B584" s="487"/>
      <c r="C584" s="487"/>
      <c r="E584" s="446"/>
      <c r="F584" s="446"/>
      <c r="I584" s="490"/>
    </row>
    <row r="585" spans="1:9" ht="12.75" customHeight="1">
      <c r="C585" s="482"/>
      <c r="D585" s="1291" t="s">
        <v>210</v>
      </c>
      <c r="E585" s="1291"/>
      <c r="F585" s="1291"/>
      <c r="I585" s="490"/>
    </row>
    <row r="586" spans="1:9">
      <c r="A586" s="483"/>
      <c r="B586" s="483"/>
      <c r="C586" s="483"/>
      <c r="D586" s="1293" t="s">
        <v>1065</v>
      </c>
      <c r="E586" s="1293"/>
      <c r="F586" s="1293"/>
      <c r="I586" s="490"/>
    </row>
    <row r="587" spans="1:9">
      <c r="A587" s="402"/>
      <c r="B587" s="402"/>
      <c r="C587" s="483"/>
      <c r="D587" s="499"/>
      <c r="I587" s="490"/>
    </row>
    <row r="588" spans="1:9">
      <c r="A588" s="483"/>
      <c r="B588" s="485" t="s">
        <v>2795</v>
      </c>
      <c r="D588" s="1293" t="s">
        <v>887</v>
      </c>
      <c r="E588" s="1293"/>
      <c r="F588" s="1293"/>
      <c r="I588" s="490"/>
    </row>
    <row r="589" spans="1:9">
      <c r="A589" s="490"/>
      <c r="B589" s="490"/>
      <c r="D589" s="476"/>
      <c r="I589" s="490"/>
    </row>
    <row r="590" spans="1:9">
      <c r="A590" s="490"/>
      <c r="B590" s="485" t="s">
        <v>2795</v>
      </c>
      <c r="D590" s="1293" t="s">
        <v>2061</v>
      </c>
      <c r="E590" s="1293"/>
      <c r="F590" s="1293"/>
      <c r="I590" s="490"/>
    </row>
    <row r="591" spans="1:9">
      <c r="A591" s="490"/>
      <c r="B591" s="490"/>
      <c r="D591" s="1293"/>
      <c r="E591" s="1293"/>
      <c r="F591" s="1293"/>
      <c r="I591" s="490"/>
    </row>
    <row r="592" spans="1:9">
      <c r="A592" s="490"/>
      <c r="B592" s="490"/>
      <c r="D592" s="1293"/>
      <c r="E592" s="1293"/>
      <c r="F592" s="1293"/>
      <c r="I592" s="490"/>
    </row>
    <row r="593" spans="1:9">
      <c r="A593" s="490"/>
      <c r="B593" s="490"/>
      <c r="D593" s="1293"/>
      <c r="E593" s="1293"/>
      <c r="F593" s="1293"/>
      <c r="I593" s="490"/>
    </row>
    <row r="594" spans="1:9">
      <c r="A594" s="490"/>
      <c r="B594" s="485" t="s">
        <v>2796</v>
      </c>
      <c r="D594" s="1293" t="s">
        <v>1066</v>
      </c>
      <c r="E594" s="1293"/>
      <c r="F594" s="1293"/>
      <c r="I594" s="490"/>
    </row>
    <row r="595" spans="1:9">
      <c r="A595" s="490"/>
      <c r="B595" s="490"/>
      <c r="D595" s="1293"/>
      <c r="E595" s="1293"/>
      <c r="F595" s="1293"/>
      <c r="I595" s="490"/>
    </row>
    <row r="596" spans="1:9">
      <c r="A596" s="490"/>
      <c r="B596" s="490"/>
      <c r="D596" s="1293"/>
      <c r="E596" s="1293"/>
      <c r="F596" s="1293"/>
      <c r="I596" s="490"/>
    </row>
    <row r="597" spans="1:9">
      <c r="A597" s="490"/>
      <c r="B597" s="490"/>
      <c r="D597" s="1293"/>
      <c r="E597" s="1293"/>
      <c r="F597" s="1293"/>
      <c r="I597" s="490"/>
    </row>
    <row r="598" spans="1:9">
      <c r="A598" s="490"/>
      <c r="B598" s="490"/>
      <c r="D598" s="440"/>
      <c r="E598" s="440"/>
      <c r="F598" s="440"/>
      <c r="I598" s="490"/>
    </row>
    <row r="599" spans="1:9">
      <c r="A599" s="490"/>
      <c r="B599" s="485" t="s">
        <v>2795</v>
      </c>
      <c r="D599" s="1293" t="s">
        <v>2062</v>
      </c>
      <c r="E599" s="1293"/>
      <c r="F599" s="1293"/>
      <c r="I599" s="490"/>
    </row>
    <row r="600" spans="1:9">
      <c r="A600" s="490"/>
      <c r="B600" s="490"/>
      <c r="D600" s="1293"/>
      <c r="E600" s="1293"/>
      <c r="F600" s="1293"/>
      <c r="I600" s="490"/>
    </row>
    <row r="601" spans="1:9">
      <c r="A601" s="490"/>
      <c r="B601" s="490"/>
      <c r="D601" s="499"/>
      <c r="I601" s="490"/>
    </row>
    <row r="602" spans="1:9">
      <c r="A602" s="490"/>
      <c r="B602" s="485" t="s">
        <v>2796</v>
      </c>
      <c r="D602" s="1293" t="s">
        <v>1067</v>
      </c>
      <c r="E602" s="1293"/>
      <c r="F602" s="1293"/>
      <c r="I602" s="490"/>
    </row>
    <row r="603" spans="1:9">
      <c r="A603" s="490"/>
      <c r="B603" s="490"/>
      <c r="D603" s="1293"/>
      <c r="E603" s="1293"/>
      <c r="F603" s="1293"/>
      <c r="I603" s="490"/>
    </row>
    <row r="604" spans="1:9" ht="14.25">
      <c r="A604" s="484"/>
      <c r="B604" s="484"/>
      <c r="D604" s="499"/>
      <c r="I604" s="490"/>
    </row>
    <row r="605" spans="1:9">
      <c r="A605" s="1292" t="s">
        <v>1053</v>
      </c>
      <c r="B605" s="1292"/>
      <c r="C605" s="1292"/>
      <c r="D605" s="1292"/>
      <c r="E605" s="1292"/>
      <c r="F605" s="1292"/>
      <c r="G605" s="1292"/>
      <c r="H605" s="1028"/>
      <c r="I605" s="1153"/>
    </row>
    <row r="606" spans="1:9">
      <c r="I606" s="490"/>
    </row>
    <row r="607" spans="1:9">
      <c r="D607" s="1297" t="s">
        <v>1105</v>
      </c>
      <c r="E607" s="1297"/>
      <c r="F607" s="1297"/>
      <c r="I607" s="490"/>
    </row>
    <row r="608" spans="1:9">
      <c r="D608" s="1298" t="s">
        <v>1106</v>
      </c>
      <c r="E608" s="1298"/>
      <c r="F608" s="1298"/>
      <c r="I608" s="490"/>
    </row>
    <row r="609" spans="1:9">
      <c r="D609" s="444"/>
      <c r="I609" s="490"/>
    </row>
    <row r="610" spans="1:9" ht="14.25" customHeight="1">
      <c r="A610" s="484"/>
      <c r="B610" s="485" t="s">
        <v>2795</v>
      </c>
      <c r="D610" s="1318" t="s">
        <v>1905</v>
      </c>
      <c r="E610" s="1318"/>
      <c r="F610" s="1318"/>
      <c r="I610" s="490"/>
    </row>
    <row r="611" spans="1:9">
      <c r="D611" s="1318"/>
      <c r="E611" s="1318"/>
      <c r="F611" s="1318"/>
      <c r="I611" s="490"/>
    </row>
    <row r="612" spans="1:9">
      <c r="D612" s="385"/>
      <c r="E612" s="1036" t="s">
        <v>1906</v>
      </c>
      <c r="F612" s="385"/>
      <c r="I612" s="490"/>
    </row>
    <row r="613" spans="1:9">
      <c r="I613" s="490"/>
    </row>
    <row r="614" spans="1:9">
      <c r="A614" s="1292" t="s">
        <v>1054</v>
      </c>
      <c r="B614" s="1292"/>
      <c r="C614" s="1292"/>
      <c r="D614" s="1292"/>
      <c r="E614" s="1292"/>
      <c r="F614" s="1292"/>
      <c r="G614" s="1292"/>
      <c r="H614" s="1028"/>
      <c r="I614" s="1153"/>
    </row>
    <row r="615" spans="1:9">
      <c r="A615" s="446"/>
      <c r="B615" s="446"/>
      <c r="I615" s="490"/>
    </row>
    <row r="616" spans="1:9">
      <c r="A616" s="482"/>
      <c r="B616" s="482"/>
      <c r="C616" s="482"/>
      <c r="D616" s="1326" t="s">
        <v>1107</v>
      </c>
      <c r="E616" s="1326"/>
      <c r="F616" s="1326"/>
      <c r="I616" s="490"/>
    </row>
    <row r="617" spans="1:9">
      <c r="A617" s="482"/>
      <c r="B617" s="482"/>
      <c r="C617" s="482"/>
      <c r="D617" s="1326"/>
      <c r="E617" s="1326"/>
      <c r="F617" s="1326"/>
      <c r="I617" s="490"/>
    </row>
    <row r="618" spans="1:9">
      <c r="C618" s="483"/>
      <c r="D618" s="1298" t="s">
        <v>1108</v>
      </c>
      <c r="E618" s="1298"/>
      <c r="F618" s="1298"/>
      <c r="I618" s="490"/>
    </row>
    <row r="619" spans="1:9">
      <c r="C619" s="483"/>
      <c r="D619" s="444"/>
      <c r="E619" s="444"/>
      <c r="F619" s="444"/>
      <c r="I619" s="490"/>
    </row>
    <row r="620" spans="1:9" ht="12.75" customHeight="1">
      <c r="A620" s="490"/>
      <c r="B620" s="485" t="s">
        <v>2795</v>
      </c>
      <c r="D620" s="1314" t="s">
        <v>1109</v>
      </c>
      <c r="E620" s="1314"/>
      <c r="F620" s="1314"/>
      <c r="I620" s="490"/>
    </row>
    <row r="621" spans="1:9">
      <c r="D621" s="1314"/>
      <c r="E621" s="1314"/>
      <c r="F621" s="1314"/>
      <c r="I621" s="490"/>
    </row>
    <row r="622" spans="1:9">
      <c r="I622" s="490"/>
    </row>
    <row r="623" spans="1:9">
      <c r="B623" s="485" t="s">
        <v>2795</v>
      </c>
      <c r="D623" s="1314" t="s">
        <v>1110</v>
      </c>
      <c r="E623" s="1314"/>
      <c r="F623" s="1314"/>
      <c r="I623" s="490"/>
    </row>
    <row r="624" spans="1:9">
      <c r="C624" s="500"/>
      <c r="D624" s="1314"/>
      <c r="E624" s="1314"/>
      <c r="F624" s="1314"/>
      <c r="I624" s="490"/>
    </row>
    <row r="625" spans="1:9">
      <c r="C625" s="500"/>
      <c r="I625" s="490"/>
    </row>
    <row r="626" spans="1:9">
      <c r="B626" s="485" t="s">
        <v>2796</v>
      </c>
      <c r="C626" s="500"/>
      <c r="D626" s="1314" t="s">
        <v>1111</v>
      </c>
      <c r="E626" s="1314"/>
      <c r="F626" s="1314"/>
      <c r="I626" s="490"/>
    </row>
    <row r="627" spans="1:9">
      <c r="C627" s="500"/>
      <c r="D627" s="1314"/>
      <c r="E627" s="1314"/>
      <c r="F627" s="1314"/>
      <c r="I627" s="500"/>
    </row>
    <row r="628" spans="1:9">
      <c r="C628" s="500"/>
      <c r="I628" s="490"/>
    </row>
    <row r="629" spans="1:9">
      <c r="A629" s="1292" t="s">
        <v>1055</v>
      </c>
      <c r="B629" s="1292"/>
      <c r="C629" s="1292"/>
      <c r="D629" s="1292"/>
      <c r="E629" s="1292"/>
      <c r="F629" s="1292"/>
      <c r="G629" s="1292"/>
      <c r="H629" s="1028"/>
      <c r="I629" s="1153"/>
    </row>
    <row r="630" spans="1:9">
      <c r="A630" s="482"/>
      <c r="B630" s="482"/>
      <c r="C630" s="482"/>
      <c r="I630" s="490"/>
    </row>
    <row r="631" spans="1:9">
      <c r="C631" s="490"/>
      <c r="D631" s="1297" t="s">
        <v>1112</v>
      </c>
      <c r="E631" s="1297"/>
      <c r="F631" s="1297"/>
      <c r="I631" s="490"/>
    </row>
    <row r="632" spans="1:9">
      <c r="A632" s="490"/>
      <c r="B632" s="490"/>
      <c r="D632" s="404"/>
      <c r="I632" s="490"/>
    </row>
    <row r="633" spans="1:9" ht="14.25" customHeight="1">
      <c r="A633" s="484"/>
      <c r="B633" s="485" t="s">
        <v>2795</v>
      </c>
      <c r="D633" s="1318" t="s">
        <v>2063</v>
      </c>
      <c r="E633" s="1318"/>
      <c r="F633" s="1318"/>
      <c r="I633" s="490"/>
    </row>
    <row r="634" spans="1:9">
      <c r="D634" s="1318"/>
      <c r="E634" s="1318"/>
      <c r="F634" s="1318"/>
      <c r="I634" s="490"/>
    </row>
    <row r="635" spans="1:9">
      <c r="D635" s="385"/>
      <c r="E635" s="1036" t="s">
        <v>1908</v>
      </c>
      <c r="F635" s="385"/>
      <c r="I635" s="490"/>
    </row>
    <row r="636" spans="1:9">
      <c r="D636" s="1289" t="s">
        <v>1907</v>
      </c>
      <c r="E636" s="1289"/>
      <c r="F636" s="1289"/>
      <c r="I636" s="490"/>
    </row>
    <row r="637" spans="1:9">
      <c r="D637" s="1289"/>
      <c r="E637" s="1289"/>
      <c r="F637" s="1289"/>
      <c r="I637" s="490"/>
    </row>
    <row r="638" spans="1:9">
      <c r="D638" s="1289"/>
      <c r="E638" s="1289"/>
      <c r="F638" s="1289"/>
      <c r="I638" s="490"/>
    </row>
    <row r="639" spans="1:9">
      <c r="D639" s="445"/>
      <c r="E639" s="445"/>
      <c r="F639" s="445"/>
      <c r="I639" s="490"/>
    </row>
    <row r="640" spans="1:9" ht="14.25">
      <c r="A640" s="484"/>
      <c r="B640" s="485" t="s">
        <v>2796</v>
      </c>
      <c r="D640" s="1289" t="s">
        <v>1113</v>
      </c>
      <c r="E640" s="1289"/>
      <c r="F640" s="1289"/>
      <c r="I640" s="490"/>
    </row>
    <row r="641" spans="1:9">
      <c r="A641" s="487"/>
      <c r="B641" s="487"/>
      <c r="C641" s="487"/>
      <c r="D641" s="1289"/>
      <c r="E641" s="1289"/>
      <c r="F641" s="1289"/>
      <c r="I641" s="490"/>
    </row>
    <row r="642" spans="1:9">
      <c r="A642" s="487"/>
      <c r="B642" s="487"/>
      <c r="C642" s="487"/>
      <c r="D642" s="446"/>
      <c r="E642" s="446"/>
      <c r="F642" s="446"/>
      <c r="I642" s="490"/>
    </row>
    <row r="643" spans="1:9" ht="14.25">
      <c r="A643" s="484"/>
      <c r="B643" s="485" t="s">
        <v>2796</v>
      </c>
      <c r="C643" s="487"/>
      <c r="D643" s="1289" t="s">
        <v>1223</v>
      </c>
      <c r="E643" s="1289"/>
      <c r="F643" s="1289"/>
      <c r="I643" s="490"/>
    </row>
    <row r="644" spans="1:9" ht="14.25">
      <c r="A644" s="484"/>
      <c r="B644" s="484"/>
      <c r="C644" s="487"/>
      <c r="D644" s="1289"/>
      <c r="E644" s="1289"/>
      <c r="F644" s="1289"/>
      <c r="I644" s="490"/>
    </row>
    <row r="645" spans="1:9" ht="14.25">
      <c r="A645" s="484"/>
      <c r="B645" s="484"/>
      <c r="C645" s="487"/>
      <c r="D645" s="1289"/>
      <c r="E645" s="1289"/>
      <c r="F645" s="1289"/>
      <c r="I645" s="490"/>
    </row>
    <row r="646" spans="1:9">
      <c r="A646" s="487"/>
      <c r="B646" s="485" t="s">
        <v>2796</v>
      </c>
      <c r="C646" s="487"/>
      <c r="D646" s="1290" t="s">
        <v>1114</v>
      </c>
      <c r="E646" s="1290"/>
      <c r="F646" s="1290"/>
      <c r="I646" s="490"/>
    </row>
    <row r="647" spans="1:9">
      <c r="A647" s="487"/>
      <c r="B647" s="487"/>
      <c r="C647" s="487"/>
      <c r="D647" s="446"/>
      <c r="E647" s="446"/>
      <c r="F647" s="446"/>
      <c r="I647" s="490"/>
    </row>
    <row r="648" spans="1:9">
      <c r="A648" s="1292" t="s">
        <v>1056</v>
      </c>
      <c r="B648" s="1292"/>
      <c r="C648" s="1292"/>
      <c r="D648" s="1292"/>
      <c r="E648" s="1292"/>
      <c r="F648" s="1292"/>
      <c r="G648" s="1292"/>
      <c r="H648" s="1028"/>
      <c r="I648" s="1153"/>
    </row>
    <row r="649" spans="1:9">
      <c r="A649" s="446"/>
      <c r="B649" s="446"/>
      <c r="C649" s="487"/>
      <c r="D649" s="446"/>
      <c r="E649" s="446"/>
      <c r="F649" s="446"/>
      <c r="I649" s="490"/>
    </row>
    <row r="650" spans="1:9">
      <c r="C650" s="482"/>
      <c r="D650" s="1297" t="s">
        <v>1144</v>
      </c>
      <c r="E650" s="1297"/>
      <c r="F650" s="1297"/>
      <c r="I650" s="490"/>
    </row>
    <row r="651" spans="1:9">
      <c r="A651" s="483"/>
      <c r="B651" s="483"/>
      <c r="C651" s="483"/>
      <c r="D651" s="1290" t="s">
        <v>1145</v>
      </c>
      <c r="E651" s="1290"/>
      <c r="F651" s="1290"/>
      <c r="I651" s="490"/>
    </row>
    <row r="652" spans="1:9">
      <c r="A652" s="483"/>
      <c r="B652" s="483"/>
      <c r="C652" s="483"/>
      <c r="D652" s="446"/>
      <c r="E652" s="446"/>
      <c r="F652" s="446"/>
      <c r="I652" s="490"/>
    </row>
    <row r="653" spans="1:9" ht="12.75" customHeight="1">
      <c r="B653" s="485" t="s">
        <v>2795</v>
      </c>
      <c r="C653" s="487"/>
      <c r="D653" s="1289" t="s">
        <v>1279</v>
      </c>
      <c r="E653" s="1289"/>
      <c r="F653" s="1289"/>
      <c r="I653" s="490"/>
    </row>
    <row r="654" spans="1:9">
      <c r="D654" s="1289"/>
      <c r="E654" s="1289"/>
      <c r="F654" s="1289"/>
      <c r="I654" s="490"/>
    </row>
    <row r="655" spans="1:9">
      <c r="D655" s="1289"/>
      <c r="E655" s="1289"/>
      <c r="F655" s="1289"/>
      <c r="I655" s="490"/>
    </row>
    <row r="656" spans="1:9">
      <c r="D656" s="1289"/>
      <c r="E656" s="1289"/>
      <c r="F656" s="1289"/>
      <c r="I656" s="490"/>
    </row>
    <row r="657" spans="1:9" ht="14.45" customHeight="1">
      <c r="A657" s="484"/>
      <c r="B657" s="484"/>
      <c r="C657" s="487"/>
      <c r="D657" s="385"/>
      <c r="E657" s="385"/>
      <c r="F657" s="385"/>
      <c r="I657" s="490"/>
    </row>
    <row r="658" spans="1:9" ht="12.75" customHeight="1">
      <c r="A658" s="483"/>
      <c r="B658" s="485" t="s">
        <v>2795</v>
      </c>
      <c r="C658" s="487"/>
      <c r="D658" s="1289" t="s">
        <v>1281</v>
      </c>
      <c r="E658" s="1289"/>
      <c r="F658" s="1289"/>
      <c r="I658" s="490"/>
    </row>
    <row r="659" spans="1:9" ht="14.25">
      <c r="A659" s="483"/>
      <c r="B659" s="484"/>
      <c r="C659" s="487"/>
      <c r="D659" s="1289"/>
      <c r="E659" s="1289"/>
      <c r="F659" s="1289"/>
      <c r="I659" s="490"/>
    </row>
    <row r="660" spans="1:9" ht="14.25">
      <c r="A660" s="483"/>
      <c r="B660" s="484"/>
      <c r="C660" s="487"/>
      <c r="D660" s="1289"/>
      <c r="E660" s="1289"/>
      <c r="F660" s="1289"/>
      <c r="I660" s="490"/>
    </row>
    <row r="661" spans="1:9" ht="14.25">
      <c r="A661" s="483"/>
      <c r="B661" s="484"/>
      <c r="C661" s="487"/>
      <c r="D661" s="1289"/>
      <c r="E661" s="1289"/>
      <c r="F661" s="1289"/>
      <c r="I661" s="490"/>
    </row>
    <row r="662" spans="1:9" ht="14.25">
      <c r="A662" s="483"/>
      <c r="B662" s="484"/>
      <c r="C662" s="487"/>
      <c r="D662" s="1289"/>
      <c r="E662" s="1289"/>
      <c r="F662" s="1289"/>
      <c r="I662" s="490"/>
    </row>
    <row r="663" spans="1:9" ht="14.25" customHeight="1">
      <c r="A663" s="483"/>
      <c r="B663" s="484"/>
      <c r="C663" s="487"/>
      <c r="F663" s="386"/>
      <c r="I663" s="490"/>
    </row>
    <row r="664" spans="1:9" ht="12.75" customHeight="1">
      <c r="A664" s="483"/>
      <c r="B664" s="485" t="s">
        <v>2795</v>
      </c>
      <c r="C664" s="487"/>
      <c r="D664" s="1289" t="s">
        <v>1280</v>
      </c>
      <c r="E664" s="1289"/>
      <c r="F664" s="1289"/>
      <c r="I664" s="490"/>
    </row>
    <row r="665" spans="1:9" ht="14.25">
      <c r="A665" s="483"/>
      <c r="B665" s="484"/>
      <c r="C665" s="487"/>
      <c r="D665" s="1289"/>
      <c r="E665" s="1289"/>
      <c r="F665" s="1289"/>
      <c r="I665" s="490"/>
    </row>
    <row r="666" spans="1:9" ht="14.25">
      <c r="A666" s="484"/>
      <c r="B666" s="484"/>
      <c r="C666" s="487"/>
      <c r="D666" s="1289"/>
      <c r="E666" s="1289"/>
      <c r="F666" s="1289"/>
      <c r="I666" s="490"/>
    </row>
    <row r="667" spans="1:9" ht="14.25">
      <c r="A667" s="484"/>
      <c r="B667" s="484"/>
      <c r="C667" s="487"/>
      <c r="D667" s="1289"/>
      <c r="E667" s="1289"/>
      <c r="F667" s="1289"/>
      <c r="I667" s="490"/>
    </row>
    <row r="668" spans="1:9" ht="14.25">
      <c r="A668" s="484"/>
      <c r="B668" s="484"/>
      <c r="C668" s="487"/>
      <c r="D668" s="445"/>
      <c r="E668" s="445"/>
      <c r="F668" s="445"/>
      <c r="I668" s="490"/>
    </row>
    <row r="669" spans="1:9" ht="12.75" customHeight="1">
      <c r="A669" s="483"/>
      <c r="B669" s="485" t="s">
        <v>2795</v>
      </c>
      <c r="C669" s="487"/>
      <c r="D669" s="1289" t="s">
        <v>2064</v>
      </c>
      <c r="E669" s="1289"/>
      <c r="F669" s="1289"/>
      <c r="I669" s="490"/>
    </row>
    <row r="670" spans="1:9" ht="12.75" customHeight="1">
      <c r="A670" s="483"/>
      <c r="B670" s="484"/>
      <c r="C670" s="487"/>
      <c r="D670" s="1289"/>
      <c r="E670" s="1289"/>
      <c r="F670" s="1289"/>
      <c r="I670" s="490"/>
    </row>
    <row r="671" spans="1:9" ht="12.75" customHeight="1">
      <c r="A671" s="483"/>
      <c r="B671" s="484"/>
      <c r="C671" s="487"/>
      <c r="D671" s="1289"/>
      <c r="E671" s="1289"/>
      <c r="F671" s="1289"/>
      <c r="I671" s="490"/>
    </row>
    <row r="672" spans="1:9" ht="12.75" customHeight="1">
      <c r="A672" s="483"/>
      <c r="B672" s="484"/>
      <c r="C672" s="487"/>
      <c r="D672" s="1289"/>
      <c r="E672" s="1289"/>
      <c r="F672" s="1289"/>
      <c r="I672" s="490"/>
    </row>
    <row r="673" spans="1:11" ht="12.75" customHeight="1">
      <c r="A673" s="483"/>
      <c r="B673" s="484"/>
      <c r="C673" s="487"/>
      <c r="D673" s="1289"/>
      <c r="E673" s="1289"/>
      <c r="F673" s="1289"/>
      <c r="I673" s="490"/>
    </row>
    <row r="674" spans="1:11" ht="12.75" customHeight="1">
      <c r="A674" s="483"/>
      <c r="B674" s="484"/>
      <c r="C674" s="487"/>
      <c r="D674" s="1289"/>
      <c r="E674" s="1289"/>
      <c r="F674" s="1289"/>
      <c r="I674" s="490"/>
    </row>
    <row r="675" spans="1:11" ht="12.75" customHeight="1">
      <c r="A675" s="483"/>
      <c r="B675" s="484"/>
      <c r="C675" s="487"/>
      <c r="D675" s="1289"/>
      <c r="E675" s="1289"/>
      <c r="F675" s="1289"/>
      <c r="I675" s="490"/>
    </row>
    <row r="676" spans="1:11" ht="12.75" customHeight="1">
      <c r="A676" s="483"/>
      <c r="B676" s="484"/>
      <c r="C676" s="487"/>
      <c r="D676" s="1289"/>
      <c r="E676" s="1289"/>
      <c r="F676" s="1289"/>
      <c r="I676" s="490"/>
    </row>
    <row r="677" spans="1:11" ht="12.75" customHeight="1">
      <c r="A677" s="483"/>
      <c r="B677" s="484"/>
      <c r="C677" s="487"/>
      <c r="D677" s="1289"/>
      <c r="E677" s="1289"/>
      <c r="F677" s="1289"/>
      <c r="I677" s="490"/>
    </row>
    <row r="678" spans="1:11">
      <c r="A678" s="487"/>
      <c r="B678" s="487"/>
      <c r="C678" s="487"/>
      <c r="D678" s="446"/>
      <c r="E678" s="446"/>
      <c r="F678" s="446"/>
      <c r="I678" s="490"/>
    </row>
    <row r="679" spans="1:11">
      <c r="A679" s="1292" t="s">
        <v>1057</v>
      </c>
      <c r="B679" s="1292"/>
      <c r="C679" s="1292"/>
      <c r="D679" s="1292"/>
      <c r="E679" s="1292"/>
      <c r="F679" s="1292"/>
      <c r="G679" s="1292"/>
      <c r="H679" s="1030"/>
      <c r="I679" s="1157"/>
      <c r="J679" s="501"/>
      <c r="K679" s="501"/>
    </row>
    <row r="680" spans="1:11">
      <c r="A680" s="448"/>
      <c r="B680" s="448"/>
      <c r="C680" s="448"/>
      <c r="D680" s="448"/>
      <c r="E680" s="448"/>
      <c r="F680" s="448"/>
      <c r="G680" s="448"/>
      <c r="H680" s="501"/>
      <c r="I680" s="483"/>
      <c r="J680" s="501"/>
      <c r="K680" s="501"/>
    </row>
    <row r="681" spans="1:11">
      <c r="C681" s="482"/>
      <c r="D681" s="1297" t="s">
        <v>99</v>
      </c>
      <c r="E681" s="1297"/>
      <c r="F681" s="1297"/>
      <c r="H681" s="501"/>
      <c r="I681" s="483"/>
      <c r="J681" s="501"/>
      <c r="K681" s="501"/>
    </row>
    <row r="682" spans="1:11">
      <c r="A682" s="482"/>
      <c r="B682" s="482"/>
      <c r="C682" s="482"/>
      <c r="D682" s="1297" t="s">
        <v>123</v>
      </c>
      <c r="E682" s="1297"/>
      <c r="F682" s="1297"/>
      <c r="H682" s="501"/>
      <c r="I682" s="483"/>
      <c r="J682" s="501"/>
      <c r="K682" s="501"/>
    </row>
    <row r="683" spans="1:11">
      <c r="A683" s="483"/>
      <c r="B683" s="483"/>
      <c r="C683" s="483"/>
      <c r="D683" s="1290" t="s">
        <v>1074</v>
      </c>
      <c r="E683" s="1290"/>
      <c r="F683" s="1290"/>
      <c r="H683" s="501"/>
      <c r="I683" s="483"/>
      <c r="J683" s="501"/>
      <c r="K683" s="501"/>
    </row>
    <row r="684" spans="1:11">
      <c r="A684" s="483"/>
      <c r="B684" s="483"/>
      <c r="C684" s="483"/>
      <c r="H684" s="501"/>
      <c r="I684" s="483"/>
      <c r="J684" s="501"/>
      <c r="K684" s="501"/>
    </row>
    <row r="685" spans="1:11" ht="14.25">
      <c r="A685" s="484"/>
      <c r="B685" s="485" t="s">
        <v>2795</v>
      </c>
      <c r="C685" s="483"/>
      <c r="D685" s="1290" t="s">
        <v>884</v>
      </c>
      <c r="E685" s="1290"/>
      <c r="F685" s="1290"/>
      <c r="H685" s="501"/>
      <c r="I685" s="483"/>
      <c r="J685" s="501"/>
      <c r="K685" s="501"/>
    </row>
    <row r="686" spans="1:11">
      <c r="A686" s="483"/>
      <c r="B686" s="483"/>
      <c r="C686" s="483"/>
      <c r="D686" s="1290" t="s">
        <v>893</v>
      </c>
      <c r="E686" s="1290"/>
      <c r="F686" s="1290"/>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2796</v>
      </c>
      <c r="C690" s="483"/>
      <c r="D690" s="1289" t="s">
        <v>2065</v>
      </c>
      <c r="E690" s="1289"/>
      <c r="F690" s="1289"/>
      <c r="H690" s="501"/>
      <c r="I690" s="483"/>
      <c r="J690" s="501"/>
      <c r="K690" s="501"/>
    </row>
    <row r="691" spans="1:11">
      <c r="A691" s="490"/>
      <c r="B691" s="490"/>
      <c r="C691" s="483"/>
      <c r="D691" s="1289"/>
      <c r="E691" s="1289"/>
      <c r="F691" s="1289"/>
      <c r="H691" s="501"/>
      <c r="I691" s="483"/>
      <c r="J691" s="501"/>
      <c r="K691" s="501"/>
    </row>
    <row r="692" spans="1:11">
      <c r="A692" s="483"/>
      <c r="B692" s="483"/>
      <c r="C692" s="483"/>
      <c r="D692" s="1289"/>
      <c r="E692" s="1289"/>
      <c r="F692" s="1289"/>
      <c r="H692" s="501"/>
      <c r="I692" s="483"/>
      <c r="J692" s="501"/>
      <c r="K692" s="501"/>
    </row>
    <row r="693" spans="1:11">
      <c r="A693" s="483"/>
      <c r="B693" s="483"/>
      <c r="C693" s="483"/>
      <c r="H693" s="501"/>
      <c r="J693" s="501"/>
      <c r="K693" s="501"/>
    </row>
    <row r="694" spans="1:11" ht="14.25">
      <c r="A694" s="484"/>
      <c r="B694" s="485" t="s">
        <v>2795</v>
      </c>
      <c r="C694" s="483"/>
      <c r="D694" s="1290" t="s">
        <v>916</v>
      </c>
      <c r="E694" s="1290"/>
      <c r="F694" s="1290"/>
      <c r="H694" s="501"/>
      <c r="I694" s="483"/>
      <c r="J694" s="501"/>
      <c r="K694" s="501"/>
    </row>
    <row r="695" spans="1:11" ht="14.25">
      <c r="A695" s="484"/>
      <c r="B695" s="484"/>
      <c r="C695" s="483"/>
      <c r="D695" s="1290" t="s">
        <v>893</v>
      </c>
      <c r="E695" s="1290"/>
      <c r="F695" s="1290"/>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2796</v>
      </c>
      <c r="C698" s="483"/>
      <c r="D698" s="1290" t="s">
        <v>2466</v>
      </c>
      <c r="E698" s="1290"/>
      <c r="F698" s="1290"/>
      <c r="H698" s="501"/>
      <c r="I698" s="483"/>
      <c r="J698" s="501"/>
      <c r="K698" s="501"/>
    </row>
    <row r="699" spans="1:11" ht="14.25">
      <c r="A699" s="484"/>
      <c r="B699" s="484"/>
      <c r="C699" s="483"/>
      <c r="D699" s="1290" t="s">
        <v>893</v>
      </c>
      <c r="E699" s="1290"/>
      <c r="F699" s="1290"/>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2795</v>
      </c>
      <c r="C702" s="483"/>
      <c r="D702" s="1289" t="s">
        <v>2241</v>
      </c>
      <c r="E702" s="1289"/>
      <c r="F702" s="1289"/>
      <c r="H702" s="501"/>
      <c r="I702" s="483"/>
      <c r="J702" s="501"/>
      <c r="K702" s="501"/>
    </row>
    <row r="703" spans="1:11">
      <c r="A703" s="483"/>
      <c r="B703" s="483"/>
      <c r="C703" s="483"/>
      <c r="D703" s="1289"/>
      <c r="E703" s="1289"/>
      <c r="F703" s="1289"/>
      <c r="H703" s="501"/>
      <c r="I703" s="483"/>
      <c r="J703" s="501"/>
      <c r="K703" s="501"/>
    </row>
    <row r="704" spans="1:11">
      <c r="A704" s="483"/>
      <c r="B704" s="483"/>
      <c r="C704" s="483"/>
      <c r="D704" s="1289"/>
      <c r="E704" s="1289"/>
      <c r="F704" s="1289"/>
      <c r="H704" s="501"/>
      <c r="I704" s="483"/>
      <c r="J704" s="501"/>
      <c r="K704" s="501"/>
    </row>
    <row r="705" spans="1:11">
      <c r="A705" s="483"/>
      <c r="B705" s="483"/>
      <c r="C705" s="483"/>
      <c r="D705" s="1289"/>
      <c r="E705" s="1289"/>
      <c r="F705" s="1289"/>
      <c r="H705" s="501"/>
      <c r="I705" s="483"/>
      <c r="J705" s="501"/>
      <c r="K705" s="501"/>
    </row>
    <row r="706" spans="1:11">
      <c r="A706" s="483"/>
      <c r="B706" s="483"/>
      <c r="C706" s="483"/>
      <c r="D706" s="1289"/>
      <c r="E706" s="1289"/>
      <c r="F706" s="1289"/>
      <c r="H706" s="501"/>
      <c r="I706" s="483"/>
      <c r="J706" s="501"/>
      <c r="K706" s="501"/>
    </row>
    <row r="707" spans="1:11">
      <c r="A707" s="483"/>
      <c r="B707" s="483"/>
      <c r="C707" s="483"/>
      <c r="D707" s="1289"/>
      <c r="E707" s="1289"/>
      <c r="F707" s="1289"/>
      <c r="H707" s="501"/>
      <c r="I707" s="483"/>
      <c r="J707" s="501"/>
      <c r="K707" s="501"/>
    </row>
    <row r="708" spans="1:11">
      <c r="A708" s="483"/>
      <c r="B708" s="483"/>
      <c r="C708" s="483"/>
      <c r="D708" s="445"/>
      <c r="E708" s="445"/>
      <c r="F708" s="445"/>
      <c r="H708" s="501"/>
      <c r="I708" s="483"/>
      <c r="J708" s="501"/>
      <c r="K708" s="501"/>
    </row>
    <row r="709" spans="1:11">
      <c r="A709" s="483"/>
      <c r="B709" s="485" t="s">
        <v>2796</v>
      </c>
      <c r="C709" s="483"/>
      <c r="D709" s="1289" t="s">
        <v>1199</v>
      </c>
      <c r="E709" s="1289"/>
      <c r="F709" s="1289"/>
      <c r="H709" s="501"/>
      <c r="I709" s="483"/>
      <c r="J709" s="501"/>
      <c r="K709" s="501"/>
    </row>
    <row r="710" spans="1:11">
      <c r="A710" s="483"/>
      <c r="B710" s="483"/>
      <c r="C710" s="483"/>
      <c r="D710" s="1289"/>
      <c r="E710" s="1289"/>
      <c r="F710" s="1289"/>
      <c r="H710" s="501"/>
      <c r="I710" s="483"/>
      <c r="J710" s="501"/>
      <c r="K710" s="501"/>
    </row>
    <row r="711" spans="1:11">
      <c r="A711" s="483"/>
      <c r="B711" s="483"/>
      <c r="C711" s="483"/>
      <c r="D711" s="445"/>
      <c r="E711" s="445"/>
      <c r="F711" s="445"/>
      <c r="H711" s="501"/>
      <c r="I711" s="483"/>
      <c r="J711" s="501"/>
      <c r="K711" s="501"/>
    </row>
    <row r="712" spans="1:11" ht="14.25">
      <c r="A712" s="484"/>
      <c r="B712" s="485" t="s">
        <v>2796</v>
      </c>
      <c r="C712" s="483"/>
      <c r="D712" s="1289" t="s">
        <v>1075</v>
      </c>
      <c r="E712" s="1289"/>
      <c r="F712" s="1289"/>
      <c r="H712" s="501"/>
      <c r="I712" s="483"/>
      <c r="J712" s="501"/>
      <c r="K712" s="501"/>
    </row>
    <row r="713" spans="1:11">
      <c r="A713" s="483"/>
      <c r="B713" s="483"/>
      <c r="C713" s="483"/>
      <c r="D713" s="1289"/>
      <c r="E713" s="1289"/>
      <c r="F713" s="1289"/>
      <c r="H713" s="501"/>
      <c r="I713" s="483"/>
      <c r="J713" s="501"/>
      <c r="K713" s="501"/>
    </row>
    <row r="714" spans="1:11">
      <c r="A714" s="483"/>
      <c r="B714" s="483"/>
      <c r="C714" s="483"/>
      <c r="D714" s="1289"/>
      <c r="E714" s="1289"/>
      <c r="F714" s="1289"/>
      <c r="H714" s="501"/>
      <c r="I714" s="483"/>
      <c r="J714" s="501"/>
      <c r="K714" s="501"/>
    </row>
    <row r="715" spans="1:11" ht="15" customHeight="1">
      <c r="A715" s="483"/>
      <c r="B715" s="483"/>
      <c r="C715" s="483"/>
      <c r="D715" s="1289"/>
      <c r="E715" s="1289"/>
      <c r="F715" s="1289"/>
      <c r="H715" s="501"/>
      <c r="I715" s="483"/>
      <c r="J715" s="501"/>
      <c r="K715" s="501"/>
    </row>
    <row r="716" spans="1:11" ht="15" customHeight="1">
      <c r="A716" s="483"/>
      <c r="B716" s="483"/>
      <c r="C716" s="483"/>
      <c r="D716" s="1289"/>
      <c r="E716" s="1289"/>
      <c r="F716" s="1289"/>
      <c r="H716" s="501"/>
      <c r="I716" s="483"/>
      <c r="J716" s="501"/>
      <c r="K716" s="501"/>
    </row>
    <row r="717" spans="1:11">
      <c r="A717" s="483"/>
      <c r="B717" s="483"/>
      <c r="C717" s="483"/>
      <c r="D717" s="1289"/>
      <c r="E717" s="1289"/>
      <c r="F717" s="1289"/>
      <c r="H717" s="501"/>
      <c r="I717" s="483"/>
      <c r="J717" s="501"/>
      <c r="K717" s="501"/>
    </row>
    <row r="718" spans="1:11">
      <c r="A718" s="483"/>
      <c r="B718" s="483"/>
      <c r="C718" s="483"/>
      <c r="D718" s="1289"/>
      <c r="E718" s="1289"/>
      <c r="F718" s="1289"/>
      <c r="H718" s="501"/>
      <c r="I718" s="483"/>
      <c r="J718" s="501"/>
      <c r="K718" s="501"/>
    </row>
    <row r="719" spans="1:11">
      <c r="A719" s="483"/>
      <c r="B719" s="483"/>
      <c r="C719" s="483"/>
      <c r="D719" s="1289"/>
      <c r="E719" s="1289"/>
      <c r="F719" s="1289"/>
      <c r="H719" s="501"/>
      <c r="I719" s="483"/>
      <c r="J719" s="501"/>
      <c r="K719" s="501"/>
    </row>
    <row r="720" spans="1:11" ht="15" customHeight="1">
      <c r="A720" s="483"/>
      <c r="B720" s="483"/>
      <c r="C720" s="483"/>
      <c r="D720" s="1289"/>
      <c r="E720" s="1289"/>
      <c r="F720" s="1289"/>
      <c r="H720" s="501"/>
      <c r="I720" s="483"/>
      <c r="J720" s="501"/>
      <c r="K720" s="501"/>
    </row>
    <row r="721" spans="1:11">
      <c r="A721" s="483"/>
      <c r="B721" s="483"/>
      <c r="C721" s="483"/>
      <c r="D721" s="1289"/>
      <c r="E721" s="1289"/>
      <c r="F721" s="1289"/>
      <c r="H721" s="501"/>
      <c r="I721" s="483"/>
      <c r="J721" s="501"/>
      <c r="K721" s="501"/>
    </row>
    <row r="722" spans="1:11">
      <c r="A722" s="483"/>
      <c r="B722" s="483"/>
      <c r="C722" s="483"/>
      <c r="D722" s="1289"/>
      <c r="E722" s="1289"/>
      <c r="F722" s="1289"/>
      <c r="H722" s="501"/>
      <c r="I722" s="483"/>
      <c r="J722" s="501"/>
      <c r="K722" s="501"/>
    </row>
    <row r="723" spans="1:11">
      <c r="A723" s="483"/>
      <c r="B723" s="483"/>
      <c r="C723" s="483"/>
      <c r="D723" s="1289"/>
      <c r="E723" s="1289"/>
      <c r="F723" s="1289"/>
      <c r="H723" s="501"/>
      <c r="I723" s="483"/>
      <c r="J723" s="501"/>
      <c r="K723" s="501"/>
    </row>
    <row r="724" spans="1:11">
      <c r="A724" s="483"/>
      <c r="B724" s="483"/>
      <c r="C724" s="483"/>
      <c r="D724" s="1289"/>
      <c r="E724" s="1289"/>
      <c r="F724" s="1289"/>
      <c r="H724" s="501"/>
      <c r="I724" s="483"/>
      <c r="J724" s="501"/>
      <c r="K724" s="501"/>
    </row>
    <row r="725" spans="1:11">
      <c r="A725" s="483"/>
      <c r="B725" s="485" t="s">
        <v>2796</v>
      </c>
      <c r="C725" s="483"/>
      <c r="D725" s="1289" t="s">
        <v>2459</v>
      </c>
      <c r="E725" s="1289"/>
      <c r="F725" s="1289"/>
      <c r="H725" s="501"/>
      <c r="I725" s="483"/>
      <c r="J725" s="501"/>
      <c r="K725" s="501"/>
    </row>
    <row r="726" spans="1:11">
      <c r="A726" s="483"/>
      <c r="B726" s="483"/>
      <c r="C726" s="483"/>
      <c r="D726" s="1289"/>
      <c r="E726" s="1289"/>
      <c r="F726" s="1289"/>
      <c r="H726" s="501"/>
      <c r="I726" s="483"/>
      <c r="J726" s="501"/>
      <c r="K726" s="501"/>
    </row>
    <row r="727" spans="1:11">
      <c r="A727" s="483"/>
      <c r="B727" s="483"/>
      <c r="C727" s="483"/>
      <c r="D727" s="1289"/>
      <c r="E727" s="1289"/>
      <c r="F727" s="1289"/>
      <c r="H727" s="501"/>
      <c r="I727" s="483"/>
      <c r="J727" s="501"/>
      <c r="K727" s="501"/>
    </row>
    <row r="728" spans="1:11">
      <c r="A728" s="483"/>
      <c r="B728" s="483"/>
      <c r="C728" s="483"/>
      <c r="D728" s="445"/>
      <c r="E728" s="445"/>
      <c r="F728" s="445"/>
      <c r="H728" s="501"/>
      <c r="I728" s="483"/>
      <c r="J728" s="501"/>
      <c r="K728" s="501"/>
    </row>
    <row r="729" spans="1:11">
      <c r="A729" s="483"/>
      <c r="B729" s="485" t="s">
        <v>2796</v>
      </c>
      <c r="C729" s="483"/>
      <c r="D729" s="1289" t="s">
        <v>2458</v>
      </c>
      <c r="E729" s="1289"/>
      <c r="F729" s="1289"/>
      <c r="H729" s="501"/>
      <c r="I729" s="483"/>
      <c r="J729" s="501"/>
      <c r="K729" s="501"/>
    </row>
    <row r="730" spans="1:11">
      <c r="A730" s="483"/>
      <c r="B730" s="483"/>
      <c r="C730" s="483"/>
      <c r="D730" s="1289"/>
      <c r="E730" s="1289"/>
      <c r="F730" s="1289"/>
      <c r="H730" s="501"/>
      <c r="I730" s="483"/>
      <c r="J730" s="501"/>
      <c r="K730" s="501"/>
    </row>
    <row r="731" spans="1:11">
      <c r="A731" s="483"/>
      <c r="B731" s="483"/>
      <c r="C731" s="483"/>
      <c r="D731" s="1289"/>
      <c r="E731" s="1289"/>
      <c r="F731" s="1289"/>
      <c r="H731" s="501"/>
      <c r="I731" s="483"/>
      <c r="J731" s="501"/>
      <c r="K731" s="501"/>
    </row>
    <row r="732" spans="1:11">
      <c r="A732" s="483"/>
      <c r="B732" s="483"/>
      <c r="C732" s="483"/>
      <c r="H732" s="501"/>
      <c r="I732" s="483"/>
      <c r="J732" s="501"/>
      <c r="K732" s="501"/>
    </row>
    <row r="733" spans="1:11">
      <c r="A733" s="483"/>
      <c r="B733" s="485" t="s">
        <v>2796</v>
      </c>
      <c r="C733" s="483"/>
      <c r="D733" s="1289" t="s">
        <v>2457</v>
      </c>
      <c r="E733" s="1289"/>
      <c r="F733" s="1289"/>
      <c r="H733" s="501"/>
      <c r="I733" s="483"/>
      <c r="J733" s="501"/>
      <c r="K733" s="501"/>
    </row>
    <row r="734" spans="1:11">
      <c r="A734" s="483"/>
      <c r="B734" s="483"/>
      <c r="C734" s="483"/>
      <c r="D734" s="1289"/>
      <c r="E734" s="1289"/>
      <c r="F734" s="1289"/>
      <c r="H734" s="501"/>
      <c r="I734" s="483"/>
      <c r="J734" s="501"/>
      <c r="K734" s="501"/>
    </row>
    <row r="735" spans="1:11">
      <c r="A735" s="483"/>
      <c r="B735" s="483"/>
      <c r="C735" s="483"/>
      <c r="D735" s="1289"/>
      <c r="E735" s="1289"/>
      <c r="F735" s="1289"/>
      <c r="H735" s="501"/>
      <c r="I735" s="483"/>
      <c r="J735" s="501"/>
      <c r="K735" s="501"/>
    </row>
    <row r="736" spans="1:11">
      <c r="A736" s="483"/>
      <c r="B736" s="483"/>
      <c r="C736" s="483"/>
      <c r="D736" s="1289"/>
      <c r="E736" s="1289"/>
      <c r="F736" s="1289"/>
      <c r="H736" s="501"/>
      <c r="I736" s="483"/>
      <c r="J736" s="501"/>
      <c r="K736" s="501"/>
    </row>
    <row r="737" spans="1:11">
      <c r="A737" s="483"/>
      <c r="B737" s="483"/>
      <c r="C737" s="483"/>
      <c r="H737" s="501"/>
      <c r="I737" s="483"/>
      <c r="J737" s="501"/>
      <c r="K737" s="501"/>
    </row>
    <row r="738" spans="1:11" ht="14.25">
      <c r="A738" s="484"/>
      <c r="B738" s="485" t="s">
        <v>2796</v>
      </c>
      <c r="C738" s="483"/>
      <c r="D738" s="1289" t="s">
        <v>1076</v>
      </c>
      <c r="E738" s="1289"/>
      <c r="F738" s="1289"/>
      <c r="H738" s="501"/>
      <c r="I738" s="483"/>
      <c r="J738" s="501"/>
      <c r="K738" s="501"/>
    </row>
    <row r="739" spans="1:11">
      <c r="A739" s="483"/>
      <c r="B739" s="483"/>
      <c r="C739" s="483"/>
      <c r="D739" s="1289"/>
      <c r="E739" s="1289"/>
      <c r="F739" s="1289"/>
      <c r="H739" s="501"/>
      <c r="I739" s="483"/>
      <c r="J739" s="501"/>
      <c r="K739" s="501"/>
    </row>
    <row r="740" spans="1:11">
      <c r="A740" s="483"/>
      <c r="B740" s="483"/>
      <c r="C740" s="483"/>
      <c r="D740" s="1289"/>
      <c r="E740" s="1289"/>
      <c r="F740" s="1289"/>
      <c r="H740" s="501"/>
      <c r="I740" s="483"/>
      <c r="J740" s="501"/>
      <c r="K740" s="501"/>
    </row>
    <row r="741" spans="1:11">
      <c r="A741" s="483"/>
      <c r="B741" s="483"/>
      <c r="C741" s="483"/>
      <c r="D741" s="1289"/>
      <c r="E741" s="1289"/>
      <c r="F741" s="1289"/>
      <c r="H741" s="501"/>
      <c r="I741" s="483"/>
      <c r="J741" s="501"/>
      <c r="K741" s="501"/>
    </row>
    <row r="742" spans="1:11">
      <c r="A742" s="483"/>
      <c r="B742" s="483"/>
      <c r="C742" s="483"/>
      <c r="D742" s="1289"/>
      <c r="E742" s="1289"/>
      <c r="F742" s="1289"/>
      <c r="H742" s="501"/>
      <c r="I742" s="483"/>
      <c r="J742" s="501"/>
      <c r="K742" s="501"/>
    </row>
    <row r="743" spans="1:11">
      <c r="A743" s="483"/>
      <c r="B743" s="483"/>
      <c r="C743" s="483"/>
      <c r="D743" s="492"/>
      <c r="H743" s="501"/>
      <c r="I743" s="483"/>
      <c r="J743" s="501"/>
      <c r="K743" s="501"/>
    </row>
    <row r="744" spans="1:11" ht="14.25">
      <c r="A744" s="484"/>
      <c r="B744" s="485" t="s">
        <v>2796</v>
      </c>
      <c r="C744" s="483"/>
      <c r="D744" s="1289" t="s">
        <v>2143</v>
      </c>
      <c r="E744" s="1289"/>
      <c r="F744" s="1289"/>
      <c r="H744" s="501"/>
      <c r="I744" s="483"/>
      <c r="J744" s="501"/>
      <c r="K744" s="501"/>
    </row>
    <row r="745" spans="1:11">
      <c r="A745" s="483"/>
      <c r="B745" s="483"/>
      <c r="C745" s="483"/>
      <c r="D745" s="1289"/>
      <c r="E745" s="1289"/>
      <c r="F745" s="1289"/>
      <c r="H745" s="501"/>
      <c r="I745" s="483"/>
      <c r="J745" s="501"/>
      <c r="K745" s="501"/>
    </row>
    <row r="746" spans="1:11">
      <c r="A746" s="483"/>
      <c r="B746" s="483"/>
      <c r="C746" s="483"/>
      <c r="D746" s="1289"/>
      <c r="E746" s="1289"/>
      <c r="F746" s="1289"/>
      <c r="H746" s="501"/>
      <c r="I746" s="483"/>
      <c r="J746" s="501"/>
      <c r="K746" s="501"/>
    </row>
    <row r="747" spans="1:11">
      <c r="A747" s="483"/>
      <c r="B747" s="483"/>
      <c r="C747" s="483"/>
      <c r="D747" s="1289"/>
      <c r="E747" s="1289"/>
      <c r="F747" s="1289"/>
      <c r="H747" s="501"/>
      <c r="I747" s="483"/>
      <c r="J747" s="501"/>
      <c r="K747" s="501"/>
    </row>
    <row r="748" spans="1:11">
      <c r="A748" s="483"/>
      <c r="B748" s="483"/>
      <c r="C748" s="483"/>
      <c r="D748" s="1289"/>
      <c r="E748" s="1289"/>
      <c r="F748" s="1289"/>
      <c r="H748" s="501"/>
      <c r="I748" s="483"/>
      <c r="J748" s="501"/>
      <c r="K748" s="501"/>
    </row>
    <row r="749" spans="1:11">
      <c r="A749" s="483"/>
      <c r="B749" s="483"/>
      <c r="C749" s="483"/>
      <c r="D749" s="1289"/>
      <c r="E749" s="1289"/>
      <c r="F749" s="1289"/>
      <c r="H749" s="501"/>
      <c r="I749" s="483"/>
      <c r="J749" s="501"/>
      <c r="K749" s="501"/>
    </row>
    <row r="750" spans="1:11">
      <c r="A750" s="483"/>
      <c r="B750" s="483"/>
      <c r="C750" s="483"/>
      <c r="D750" s="1289"/>
      <c r="E750" s="1289"/>
      <c r="F750" s="1289"/>
      <c r="H750" s="501"/>
      <c r="I750" s="483"/>
      <c r="J750" s="501"/>
      <c r="K750" s="501"/>
    </row>
    <row r="751" spans="1:11">
      <c r="A751" s="483"/>
      <c r="B751" s="483"/>
      <c r="C751" s="483"/>
      <c r="D751" s="1327" t="s">
        <v>2072</v>
      </c>
      <c r="E751" s="1327"/>
      <c r="F751" s="1327"/>
      <c r="H751" s="501"/>
      <c r="I751" s="483"/>
      <c r="J751" s="501"/>
      <c r="K751" s="501"/>
    </row>
    <row r="752" spans="1:11">
      <c r="A752" s="483"/>
      <c r="B752" s="483"/>
      <c r="C752" s="483"/>
      <c r="D752" s="341"/>
      <c r="H752" s="501"/>
      <c r="I752" s="483"/>
      <c r="J752" s="501"/>
      <c r="K752" s="501"/>
    </row>
    <row r="753" spans="1:11">
      <c r="A753" s="1296" t="s">
        <v>1058</v>
      </c>
      <c r="B753" s="1296"/>
      <c r="C753" s="1296"/>
      <c r="D753" s="1296"/>
      <c r="E753" s="1296"/>
      <c r="F753" s="1296"/>
      <c r="G753" s="1296"/>
      <c r="H753" s="1030"/>
      <c r="I753" s="1157"/>
      <c r="J753" s="501"/>
      <c r="K753" s="501"/>
    </row>
    <row r="754" spans="1:11">
      <c r="A754" s="483"/>
      <c r="B754" s="483"/>
      <c r="C754" s="483"/>
      <c r="D754" s="492"/>
      <c r="G754" s="501"/>
      <c r="H754" s="501"/>
      <c r="I754" s="483"/>
      <c r="J754" s="501"/>
      <c r="K754" s="501"/>
    </row>
    <row r="755" spans="1:11" ht="13.7" customHeight="1">
      <c r="C755" s="483"/>
      <c r="D755" s="1291" t="s">
        <v>1068</v>
      </c>
      <c r="E755" s="1291"/>
      <c r="F755" s="1291"/>
      <c r="G755" s="501"/>
      <c r="H755" s="501"/>
      <c r="I755" s="483"/>
      <c r="J755" s="501"/>
      <c r="K755" s="501"/>
    </row>
    <row r="756" spans="1:11">
      <c r="A756" s="483"/>
      <c r="B756" s="483"/>
      <c r="C756" s="483"/>
      <c r="D756" s="1295" t="s">
        <v>1069</v>
      </c>
      <c r="E756" s="1295"/>
      <c r="F756" s="1295"/>
      <c r="G756" s="501"/>
      <c r="H756" s="501"/>
      <c r="I756" s="483"/>
      <c r="J756" s="501"/>
      <c r="K756" s="501"/>
    </row>
    <row r="757" spans="1:11">
      <c r="A757" s="483"/>
      <c r="B757" s="483"/>
      <c r="C757" s="483"/>
      <c r="G757" s="501"/>
      <c r="H757" s="501"/>
      <c r="I757" s="483"/>
      <c r="J757" s="501"/>
      <c r="K757" s="501"/>
    </row>
    <row r="758" spans="1:11" ht="14.25">
      <c r="A758" s="484"/>
      <c r="B758" s="485" t="s">
        <v>2795</v>
      </c>
      <c r="D758" s="1289" t="s">
        <v>1070</v>
      </c>
      <c r="E758" s="1289"/>
      <c r="F758" s="1289"/>
      <c r="G758" s="501"/>
      <c r="H758" s="501"/>
      <c r="I758" s="483"/>
      <c r="J758" s="501"/>
      <c r="K758" s="501"/>
    </row>
    <row r="759" spans="1:11" ht="10.5" customHeight="1">
      <c r="D759" s="1289"/>
      <c r="E759" s="1289"/>
      <c r="F759" s="1289"/>
      <c r="G759" s="501"/>
      <c r="H759" s="501"/>
      <c r="I759" s="483"/>
      <c r="J759" s="501"/>
      <c r="K759" s="501"/>
    </row>
    <row r="760" spans="1:11">
      <c r="D760" s="1289"/>
      <c r="E760" s="1289"/>
      <c r="F760" s="1289"/>
      <c r="G760" s="501"/>
      <c r="H760" s="501"/>
      <c r="I760" s="483"/>
      <c r="J760" s="501"/>
      <c r="K760" s="501"/>
    </row>
    <row r="761" spans="1:11">
      <c r="D761" s="1289"/>
      <c r="E761" s="1289"/>
      <c r="F761" s="1289"/>
      <c r="G761" s="501"/>
      <c r="H761" s="501"/>
      <c r="I761" s="483"/>
      <c r="J761" s="501"/>
      <c r="K761" s="501"/>
    </row>
    <row r="762" spans="1:11">
      <c r="D762" s="1289"/>
      <c r="E762" s="1289"/>
      <c r="F762" s="1289"/>
      <c r="G762" s="501"/>
      <c r="H762" s="501"/>
      <c r="I762" s="483"/>
      <c r="J762" s="501"/>
      <c r="K762" s="501"/>
    </row>
    <row r="763" spans="1:11" ht="15.6" customHeight="1">
      <c r="D763" s="1289"/>
      <c r="E763" s="1289"/>
      <c r="F763" s="1289"/>
      <c r="G763" s="501"/>
      <c r="H763" s="501"/>
      <c r="I763" s="483"/>
      <c r="J763" s="501"/>
      <c r="K763" s="501"/>
    </row>
    <row r="764" spans="1:11">
      <c r="D764" s="499"/>
      <c r="E764" s="446"/>
      <c r="F764" s="446"/>
      <c r="G764" s="501"/>
      <c r="H764" s="501"/>
      <c r="I764" s="483"/>
      <c r="J764" s="501"/>
      <c r="K764" s="501"/>
    </row>
    <row r="765" spans="1:11" s="505" customFormat="1" ht="14.25">
      <c r="A765" s="503"/>
      <c r="B765" s="485" t="s">
        <v>2795</v>
      </c>
      <c r="C765" s="504"/>
      <c r="D765" s="1289" t="s">
        <v>1239</v>
      </c>
      <c r="E765" s="1289"/>
      <c r="F765" s="1289"/>
      <c r="I765" s="1158"/>
    </row>
    <row r="766" spans="1:11" s="505" customFormat="1">
      <c r="A766" s="504"/>
      <c r="B766" s="504"/>
      <c r="C766" s="504"/>
      <c r="D766" s="1289"/>
      <c r="E766" s="1289"/>
      <c r="F766" s="1289"/>
      <c r="I766" s="1158"/>
    </row>
    <row r="767" spans="1:11" s="505" customFormat="1">
      <c r="A767" s="504"/>
      <c r="B767" s="504"/>
      <c r="C767" s="504"/>
      <c r="D767" s="1289"/>
      <c r="E767" s="1289"/>
      <c r="F767" s="1289"/>
      <c r="I767" s="1158"/>
    </row>
    <row r="768" spans="1:11" s="505" customFormat="1">
      <c r="A768" s="504"/>
      <c r="B768" s="504"/>
      <c r="C768" s="504"/>
      <c r="D768" s="1289"/>
      <c r="E768" s="1289"/>
      <c r="F768" s="1289"/>
      <c r="I768" s="1158"/>
    </row>
    <row r="769" spans="1:11" s="505" customFormat="1">
      <c r="A769" s="504"/>
      <c r="B769" s="504"/>
      <c r="C769" s="504"/>
      <c r="D769" s="499"/>
      <c r="I769" s="1158"/>
    </row>
    <row r="770" spans="1:11" s="505" customFormat="1" ht="14.25">
      <c r="A770" s="484"/>
      <c r="B770" s="485" t="s">
        <v>2796</v>
      </c>
      <c r="C770" s="504"/>
      <c r="D770" s="1314" t="s">
        <v>1240</v>
      </c>
      <c r="E770" s="1314"/>
      <c r="F770" s="1314"/>
      <c r="I770" s="1158"/>
    </row>
    <row r="771" spans="1:11" s="505" customFormat="1">
      <c r="A771" s="504"/>
      <c r="B771" s="504"/>
      <c r="C771" s="504"/>
      <c r="D771" s="1314"/>
      <c r="E771" s="1314"/>
      <c r="F771" s="1314"/>
      <c r="I771" s="1158"/>
    </row>
    <row r="772" spans="1:11" s="505" customFormat="1">
      <c r="A772" s="504"/>
      <c r="B772" s="504"/>
      <c r="C772" s="504"/>
      <c r="D772" s="1314"/>
      <c r="E772" s="1314"/>
      <c r="F772" s="1314"/>
      <c r="I772" s="1158"/>
    </row>
    <row r="773" spans="1:11">
      <c r="D773" s="499"/>
      <c r="E773" s="446"/>
      <c r="F773" s="446"/>
      <c r="G773" s="501"/>
      <c r="H773" s="501"/>
      <c r="I773" s="483"/>
      <c r="J773" s="501"/>
      <c r="K773" s="501"/>
    </row>
    <row r="774" spans="1:11" ht="14.25">
      <c r="A774" s="484"/>
      <c r="B774" s="485" t="s">
        <v>2795</v>
      </c>
      <c r="D774" s="1289" t="s">
        <v>1196</v>
      </c>
      <c r="E774" s="1289"/>
      <c r="F774" s="1289"/>
      <c r="G774" s="501"/>
      <c r="H774" s="501"/>
      <c r="I774" s="483"/>
      <c r="J774" s="501"/>
      <c r="K774" s="501"/>
    </row>
    <row r="775" spans="1:11">
      <c r="D775" s="1289"/>
      <c r="E775" s="1289"/>
      <c r="F775" s="1289"/>
      <c r="G775" s="501"/>
      <c r="H775" s="501"/>
      <c r="I775" s="483"/>
      <c r="J775" s="501"/>
      <c r="K775" s="501"/>
    </row>
    <row r="776" spans="1:11">
      <c r="D776" s="445"/>
      <c r="E776" s="445"/>
      <c r="F776" s="445"/>
      <c r="G776" s="501"/>
      <c r="H776" s="501"/>
      <c r="I776" s="483"/>
      <c r="J776" s="501"/>
      <c r="K776" s="501"/>
    </row>
    <row r="777" spans="1:11">
      <c r="B777" s="485" t="s">
        <v>2796</v>
      </c>
      <c r="D777" s="1289" t="s">
        <v>1213</v>
      </c>
      <c r="E777" s="1289"/>
      <c r="F777" s="1289"/>
      <c r="G777" s="501"/>
      <c r="H777" s="501"/>
      <c r="I777" s="483"/>
      <c r="J777" s="501"/>
      <c r="K777" s="501"/>
    </row>
    <row r="778" spans="1:11">
      <c r="D778" s="1289"/>
      <c r="E778" s="1289"/>
      <c r="F778" s="1289"/>
      <c r="G778" s="501"/>
      <c r="H778" s="501"/>
      <c r="I778" s="483"/>
      <c r="J778" s="501"/>
      <c r="K778" s="501"/>
    </row>
    <row r="779" spans="1:11">
      <c r="D779" s="1289"/>
      <c r="E779" s="1289"/>
      <c r="F779" s="1289"/>
      <c r="G779" s="501"/>
      <c r="H779" s="501"/>
      <c r="I779" s="483"/>
      <c r="J779" s="501"/>
      <c r="K779" s="501"/>
    </row>
    <row r="780" spans="1:11">
      <c r="D780" s="445"/>
      <c r="E780" s="445"/>
      <c r="F780" s="445"/>
      <c r="G780" s="501"/>
      <c r="H780" s="501"/>
      <c r="I780" s="483"/>
      <c r="J780" s="501"/>
      <c r="K780" s="501"/>
    </row>
    <row r="781" spans="1:11">
      <c r="A781" s="1321" t="s">
        <v>1799</v>
      </c>
      <c r="B781" s="1321"/>
      <c r="C781" s="1321"/>
      <c r="D781" s="1321"/>
      <c r="E781" s="1321"/>
      <c r="F781" s="1321"/>
      <c r="G781" s="1321"/>
      <c r="H781" s="1028"/>
      <c r="I781" s="1153"/>
    </row>
    <row r="782" spans="1:11">
      <c r="A782" s="57"/>
      <c r="B782" s="57"/>
      <c r="C782" s="354"/>
      <c r="D782" s="3"/>
      <c r="E782" s="3"/>
      <c r="F782" s="3"/>
      <c r="G782" s="3"/>
      <c r="I782" s="490"/>
    </row>
    <row r="783" spans="1:11">
      <c r="A783" s="57"/>
      <c r="B783" s="57"/>
      <c r="C783" s="354"/>
      <c r="D783" s="1320" t="s">
        <v>1852</v>
      </c>
      <c r="E783" s="1320"/>
      <c r="F783" s="1320"/>
      <c r="G783" s="3"/>
      <c r="I783" s="490"/>
    </row>
    <row r="784" spans="1:11">
      <c r="A784" s="57"/>
      <c r="B784" s="57"/>
      <c r="C784" s="354"/>
      <c r="D784" s="1301" t="s">
        <v>1753</v>
      </c>
      <c r="E784" s="1301"/>
      <c r="F784" s="1301"/>
      <c r="G784" s="3"/>
      <c r="I784" s="490"/>
    </row>
    <row r="785" spans="1:9">
      <c r="A785" s="57"/>
      <c r="B785" s="57"/>
      <c r="C785" s="354"/>
      <c r="D785" s="447"/>
      <c r="E785" s="447"/>
      <c r="F785" s="447"/>
      <c r="G785" s="3"/>
      <c r="I785" s="490"/>
    </row>
    <row r="786" spans="1:9">
      <c r="A786" s="57"/>
      <c r="B786" s="485" t="s">
        <v>2795</v>
      </c>
      <c r="C786" s="354"/>
      <c r="D786" s="1322" t="s">
        <v>1754</v>
      </c>
      <c r="E786" s="1322"/>
      <c r="F786" s="1322"/>
      <c r="G786" s="3"/>
      <c r="I786" s="483"/>
    </row>
    <row r="787" spans="1:9">
      <c r="A787" s="57"/>
      <c r="B787" s="57"/>
      <c r="C787" s="354"/>
      <c r="D787" s="1322"/>
      <c r="E787" s="1322"/>
      <c r="F787" s="1322"/>
      <c r="G787" s="3"/>
      <c r="I787" s="490"/>
    </row>
    <row r="788" spans="1:9">
      <c r="A788" s="174"/>
      <c r="B788" s="174"/>
      <c r="C788" s="174"/>
      <c r="D788" s="1322"/>
      <c r="E788" s="1322"/>
      <c r="F788" s="1322"/>
      <c r="G788" s="118"/>
      <c r="I788" s="490"/>
    </row>
    <row r="789" spans="1:9">
      <c r="A789" s="354"/>
      <c r="B789" s="354"/>
      <c r="C789" s="354"/>
      <c r="D789" s="173"/>
      <c r="E789" s="3"/>
      <c r="F789" s="3"/>
      <c r="G789" s="3"/>
      <c r="I789" s="490"/>
    </row>
    <row r="790" spans="1:9">
      <c r="A790" s="172"/>
      <c r="B790" s="485" t="s">
        <v>2796</v>
      </c>
      <c r="C790" s="172"/>
      <c r="D790" s="1322" t="s">
        <v>1755</v>
      </c>
      <c r="E790" s="1322"/>
      <c r="F790" s="1322"/>
      <c r="G790" s="3"/>
      <c r="I790" s="483"/>
    </row>
    <row r="791" spans="1:9">
      <c r="A791" s="172"/>
      <c r="B791" s="172"/>
      <c r="C791" s="172"/>
      <c r="D791" s="1322"/>
      <c r="E791" s="1322"/>
      <c r="F791" s="1322"/>
      <c r="G791" s="3"/>
      <c r="I791" s="490"/>
    </row>
    <row r="792" spans="1:9">
      <c r="A792" s="172"/>
      <c r="B792" s="172"/>
      <c r="C792" s="172"/>
      <c r="D792" s="1322"/>
      <c r="E792" s="1322"/>
      <c r="F792" s="1322"/>
      <c r="G792" s="3"/>
      <c r="I792" s="490"/>
    </row>
    <row r="793" spans="1:9">
      <c r="A793" s="174"/>
      <c r="B793" s="174"/>
      <c r="C793" s="174"/>
      <c r="D793" s="3"/>
      <c r="E793" s="988"/>
      <c r="F793" s="988"/>
      <c r="G793" s="988"/>
      <c r="I793" s="490"/>
    </row>
    <row r="794" spans="1:9" ht="14.25">
      <c r="A794" s="175"/>
      <c r="B794" s="485" t="s">
        <v>2796</v>
      </c>
      <c r="C794" s="989"/>
      <c r="D794" s="1322" t="s">
        <v>1756</v>
      </c>
      <c r="E794" s="1322"/>
      <c r="F794" s="1322"/>
      <c r="G794" s="988"/>
      <c r="I794" s="483"/>
    </row>
    <row r="795" spans="1:9" ht="14.25">
      <c r="A795" s="175"/>
      <c r="B795" s="175"/>
      <c r="C795" s="989"/>
      <c r="D795" s="1322"/>
      <c r="E795" s="1322"/>
      <c r="F795" s="1322"/>
      <c r="G795" s="988"/>
      <c r="I795" s="490"/>
    </row>
    <row r="796" spans="1:9" ht="14.25">
      <c r="A796" s="175"/>
      <c r="B796" s="175"/>
      <c r="C796" s="989"/>
      <c r="D796" s="1322"/>
      <c r="E796" s="1322"/>
      <c r="F796" s="1322"/>
      <c r="G796" s="988"/>
      <c r="I796" s="490"/>
    </row>
    <row r="797" spans="1:9" ht="14.25">
      <c r="A797" s="175"/>
      <c r="B797" s="175"/>
      <c r="C797" s="989"/>
      <c r="D797" s="118"/>
      <c r="E797" s="3"/>
      <c r="F797" s="3"/>
      <c r="G797" s="988"/>
      <c r="I797" s="490"/>
    </row>
    <row r="798" spans="1:9" ht="14.25">
      <c r="A798" s="175"/>
      <c r="B798" s="485" t="s">
        <v>2796</v>
      </c>
      <c r="C798" s="989"/>
      <c r="D798" s="1322" t="s">
        <v>1757</v>
      </c>
      <c r="E798" s="1322"/>
      <c r="F798" s="1322"/>
      <c r="G798" s="988"/>
      <c r="I798" s="483"/>
    </row>
    <row r="799" spans="1:9" ht="14.25">
      <c r="A799" s="175"/>
      <c r="B799" s="175"/>
      <c r="C799" s="989"/>
      <c r="D799" s="1322"/>
      <c r="E799" s="1322"/>
      <c r="F799" s="1322"/>
      <c r="G799" s="988"/>
      <c r="I799" s="490"/>
    </row>
    <row r="800" spans="1:9" ht="14.25">
      <c r="A800" s="175"/>
      <c r="B800" s="175"/>
      <c r="C800" s="989"/>
      <c r="D800" s="1322"/>
      <c r="E800" s="1322"/>
      <c r="F800" s="1322"/>
      <c r="G800" s="988"/>
      <c r="I800" s="490"/>
    </row>
    <row r="801" spans="1:9" ht="14.25">
      <c r="A801" s="175"/>
      <c r="B801" s="175"/>
      <c r="C801" s="989"/>
      <c r="D801" s="1322"/>
      <c r="E801" s="1322"/>
      <c r="F801" s="1322"/>
      <c r="G801" s="988"/>
      <c r="I801" s="490"/>
    </row>
    <row r="802" spans="1:9" ht="14.25">
      <c r="A802" s="175"/>
      <c r="B802" s="175"/>
      <c r="C802" s="989"/>
      <c r="D802" s="1322"/>
      <c r="E802" s="1322"/>
      <c r="F802" s="1322"/>
      <c r="G802" s="988"/>
      <c r="I802" s="490"/>
    </row>
    <row r="803" spans="1:9" ht="14.25">
      <c r="A803" s="175"/>
      <c r="B803" s="175"/>
      <c r="C803" s="989"/>
      <c r="D803" s="1322"/>
      <c r="E803" s="1322"/>
      <c r="F803" s="1322"/>
      <c r="G803" s="988"/>
      <c r="I803" s="490"/>
    </row>
    <row r="804" spans="1:9" ht="14.25">
      <c r="A804" s="175"/>
      <c r="B804" s="175"/>
      <c r="C804" s="989"/>
      <c r="D804" s="1322" t="s">
        <v>1800</v>
      </c>
      <c r="E804" s="1322"/>
      <c r="F804" s="1322"/>
      <c r="G804" s="988"/>
      <c r="I804" s="490"/>
    </row>
    <row r="805" spans="1:9" ht="14.25">
      <c r="A805" s="175"/>
      <c r="B805" s="175"/>
      <c r="C805" s="989"/>
      <c r="D805" s="1322"/>
      <c r="E805" s="1322"/>
      <c r="F805" s="1322"/>
      <c r="G805" s="988"/>
      <c r="I805" s="490"/>
    </row>
    <row r="806" spans="1:9" ht="14.25">
      <c r="A806" s="175"/>
      <c r="B806" s="175"/>
      <c r="C806" s="989"/>
      <c r="D806" s="1322"/>
      <c r="E806" s="1322"/>
      <c r="F806" s="1322"/>
      <c r="G806" s="988"/>
      <c r="I806" s="490"/>
    </row>
    <row r="807" spans="1:9" ht="14.25">
      <c r="A807" s="175"/>
      <c r="B807" s="354"/>
      <c r="C807" s="989"/>
      <c r="D807" s="990"/>
      <c r="E807" s="990"/>
      <c r="F807" s="990"/>
      <c r="G807" s="988"/>
      <c r="I807" s="490"/>
    </row>
    <row r="808" spans="1:9" ht="14.25">
      <c r="A808" s="175"/>
      <c r="B808" s="485" t="s">
        <v>2796</v>
      </c>
      <c r="C808" s="989"/>
      <c r="D808" s="1322" t="s">
        <v>1758</v>
      </c>
      <c r="E808" s="1322"/>
      <c r="F808" s="1322"/>
      <c r="G808" s="988"/>
      <c r="I808" s="483"/>
    </row>
    <row r="809" spans="1:9" ht="14.25">
      <c r="A809" s="175"/>
      <c r="B809" s="175"/>
      <c r="C809" s="989"/>
      <c r="D809" s="1322"/>
      <c r="E809" s="1322"/>
      <c r="F809" s="1322"/>
      <c r="G809" s="988"/>
      <c r="I809" s="490"/>
    </row>
    <row r="810" spans="1:9" ht="14.25">
      <c r="A810" s="175"/>
      <c r="B810" s="175"/>
      <c r="C810" s="989"/>
      <c r="D810" s="1322"/>
      <c r="E810" s="1322"/>
      <c r="F810" s="1322"/>
      <c r="G810" s="988"/>
      <c r="I810" s="490"/>
    </row>
    <row r="811" spans="1:9" ht="14.25">
      <c r="A811" s="175"/>
      <c r="B811" s="175"/>
      <c r="C811" s="989"/>
      <c r="D811" s="1322"/>
      <c r="E811" s="1322"/>
      <c r="F811" s="1322"/>
      <c r="G811" s="988"/>
      <c r="I811" s="490"/>
    </row>
    <row r="812" spans="1:9" ht="14.25">
      <c r="A812" s="175"/>
      <c r="B812" s="175"/>
      <c r="C812" s="989"/>
      <c r="D812" s="1322"/>
      <c r="E812" s="1322"/>
      <c r="F812" s="1322"/>
      <c r="G812" s="988"/>
      <c r="I812" s="490"/>
    </row>
    <row r="813" spans="1:9" ht="14.25">
      <c r="A813" s="175"/>
      <c r="B813" s="175"/>
      <c r="C813" s="989"/>
      <c r="D813" s="1322"/>
      <c r="E813" s="1322"/>
      <c r="F813" s="1322"/>
      <c r="G813" s="988"/>
      <c r="I813" s="490"/>
    </row>
    <row r="814" spans="1:9" ht="14.25">
      <c r="A814" s="175"/>
      <c r="B814" s="175"/>
      <c r="C814" s="989"/>
      <c r="D814" s="982"/>
      <c r="E814" s="982"/>
      <c r="F814" s="982"/>
      <c r="G814" s="988"/>
      <c r="I814" s="490"/>
    </row>
    <row r="815" spans="1:9" ht="14.25">
      <c r="A815" s="175"/>
      <c r="B815" s="485" t="s">
        <v>2796</v>
      </c>
      <c r="C815" s="989"/>
      <c r="D815" s="1322" t="s">
        <v>1759</v>
      </c>
      <c r="E815" s="1322"/>
      <c r="F815" s="1322"/>
      <c r="G815" s="988"/>
      <c r="I815" s="483"/>
    </row>
    <row r="816" spans="1:9" ht="14.25">
      <c r="A816" s="175"/>
      <c r="B816" s="175"/>
      <c r="C816" s="989"/>
      <c r="D816" s="1322"/>
      <c r="E816" s="1322"/>
      <c r="F816" s="1322"/>
      <c r="G816" s="988"/>
      <c r="I816" s="490"/>
    </row>
    <row r="817" spans="1:9" ht="14.25">
      <c r="A817" s="175"/>
      <c r="B817" s="175"/>
      <c r="C817" s="989"/>
      <c r="D817" s="1322"/>
      <c r="E817" s="1322"/>
      <c r="F817" s="1322"/>
      <c r="G817" s="988"/>
      <c r="I817" s="490"/>
    </row>
    <row r="818" spans="1:9" ht="14.25">
      <c r="A818" s="175"/>
      <c r="B818" s="175"/>
      <c r="C818" s="989"/>
      <c r="D818" s="1322"/>
      <c r="E818" s="1322"/>
      <c r="F818" s="1322"/>
      <c r="G818" s="988"/>
      <c r="I818" s="490"/>
    </row>
    <row r="819" spans="1:9" ht="14.25">
      <c r="A819" s="175"/>
      <c r="B819" s="175"/>
      <c r="C819" s="989"/>
      <c r="D819" s="1322"/>
      <c r="E819" s="1322"/>
      <c r="F819" s="1322"/>
      <c r="G819" s="988"/>
      <c r="I819" s="490"/>
    </row>
    <row r="820" spans="1:9" ht="14.25">
      <c r="A820" s="175"/>
      <c r="B820" s="175"/>
      <c r="C820" s="989"/>
      <c r="D820" s="1322"/>
      <c r="E820" s="1322"/>
      <c r="F820" s="1322"/>
      <c r="G820" s="988"/>
      <c r="I820" s="490"/>
    </row>
    <row r="821" spans="1:9" ht="14.25">
      <c r="A821" s="175"/>
      <c r="B821" s="175"/>
      <c r="C821" s="989"/>
      <c r="D821" s="982"/>
      <c r="E821" s="982"/>
      <c r="F821" s="982"/>
      <c r="G821" s="988"/>
      <c r="I821" s="490"/>
    </row>
    <row r="822" spans="1:9" ht="14.25">
      <c r="A822" s="175"/>
      <c r="B822" s="485" t="s">
        <v>2796</v>
      </c>
      <c r="C822" s="989"/>
      <c r="D822" s="1294" t="s">
        <v>1760</v>
      </c>
      <c r="E822" s="1294"/>
      <c r="F822" s="1294"/>
      <c r="G822" s="988"/>
      <c r="I822" s="483"/>
    </row>
    <row r="823" spans="1:9" ht="14.25">
      <c r="A823" s="175"/>
      <c r="B823" s="175"/>
      <c r="C823" s="989"/>
      <c r="D823" s="1294"/>
      <c r="E823" s="1294"/>
      <c r="F823" s="1294"/>
      <c r="G823" s="988"/>
      <c r="I823" s="490"/>
    </row>
    <row r="824" spans="1:9">
      <c r="A824" s="13"/>
      <c r="B824" s="13"/>
      <c r="C824" s="989"/>
      <c r="D824" s="1294"/>
      <c r="E824" s="1294"/>
      <c r="F824" s="1294"/>
      <c r="G824" s="988"/>
      <c r="I824" s="490"/>
    </row>
    <row r="825" spans="1:9" ht="14.25">
      <c r="A825" s="175"/>
      <c r="B825" s="13"/>
      <c r="C825" s="989"/>
      <c r="D825" s="1294"/>
      <c r="E825" s="1294"/>
      <c r="F825" s="1294"/>
      <c r="G825" s="988"/>
      <c r="I825" s="490"/>
    </row>
    <row r="826" spans="1:9" ht="12.75" customHeight="1">
      <c r="A826" s="175"/>
      <c r="B826" s="13"/>
      <c r="C826" s="989"/>
      <c r="D826" s="1294"/>
      <c r="E826" s="1294"/>
      <c r="F826" s="1294"/>
      <c r="G826" s="988"/>
      <c r="I826" s="490"/>
    </row>
    <row r="827" spans="1:9" ht="12.75" customHeight="1">
      <c r="A827" s="175"/>
      <c r="B827" s="13"/>
      <c r="C827" s="989"/>
      <c r="D827" s="1294"/>
      <c r="E827" s="1294"/>
      <c r="F827" s="1294"/>
      <c r="G827" s="988"/>
      <c r="I827" s="490"/>
    </row>
    <row r="828" spans="1:9" ht="12.75" customHeight="1">
      <c r="A828" s="13"/>
      <c r="B828" s="13"/>
      <c r="C828" s="989"/>
      <c r="D828" s="988"/>
      <c r="E828" s="3"/>
      <c r="F828" s="3"/>
      <c r="G828" s="988"/>
      <c r="I828" s="490"/>
    </row>
    <row r="829" spans="1:9" ht="12.75" customHeight="1">
      <c r="A829" s="1315" t="s">
        <v>1761</v>
      </c>
      <c r="B829" s="1315"/>
      <c r="C829" s="1315"/>
      <c r="D829" s="1315"/>
      <c r="E829" s="1315"/>
      <c r="F829" s="1315"/>
      <c r="G829" s="1315"/>
      <c r="H829" s="1028"/>
      <c r="I829" s="1153"/>
    </row>
    <row r="830" spans="1:9" ht="12.75" customHeight="1">
      <c r="A830" s="172"/>
      <c r="B830" s="172"/>
      <c r="C830" s="989"/>
      <c r="D830" s="988"/>
      <c r="E830" s="988"/>
      <c r="F830" s="988"/>
      <c r="G830" s="988"/>
      <c r="I830" s="490"/>
    </row>
    <row r="831" spans="1:9" ht="12.75" customHeight="1">
      <c r="A831" s="175"/>
      <c r="B831" s="175"/>
      <c r="C831" s="354"/>
      <c r="D831" s="1319" t="s">
        <v>1801</v>
      </c>
      <c r="E831" s="1319"/>
      <c r="F831" s="1319"/>
      <c r="G831" s="3"/>
      <c r="I831" s="490"/>
    </row>
    <row r="832" spans="1:9" ht="14.25" customHeight="1">
      <c r="A832" s="175"/>
      <c r="B832" s="175"/>
      <c r="C832" s="354"/>
      <c r="D832" s="1266" t="s">
        <v>1762</v>
      </c>
      <c r="E832" s="1266"/>
      <c r="F832" s="1266"/>
      <c r="G832" s="3"/>
      <c r="I832" s="490"/>
    </row>
    <row r="833" spans="1:9" ht="12.75" customHeight="1">
      <c r="A833" s="175"/>
      <c r="B833" s="175"/>
      <c r="C833" s="354"/>
      <c r="D833" s="441"/>
      <c r="E833" s="441"/>
      <c r="F833" s="441"/>
      <c r="G833" s="3"/>
      <c r="I833" s="490"/>
    </row>
    <row r="834" spans="1:9" ht="12.75" customHeight="1">
      <c r="A834" s="354"/>
      <c r="B834" s="485" t="s">
        <v>2795</v>
      </c>
      <c r="C834" s="989"/>
      <c r="D834" s="1266" t="s">
        <v>1763</v>
      </c>
      <c r="E834" s="1266"/>
      <c r="F834" s="1266"/>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4" t="s">
        <v>2073</v>
      </c>
      <c r="E837" s="1324"/>
      <c r="F837" s="1324"/>
      <c r="G837" s="3"/>
      <c r="I837" s="490"/>
    </row>
    <row r="838" spans="1:9" ht="12.75" hidden="1" customHeight="1">
      <c r="A838" s="13"/>
      <c r="B838" s="13"/>
      <c r="C838" s="989"/>
      <c r="D838" s="1324"/>
      <c r="E838" s="1324"/>
      <c r="F838" s="1324"/>
      <c r="G838" s="3"/>
      <c r="I838" s="490"/>
    </row>
    <row r="839" spans="1:9" ht="12.75" hidden="1" customHeight="1">
      <c r="A839" s="13"/>
      <c r="B839" s="13"/>
      <c r="C839" s="989"/>
      <c r="D839" s="1324"/>
      <c r="E839" s="1324"/>
      <c r="F839" s="1324"/>
      <c r="G839" s="3"/>
      <c r="I839" s="490"/>
    </row>
    <row r="840" spans="1:9" ht="12.75" hidden="1" customHeight="1">
      <c r="A840" s="13"/>
      <c r="B840" s="13"/>
      <c r="C840" s="989"/>
      <c r="D840" s="1324"/>
      <c r="E840" s="1324"/>
      <c r="F840" s="1324"/>
      <c r="G840" s="3"/>
      <c r="I840" s="490"/>
    </row>
    <row r="841" spans="1:9" ht="12.75" hidden="1" customHeight="1">
      <c r="A841" s="13"/>
      <c r="B841" s="13"/>
      <c r="C841" s="989"/>
      <c r="D841" s="1324"/>
      <c r="E841" s="1324"/>
      <c r="F841" s="1324"/>
      <c r="G841" s="3"/>
      <c r="I841" s="490"/>
    </row>
    <row r="842" spans="1:9" ht="12.75" hidden="1" customHeight="1">
      <c r="A842" s="13"/>
      <c r="B842" s="13"/>
      <c r="C842" s="989"/>
      <c r="D842" s="1324"/>
      <c r="E842" s="1324"/>
      <c r="F842" s="1324"/>
      <c r="G842" s="3"/>
      <c r="I842" s="490"/>
    </row>
    <row r="843" spans="1:9" ht="12.75" hidden="1" customHeight="1">
      <c r="A843" s="13"/>
      <c r="B843" s="13"/>
      <c r="C843" s="989"/>
      <c r="D843" s="1324"/>
      <c r="E843" s="1324"/>
      <c r="F843" s="1324"/>
      <c r="G843" s="3"/>
      <c r="I843" s="490"/>
    </row>
    <row r="844" spans="1:9" ht="12.75" hidden="1" customHeight="1">
      <c r="A844" s="13"/>
      <c r="B844" s="13"/>
      <c r="C844" s="989"/>
      <c r="D844" s="1324"/>
      <c r="E844" s="1324"/>
      <c r="F844" s="1324"/>
      <c r="G844" s="3"/>
      <c r="I844" s="490"/>
    </row>
    <row r="845" spans="1:9" ht="12.75" hidden="1" customHeight="1">
      <c r="A845" s="13"/>
      <c r="B845" s="13"/>
      <c r="C845" s="989"/>
      <c r="D845" s="1324"/>
      <c r="E845" s="1324"/>
      <c r="F845" s="1324"/>
      <c r="G845" s="3"/>
      <c r="I845" s="490"/>
    </row>
    <row r="846" spans="1:9" ht="12.75" hidden="1" customHeight="1">
      <c r="A846" s="13"/>
      <c r="B846" s="13"/>
      <c r="C846" s="989"/>
      <c r="D846" s="1324"/>
      <c r="E846" s="1324"/>
      <c r="F846" s="1324"/>
      <c r="G846" s="3"/>
      <c r="I846" s="490"/>
    </row>
    <row r="847" spans="1:9" ht="12.75" hidden="1" customHeight="1">
      <c r="A847" s="13"/>
      <c r="B847" s="13"/>
      <c r="C847" s="989"/>
      <c r="D847" s="991"/>
      <c r="E847" s="3"/>
      <c r="F847" s="3"/>
      <c r="G847" s="3"/>
      <c r="I847" s="490"/>
    </row>
    <row r="848" spans="1:9" ht="12.75" customHeight="1">
      <c r="A848" s="175"/>
      <c r="B848" s="485" t="s">
        <v>2795</v>
      </c>
      <c r="C848" s="989"/>
      <c r="D848" s="1266" t="s">
        <v>1764</v>
      </c>
      <c r="E848" s="1266"/>
      <c r="F848" s="1266"/>
      <c r="G848" s="3"/>
      <c r="I848" s="490" t="s">
        <v>1880</v>
      </c>
    </row>
    <row r="849" spans="1:9" ht="12.75" customHeight="1">
      <c r="A849" s="175"/>
      <c r="B849" s="175"/>
      <c r="C849" s="989"/>
      <c r="D849" s="1266"/>
      <c r="E849" s="1266"/>
      <c r="F849" s="1266"/>
      <c r="G849" s="3"/>
      <c r="I849" s="490"/>
    </row>
    <row r="850" spans="1:9" ht="12.75" customHeight="1">
      <c r="A850" s="175"/>
      <c r="B850" s="175"/>
      <c r="C850" s="989"/>
      <c r="D850" s="1266"/>
      <c r="E850" s="1266"/>
      <c r="F850" s="1266"/>
      <c r="G850" s="3"/>
      <c r="I850" s="490"/>
    </row>
    <row r="851" spans="1:9" ht="12.75" customHeight="1">
      <c r="A851" s="175"/>
      <c r="B851" s="175"/>
      <c r="C851" s="989"/>
      <c r="D851" s="118"/>
      <c r="E851" s="3"/>
      <c r="F851" s="3"/>
      <c r="G851" s="3"/>
      <c r="I851" s="490"/>
    </row>
    <row r="852" spans="1:9" ht="12.75" customHeight="1">
      <c r="A852" s="992"/>
      <c r="B852" s="485" t="s">
        <v>2795</v>
      </c>
      <c r="C852" s="989"/>
      <c r="D852" s="1319" t="s">
        <v>1765</v>
      </c>
      <c r="E852" s="1319"/>
      <c r="F852" s="1319"/>
      <c r="G852" s="3"/>
      <c r="I852" s="490"/>
    </row>
    <row r="853" spans="1:9" ht="12.75" customHeight="1">
      <c r="A853" s="354"/>
      <c r="B853" s="992"/>
      <c r="C853" s="989"/>
      <c r="D853" s="1319"/>
      <c r="E853" s="1319"/>
      <c r="F853" s="1319"/>
      <c r="G853" s="3"/>
      <c r="I853" s="490"/>
    </row>
    <row r="854" spans="1:9" ht="12.75" customHeight="1">
      <c r="A854" s="175"/>
      <c r="B854" s="354"/>
      <c r="C854" s="989"/>
      <c r="D854" s="1266" t="s">
        <v>2066</v>
      </c>
      <c r="E854" s="1266"/>
      <c r="F854" s="1266"/>
      <c r="G854" s="3"/>
      <c r="I854" s="490"/>
    </row>
    <row r="855" spans="1:9" ht="12.75" customHeight="1">
      <c r="A855" s="175"/>
      <c r="B855" s="175"/>
      <c r="C855" s="989"/>
      <c r="D855" s="1266"/>
      <c r="E855" s="1266"/>
      <c r="F855" s="1266"/>
      <c r="G855" s="3"/>
      <c r="I855" s="490"/>
    </row>
    <row r="856" spans="1:9" ht="12.75" customHeight="1">
      <c r="A856" s="175"/>
      <c r="B856" s="175"/>
      <c r="C856" s="989"/>
      <c r="D856" s="1266"/>
      <c r="E856" s="1266"/>
      <c r="F856" s="1266"/>
      <c r="G856" s="3"/>
      <c r="I856" s="490"/>
    </row>
    <row r="857" spans="1:9" ht="12.75" customHeight="1">
      <c r="A857" s="175"/>
      <c r="B857" s="175"/>
      <c r="C857" s="989"/>
      <c r="D857" s="1266"/>
      <c r="E857" s="1266"/>
      <c r="F857" s="1266"/>
      <c r="G857" s="3"/>
      <c r="I857" s="490"/>
    </row>
    <row r="858" spans="1:9" ht="12.75" customHeight="1">
      <c r="A858" s="175"/>
      <c r="B858" s="175"/>
      <c r="C858" s="989"/>
      <c r="D858" s="1266"/>
      <c r="E858" s="1266"/>
      <c r="F858" s="1266"/>
      <c r="G858" s="3"/>
      <c r="I858" s="490"/>
    </row>
    <row r="859" spans="1:9" ht="12.75" customHeight="1">
      <c r="A859" s="175"/>
      <c r="B859" s="175"/>
      <c r="C859" s="989"/>
      <c r="D859" s="1266"/>
      <c r="E859" s="1266"/>
      <c r="F859" s="1266"/>
      <c r="G859" s="3"/>
      <c r="I859" s="490"/>
    </row>
    <row r="860" spans="1:9" ht="12.75" customHeight="1">
      <c r="A860" s="175"/>
      <c r="B860" s="175"/>
      <c r="C860" s="989"/>
      <c r="D860" s="118"/>
      <c r="E860" s="3"/>
      <c r="F860" s="3"/>
      <c r="G860" s="3"/>
      <c r="I860" s="490"/>
    </row>
    <row r="861" spans="1:9" ht="12.75" customHeight="1">
      <c r="A861" s="175"/>
      <c r="B861" s="485" t="s">
        <v>2795</v>
      </c>
      <c r="C861" s="989"/>
      <c r="D861" s="1266" t="s">
        <v>1766</v>
      </c>
      <c r="E861" s="1266"/>
      <c r="F861" s="1266"/>
      <c r="G861" s="3"/>
      <c r="I861" s="490" t="s">
        <v>1878</v>
      </c>
    </row>
    <row r="862" spans="1:9" ht="12.75" customHeight="1">
      <c r="A862" s="175"/>
      <c r="B862" s="175"/>
      <c r="C862" s="989"/>
      <c r="D862" s="1266" t="s">
        <v>1767</v>
      </c>
      <c r="E862" s="1266"/>
      <c r="F862" s="1266"/>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2795</v>
      </c>
      <c r="C865" s="989"/>
      <c r="D865" s="1266" t="s">
        <v>1768</v>
      </c>
      <c r="E865" s="1266"/>
      <c r="F865" s="1266"/>
      <c r="G865" s="3"/>
      <c r="I865" s="490" t="s">
        <v>1881</v>
      </c>
    </row>
    <row r="866" spans="1:9" ht="12.75" customHeight="1">
      <c r="A866" s="175"/>
      <c r="B866" s="175"/>
      <c r="C866" s="989"/>
      <c r="D866" s="1266"/>
      <c r="E866" s="1266"/>
      <c r="F866" s="1266"/>
      <c r="G866" s="3"/>
      <c r="I866" s="490"/>
    </row>
    <row r="867" spans="1:9" ht="12.75" customHeight="1">
      <c r="A867" s="175"/>
      <c r="B867" s="175"/>
      <c r="C867" s="989"/>
      <c r="D867" s="1266"/>
      <c r="E867" s="1266"/>
      <c r="F867" s="1266"/>
      <c r="G867" s="3"/>
      <c r="I867" s="490"/>
    </row>
    <row r="868" spans="1:9" ht="12.75" customHeight="1">
      <c r="A868" s="175"/>
      <c r="B868" s="175"/>
      <c r="C868" s="989"/>
      <c r="D868" s="1266"/>
      <c r="E868" s="1266"/>
      <c r="F868" s="1266"/>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8" t="s">
        <v>1802</v>
      </c>
      <c r="E872" s="1328"/>
      <c r="F872" s="1328"/>
      <c r="G872" s="988"/>
      <c r="I872" s="490"/>
    </row>
    <row r="873" spans="1:9" ht="12.75" customHeight="1">
      <c r="A873" s="354"/>
      <c r="B873" s="354"/>
      <c r="C873" s="174"/>
      <c r="D873" s="1323" t="s">
        <v>1770</v>
      </c>
      <c r="E873" s="1323"/>
      <c r="F873" s="1323"/>
      <c r="G873" s="988"/>
      <c r="I873" s="490"/>
    </row>
    <row r="874" spans="1:9" ht="12.75" customHeight="1">
      <c r="A874" s="354"/>
      <c r="B874" s="354"/>
      <c r="C874" s="174"/>
      <c r="D874" s="995"/>
      <c r="E874" s="995"/>
      <c r="F874" s="995"/>
      <c r="G874" s="988"/>
      <c r="I874" s="490"/>
    </row>
    <row r="875" spans="1:9" ht="12.75" customHeight="1">
      <c r="A875" s="175"/>
      <c r="B875" s="485" t="s">
        <v>2795</v>
      </c>
      <c r="C875" s="354"/>
      <c r="D875" s="1306" t="s">
        <v>1771</v>
      </c>
      <c r="E875" s="1306"/>
      <c r="F875" s="1306"/>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2795</v>
      </c>
      <c r="C878" s="354"/>
      <c r="D878" s="1266" t="s">
        <v>1772</v>
      </c>
      <c r="E878" s="1316"/>
      <c r="F878" s="1316"/>
      <c r="G878" s="3"/>
      <c r="I878" s="490" t="s">
        <v>1881</v>
      </c>
    </row>
    <row r="879" spans="1:9" ht="12.75" customHeight="1">
      <c r="A879" s="354"/>
      <c r="B879" s="354"/>
      <c r="C879" s="354"/>
      <c r="D879" s="1316"/>
      <c r="E879" s="1316"/>
      <c r="F879" s="1316"/>
      <c r="G879" s="3"/>
      <c r="I879" s="490"/>
    </row>
    <row r="880" spans="1:9" ht="12.75" customHeight="1">
      <c r="A880" s="354"/>
      <c r="B880" s="354"/>
      <c r="C880" s="354"/>
      <c r="D880" s="118"/>
      <c r="E880" s="3"/>
      <c r="F880" s="3"/>
      <c r="G880" s="3"/>
      <c r="I880" s="490"/>
    </row>
    <row r="881" spans="1:9" ht="12.75" customHeight="1">
      <c r="A881" s="354"/>
      <c r="B881" s="485" t="s">
        <v>2795</v>
      </c>
      <c r="C881" s="354"/>
      <c r="D881" s="1317" t="s">
        <v>1773</v>
      </c>
      <c r="E881" s="1317"/>
      <c r="F881" s="1317"/>
      <c r="G881" s="988"/>
      <c r="I881" s="490"/>
    </row>
    <row r="882" spans="1:9" ht="12.75" customHeight="1">
      <c r="A882" s="354"/>
      <c r="B882" s="996"/>
      <c r="C882" s="354"/>
      <c r="D882" s="1317"/>
      <c r="E882" s="1317"/>
      <c r="F882" s="1317"/>
      <c r="G882" s="988"/>
      <c r="I882" s="490"/>
    </row>
    <row r="883" spans="1:9" ht="12.75" customHeight="1">
      <c r="A883" s="175"/>
      <c r="B883"/>
      <c r="C883" s="354"/>
      <c r="D883" s="1266" t="s">
        <v>2066</v>
      </c>
      <c r="E883" s="1266"/>
      <c r="F883" s="1266"/>
      <c r="G883" s="988"/>
      <c r="I883" s="490"/>
    </row>
    <row r="884" spans="1:9" ht="12.75" customHeight="1">
      <c r="A884" s="175"/>
      <c r="B884" s="175"/>
      <c r="C884" s="354"/>
      <c r="D884" s="1266"/>
      <c r="E884" s="1266"/>
      <c r="F884" s="1266"/>
      <c r="G884" s="988"/>
      <c r="I884" s="490"/>
    </row>
    <row r="885" spans="1:9" ht="12.75" customHeight="1">
      <c r="A885" s="175"/>
      <c r="B885" s="175"/>
      <c r="C885" s="354"/>
      <c r="D885" s="1266"/>
      <c r="E885" s="1266"/>
      <c r="F885" s="1266"/>
      <c r="G885" s="988"/>
      <c r="I885" s="490"/>
    </row>
    <row r="886" spans="1:9" ht="12.75" customHeight="1">
      <c r="A886" s="175"/>
      <c r="B886" s="175"/>
      <c r="C886" s="354"/>
      <c r="D886" s="1266"/>
      <c r="E886" s="1266"/>
      <c r="F886" s="1266"/>
      <c r="G886" s="988"/>
      <c r="I886" s="490"/>
    </row>
    <row r="887" spans="1:9" ht="12.75" customHeight="1">
      <c r="A887" s="175"/>
      <c r="B887" s="175"/>
      <c r="C887" s="354"/>
      <c r="D887" s="1266"/>
      <c r="E887" s="1266"/>
      <c r="F887" s="1266"/>
      <c r="G887" s="988"/>
      <c r="I887" s="490"/>
    </row>
    <row r="888" spans="1:9" ht="12.75" customHeight="1">
      <c r="A888" s="175"/>
      <c r="B888" s="175"/>
      <c r="C888" s="354"/>
      <c r="D888" s="1266"/>
      <c r="E888" s="1266"/>
      <c r="F888" s="1266"/>
      <c r="G888" s="988"/>
      <c r="I888" s="490"/>
    </row>
    <row r="889" spans="1:9" ht="12.75" customHeight="1">
      <c r="A889" s="175"/>
      <c r="B889" s="175"/>
      <c r="C889" s="354"/>
      <c r="D889" s="118"/>
      <c r="E889" s="988"/>
      <c r="F889" s="988"/>
      <c r="G889" s="988"/>
      <c r="I889" s="490"/>
    </row>
    <row r="890" spans="1:9" ht="12.75" customHeight="1">
      <c r="A890" s="175"/>
      <c r="B890" s="485" t="s">
        <v>2795</v>
      </c>
      <c r="C890" s="354"/>
      <c r="D890" s="1307" t="s">
        <v>1766</v>
      </c>
      <c r="E890" s="1307"/>
      <c r="F890" s="1307"/>
      <c r="G890" s="988"/>
      <c r="I890" s="490"/>
    </row>
    <row r="891" spans="1:9" ht="12.75" customHeight="1">
      <c r="A891" s="175"/>
      <c r="B891" s="175"/>
      <c r="C891" s="354"/>
      <c r="D891" s="1307" t="s">
        <v>1767</v>
      </c>
      <c r="E891" s="1307"/>
      <c r="F891" s="130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2795</v>
      </c>
      <c r="C894" s="354"/>
      <c r="D894" s="1266" t="s">
        <v>1768</v>
      </c>
      <c r="E894" s="1266"/>
      <c r="F894" s="1266"/>
      <c r="G894" s="988"/>
      <c r="I894" s="490"/>
    </row>
    <row r="895" spans="1:9" ht="12.75" customHeight="1">
      <c r="A895" s="175"/>
      <c r="B895" s="175"/>
      <c r="C895" s="354"/>
      <c r="D895" s="1266"/>
      <c r="E895" s="1266"/>
      <c r="F895" s="1266"/>
      <c r="G895" s="988"/>
      <c r="I895" s="490"/>
    </row>
    <row r="896" spans="1:9" ht="12.75" customHeight="1">
      <c r="A896" s="175"/>
      <c r="B896" s="175"/>
      <c r="C896" s="354"/>
      <c r="D896" s="1266"/>
      <c r="E896" s="1266"/>
      <c r="F896" s="1266"/>
      <c r="G896" s="988"/>
      <c r="I896" s="490"/>
    </row>
    <row r="897" spans="1:9" ht="12.75" customHeight="1">
      <c r="A897" s="175"/>
      <c r="B897" s="175"/>
      <c r="C897" s="354"/>
      <c r="D897" s="1266"/>
      <c r="E897" s="1266"/>
      <c r="F897" s="1266"/>
      <c r="G897" s="988"/>
      <c r="I897" s="490"/>
    </row>
    <row r="898" spans="1:9" ht="12.75" customHeight="1">
      <c r="A898" s="118"/>
      <c r="B898" s="118"/>
      <c r="C898" s="989"/>
      <c r="D898" s="988"/>
      <c r="E898" s="988"/>
      <c r="F898" s="988"/>
      <c r="G898" s="988"/>
      <c r="I898" s="490"/>
    </row>
    <row r="899" spans="1:9" ht="12.75" customHeight="1">
      <c r="A899" s="1315" t="s">
        <v>1803</v>
      </c>
      <c r="B899" s="1315"/>
      <c r="C899" s="1315"/>
      <c r="D899" s="1315"/>
      <c r="E899" s="1315"/>
      <c r="F899" s="1315"/>
      <c r="G899" s="1315"/>
      <c r="H899" s="1028"/>
      <c r="I899" s="1153"/>
    </row>
    <row r="900" spans="1:9" ht="12.75" customHeight="1">
      <c r="A900" s="57"/>
      <c r="B900" s="57"/>
      <c r="C900" s="57"/>
      <c r="D900" s="57"/>
      <c r="E900" s="57"/>
      <c r="F900" s="57"/>
      <c r="G900" s="57"/>
      <c r="I900" s="490"/>
    </row>
    <row r="901" spans="1:9" ht="12.75" customHeight="1">
      <c r="A901" s="57"/>
      <c r="B901" s="57"/>
      <c r="C901" s="57"/>
      <c r="D901" s="1331" t="s">
        <v>1809</v>
      </c>
      <c r="E901" s="1331"/>
      <c r="F901" s="1331"/>
      <c r="G901" s="57"/>
      <c r="I901" s="490"/>
    </row>
    <row r="902" spans="1:9" ht="12.75" customHeight="1">
      <c r="A902" s="57"/>
      <c r="B902" s="57"/>
      <c r="C902" s="57"/>
      <c r="D902" s="981"/>
      <c r="E902" s="981"/>
      <c r="F902" s="981"/>
      <c r="G902" s="57"/>
      <c r="I902" s="490"/>
    </row>
    <row r="903" spans="1:9" ht="12.75" customHeight="1">
      <c r="A903" s="57"/>
      <c r="B903" s="485" t="s">
        <v>2796</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31" t="s">
        <v>1804</v>
      </c>
      <c r="E905" s="1331"/>
      <c r="F905" s="1331"/>
      <c r="G905" s="988"/>
      <c r="I905" s="490"/>
    </row>
    <row r="906" spans="1:9" ht="12.75" customHeight="1">
      <c r="A906" s="172"/>
      <c r="B906" s="172"/>
      <c r="C906" s="172"/>
      <c r="D906" s="1306" t="s">
        <v>1774</v>
      </c>
      <c r="E906" s="1306"/>
      <c r="F906" s="1306"/>
      <c r="G906" s="988"/>
      <c r="I906" s="490"/>
    </row>
    <row r="907" spans="1:9" ht="12.75" customHeight="1">
      <c r="A907" s="989"/>
      <c r="B907" s="989"/>
      <c r="C907" s="989"/>
      <c r="D907" s="2"/>
      <c r="E907" s="988"/>
      <c r="F907" s="988"/>
      <c r="G907" s="988"/>
      <c r="I907" s="490"/>
    </row>
    <row r="908" spans="1:9" ht="12.75" customHeight="1">
      <c r="A908" s="175"/>
      <c r="B908" s="485" t="s">
        <v>2795</v>
      </c>
      <c r="C908" s="354"/>
      <c r="D908" s="1266" t="s">
        <v>1778</v>
      </c>
      <c r="E908" s="1266"/>
      <c r="F908" s="1266"/>
      <c r="G908" s="3"/>
      <c r="I908" s="490"/>
    </row>
    <row r="909" spans="1:9" ht="12.75" customHeight="1">
      <c r="A909" s="354"/>
      <c r="B909" s="354"/>
      <c r="C909" s="354"/>
      <c r="D909" s="1266"/>
      <c r="E909" s="1266"/>
      <c r="F909" s="1266"/>
      <c r="G909" s="3"/>
      <c r="I909" s="490"/>
    </row>
    <row r="910" spans="1:9" ht="12.75" customHeight="1">
      <c r="A910" s="172"/>
      <c r="B910" s="172"/>
      <c r="C910" s="172"/>
      <c r="D910" s="1266" t="s">
        <v>1777</v>
      </c>
      <c r="E910" s="1266"/>
      <c r="F910" s="1266"/>
      <c r="G910" s="988"/>
      <c r="I910" s="490"/>
    </row>
    <row r="911" spans="1:9" ht="12.75" customHeight="1">
      <c r="A911" s="172"/>
      <c r="B911" s="172"/>
      <c r="C911" s="172"/>
      <c r="D911" s="1266"/>
      <c r="E911" s="1266"/>
      <c r="F911" s="1266"/>
      <c r="G911" s="988"/>
      <c r="I911" s="490"/>
    </row>
    <row r="912" spans="1:9" ht="12.75" customHeight="1">
      <c r="A912" s="172"/>
      <c r="B912" s="172"/>
      <c r="C912" s="172"/>
      <c r="D912" s="3"/>
      <c r="E912" s="3"/>
      <c r="F912" s="988"/>
      <c r="G912" s="988"/>
      <c r="I912" s="490"/>
    </row>
    <row r="913" spans="1:9" ht="12.75" customHeight="1">
      <c r="A913" s="175"/>
      <c r="B913" s="485" t="s">
        <v>2795</v>
      </c>
      <c r="C913" s="174"/>
      <c r="D913" s="1270" t="s">
        <v>1775</v>
      </c>
      <c r="E913" s="1270"/>
      <c r="F913" s="1270"/>
      <c r="G913" s="988"/>
      <c r="I913" s="490"/>
    </row>
    <row r="914" spans="1:9" ht="12.75" customHeight="1">
      <c r="A914" s="175"/>
      <c r="B914" s="175"/>
      <c r="C914" s="174"/>
      <c r="D914" s="1270"/>
      <c r="E914" s="1270"/>
      <c r="F914" s="1270"/>
      <c r="G914" s="988"/>
      <c r="I914" s="490"/>
    </row>
    <row r="915" spans="1:9" ht="12.75" customHeight="1">
      <c r="A915" s="175"/>
      <c r="B915" s="175"/>
      <c r="C915" s="174"/>
      <c r="D915" s="1270"/>
      <c r="E915" s="1270"/>
      <c r="F915" s="1270"/>
      <c r="G915" s="988"/>
      <c r="I915" s="490"/>
    </row>
    <row r="916" spans="1:9" ht="12.75" customHeight="1">
      <c r="A916" s="175"/>
      <c r="B916" s="175"/>
      <c r="C916" s="174"/>
      <c r="D916" s="1270"/>
      <c r="E916" s="1270"/>
      <c r="F916" s="1270"/>
      <c r="G916" s="988"/>
      <c r="I916" s="490"/>
    </row>
    <row r="917" spans="1:9" ht="12.75" customHeight="1">
      <c r="A917" s="175"/>
      <c r="B917" s="175"/>
      <c r="C917" s="174"/>
      <c r="D917" s="1270"/>
      <c r="E917" s="1270"/>
      <c r="F917" s="1270"/>
      <c r="G917" s="988"/>
      <c r="I917" s="490"/>
    </row>
    <row r="918" spans="1:9" ht="12.75" customHeight="1">
      <c r="A918" s="174"/>
      <c r="B918" s="174"/>
      <c r="C918" s="174"/>
      <c r="D918" s="1270"/>
      <c r="E918" s="1270"/>
      <c r="F918" s="1270"/>
      <c r="G918" s="988"/>
      <c r="I918" s="490"/>
    </row>
    <row r="919" spans="1:9" ht="12.75" customHeight="1">
      <c r="A919" s="174"/>
      <c r="B919" s="174"/>
      <c r="C919" s="174"/>
      <c r="D919" s="1270"/>
      <c r="E919" s="1270"/>
      <c r="F919" s="1270"/>
      <c r="G919" s="988"/>
      <c r="I919" s="490"/>
    </row>
    <row r="920" spans="1:9" ht="12.75" customHeight="1">
      <c r="A920" s="174"/>
      <c r="B920" s="174"/>
      <c r="C920" s="174"/>
      <c r="D920" s="1270"/>
      <c r="E920" s="1270"/>
      <c r="F920" s="1270"/>
      <c r="G920" s="988"/>
      <c r="I920" s="490"/>
    </row>
    <row r="921" spans="1:9" ht="12.75" customHeight="1">
      <c r="A921" s="174"/>
      <c r="B921" s="174"/>
      <c r="C921" s="174"/>
      <c r="D921" s="335"/>
      <c r="E921" s="335"/>
      <c r="F921" s="335"/>
      <c r="G921" s="988"/>
      <c r="I921" s="490"/>
    </row>
    <row r="922" spans="1:9" ht="12.75" customHeight="1">
      <c r="A922" s="989"/>
      <c r="B922" s="485" t="s">
        <v>2796</v>
      </c>
      <c r="C922" s="989"/>
      <c r="D922" s="1266" t="s">
        <v>1779</v>
      </c>
      <c r="E922" s="1266"/>
      <c r="F922" s="1266"/>
      <c r="G922" s="988"/>
      <c r="I922" s="490"/>
    </row>
    <row r="923" spans="1:9" ht="12.75" customHeight="1">
      <c r="A923" s="989"/>
      <c r="B923" s="989"/>
      <c r="C923" s="989"/>
      <c r="D923" s="1266"/>
      <c r="E923" s="1266"/>
      <c r="F923" s="1266"/>
      <c r="G923" s="988"/>
      <c r="I923" s="490"/>
    </row>
    <row r="924" spans="1:9" ht="12.75" customHeight="1">
      <c r="A924" s="989"/>
      <c r="B924" s="989"/>
      <c r="C924" s="989"/>
      <c r="D924" s="988"/>
      <c r="E924" s="988"/>
      <c r="F924" s="988"/>
      <c r="G924" s="988"/>
      <c r="I924" s="490"/>
    </row>
    <row r="925" spans="1:9" ht="12.75" customHeight="1">
      <c r="A925" s="989"/>
      <c r="B925" s="485" t="s">
        <v>2796</v>
      </c>
      <c r="C925" s="989"/>
      <c r="D925" s="1294" t="s">
        <v>1780</v>
      </c>
      <c r="E925" s="1294"/>
      <c r="F925" s="1294"/>
      <c r="G925" s="988"/>
      <c r="I925" s="490"/>
    </row>
    <row r="926" spans="1:9" ht="12.75" customHeight="1">
      <c r="A926" s="989"/>
      <c r="B926" s="989"/>
      <c r="C926" s="989"/>
      <c r="D926" s="1294"/>
      <c r="E926" s="1294"/>
      <c r="F926" s="1294"/>
      <c r="G926" s="988"/>
      <c r="I926" s="490"/>
    </row>
    <row r="927" spans="1:9" ht="12.75" customHeight="1">
      <c r="A927" s="989"/>
      <c r="B927" s="989"/>
      <c r="C927" s="989"/>
      <c r="D927" s="1294"/>
      <c r="E927" s="1294"/>
      <c r="F927" s="1294"/>
      <c r="G927" s="988"/>
      <c r="I927" s="490"/>
    </row>
    <row r="928" spans="1:9" ht="12.75" customHeight="1">
      <c r="A928" s="989"/>
      <c r="B928" s="989"/>
      <c r="C928" s="989"/>
      <c r="D928" s="1294"/>
      <c r="E928" s="1294"/>
      <c r="F928" s="1294"/>
      <c r="G928" s="988"/>
      <c r="I928" s="490"/>
    </row>
    <row r="929" spans="1:9" ht="12.75" customHeight="1">
      <c r="A929" s="989"/>
      <c r="B929" s="989"/>
      <c r="C929" s="989"/>
      <c r="D929" s="118"/>
      <c r="E929" s="988"/>
      <c r="F929" s="988"/>
      <c r="G929" s="988"/>
      <c r="I929" s="490"/>
    </row>
    <row r="930" spans="1:9" ht="12.75" customHeight="1">
      <c r="A930" s="989"/>
      <c r="B930" s="485" t="s">
        <v>2796</v>
      </c>
      <c r="C930" s="989"/>
      <c r="D930" s="1306" t="s">
        <v>2067</v>
      </c>
      <c r="E930" s="1306"/>
      <c r="F930" s="1306"/>
      <c r="G930" s="988"/>
      <c r="I930" s="490"/>
    </row>
    <row r="931" spans="1:9" ht="12.75" customHeight="1">
      <c r="A931" s="989"/>
      <c r="B931" s="989"/>
      <c r="C931" s="989"/>
      <c r="D931" s="118"/>
      <c r="E931" s="988"/>
      <c r="F931" s="988"/>
      <c r="G931" s="988"/>
      <c r="I931" s="490"/>
    </row>
    <row r="932" spans="1:9" ht="12.75" customHeight="1">
      <c r="A932" s="989"/>
      <c r="B932" s="485" t="s">
        <v>2796</v>
      </c>
      <c r="C932" s="989"/>
      <c r="D932" s="1306" t="s">
        <v>2068</v>
      </c>
      <c r="E932" s="1306"/>
      <c r="F932" s="1306"/>
      <c r="G932" s="988"/>
      <c r="I932" s="490"/>
    </row>
    <row r="933" spans="1:9" ht="12.75" customHeight="1">
      <c r="A933" s="174"/>
      <c r="B933" s="174"/>
      <c r="C933" s="174"/>
      <c r="D933" s="2"/>
      <c r="E933" s="3"/>
      <c r="F933" s="988"/>
      <c r="G933" s="988"/>
      <c r="I933" s="490"/>
    </row>
    <row r="934" spans="1:9" ht="12.75" customHeight="1">
      <c r="A934" s="997"/>
      <c r="B934" s="485" t="s">
        <v>2796</v>
      </c>
      <c r="C934" s="998"/>
      <c r="D934" s="1270" t="s">
        <v>1776</v>
      </c>
      <c r="E934" s="1270"/>
      <c r="F934" s="1270"/>
      <c r="G934" s="999"/>
      <c r="I934" s="490"/>
    </row>
    <row r="935" spans="1:9" ht="12.75" customHeight="1">
      <c r="A935" s="997"/>
      <c r="B935" s="997"/>
      <c r="C935" s="998"/>
      <c r="D935" s="1270"/>
      <c r="E935" s="1270"/>
      <c r="F935" s="1270"/>
      <c r="G935" s="999"/>
      <c r="I935" s="490"/>
    </row>
    <row r="936" spans="1:9" ht="12.75" customHeight="1">
      <c r="A936" s="997"/>
      <c r="B936" s="997"/>
      <c r="C936" s="998"/>
      <c r="D936" s="1270"/>
      <c r="E936" s="1270"/>
      <c r="F936" s="1270"/>
      <c r="G936" s="999"/>
      <c r="I936" s="490"/>
    </row>
    <row r="937" spans="1:9" ht="12.75" customHeight="1">
      <c r="A937" s="997"/>
      <c r="B937" s="997"/>
      <c r="C937" s="998"/>
      <c r="D937" s="1270"/>
      <c r="E937" s="1270"/>
      <c r="F937" s="1270"/>
      <c r="G937" s="999"/>
      <c r="I937" s="490"/>
    </row>
    <row r="938" spans="1:9" ht="12.75" customHeight="1">
      <c r="A938" s="997"/>
      <c r="B938" s="997"/>
      <c r="C938" s="998"/>
      <c r="D938" s="1270"/>
      <c r="E938" s="1270"/>
      <c r="F938" s="1270"/>
      <c r="G938" s="999"/>
      <c r="I938" s="490"/>
    </row>
    <row r="939" spans="1:9" ht="12.75" customHeight="1">
      <c r="A939" s="997"/>
      <c r="B939" s="997"/>
      <c r="C939" s="998"/>
      <c r="D939" s="1270"/>
      <c r="E939" s="1270"/>
      <c r="F939" s="1270"/>
      <c r="G939" s="999"/>
      <c r="I939" s="490"/>
    </row>
    <row r="940" spans="1:9" ht="12.75" customHeight="1">
      <c r="A940" s="997"/>
      <c r="B940" s="997"/>
      <c r="C940" s="998"/>
      <c r="D940" s="1270"/>
      <c r="E940" s="1270"/>
      <c r="F940" s="1270"/>
      <c r="G940" s="999"/>
      <c r="I940" s="490"/>
    </row>
    <row r="941" spans="1:9" ht="12.75" customHeight="1">
      <c r="A941" s="997"/>
      <c r="B941" s="997"/>
      <c r="C941" s="998"/>
      <c r="D941" s="1270"/>
      <c r="E941" s="1270"/>
      <c r="F941" s="1270"/>
      <c r="G941" s="999"/>
      <c r="I941" s="490"/>
    </row>
    <row r="942" spans="1:9" ht="12.75" customHeight="1">
      <c r="A942" s="997"/>
      <c r="B942" s="997"/>
      <c r="C942" s="998"/>
      <c r="D942" s="1270"/>
      <c r="E942" s="1270"/>
      <c r="F942" s="1270"/>
      <c r="G942" s="999"/>
      <c r="I942" s="490"/>
    </row>
    <row r="943" spans="1:9" ht="12.75" customHeight="1">
      <c r="A943" s="174"/>
      <c r="B943" s="174"/>
      <c r="C943" s="174"/>
      <c r="D943" s="2"/>
      <c r="E943" s="3"/>
      <c r="F943" s="988"/>
      <c r="G943" s="988"/>
      <c r="I943" s="490"/>
    </row>
    <row r="944" spans="1:9" ht="12.75" customHeight="1">
      <c r="A944" s="175"/>
      <c r="B944" s="485" t="s">
        <v>2795</v>
      </c>
      <c r="C944" s="174"/>
      <c r="D944" s="1325" t="s">
        <v>1884</v>
      </c>
      <c r="E944" s="1325"/>
      <c r="F944" s="1325"/>
      <c r="G944" s="988"/>
      <c r="I944" s="490"/>
    </row>
    <row r="945" spans="1:9" ht="12.75" customHeight="1">
      <c r="A945" s="175"/>
      <c r="B945" s="175"/>
      <c r="C945" s="174"/>
      <c r="D945" s="1325"/>
      <c r="E945" s="1325"/>
      <c r="F945" s="1325"/>
      <c r="G945" s="988"/>
      <c r="I945" s="490"/>
    </row>
    <row r="946" spans="1:9" ht="12.75" customHeight="1">
      <c r="A946" s="175"/>
      <c r="B946" s="175"/>
      <c r="C946" s="174"/>
      <c r="D946" s="1325"/>
      <c r="E946" s="1325"/>
      <c r="F946" s="1325"/>
      <c r="G946" s="988"/>
      <c r="I946" s="490"/>
    </row>
    <row r="947" spans="1:9" ht="12.75" customHeight="1">
      <c r="A947" s="175"/>
      <c r="B947" s="175"/>
      <c r="C947" s="174"/>
      <c r="D947" s="1325"/>
      <c r="E947" s="1325"/>
      <c r="F947" s="1325"/>
      <c r="G947" s="988"/>
      <c r="I947" s="490"/>
    </row>
    <row r="948" spans="1:9" ht="12.75" customHeight="1">
      <c r="A948" s="175"/>
      <c r="B948" s="175"/>
      <c r="C948" s="174"/>
      <c r="D948" s="1325"/>
      <c r="E948" s="1325"/>
      <c r="F948" s="1325"/>
      <c r="G948" s="988"/>
      <c r="I948" s="490"/>
    </row>
    <row r="949" spans="1:9" ht="12.75" customHeight="1">
      <c r="A949" s="175"/>
      <c r="B949" s="175"/>
      <c r="C949" s="174"/>
      <c r="D949" s="1325"/>
      <c r="E949" s="1325"/>
      <c r="F949" s="1325"/>
      <c r="G949" s="988"/>
      <c r="I949" s="490"/>
    </row>
    <row r="950" spans="1:9" ht="12.75" customHeight="1">
      <c r="A950" s="175"/>
      <c r="B950" s="175"/>
      <c r="C950" s="174"/>
      <c r="D950" s="1325"/>
      <c r="E950" s="1325"/>
      <c r="F950" s="1325"/>
      <c r="G950" s="988"/>
      <c r="I950" s="490"/>
    </row>
    <row r="951" spans="1:9" ht="12.75" customHeight="1">
      <c r="A951" s="175"/>
      <c r="B951" s="175"/>
      <c r="C951" s="174"/>
      <c r="D951" s="1026"/>
      <c r="E951" s="1026"/>
      <c r="F951" s="1026"/>
      <c r="G951" s="988"/>
      <c r="I951" s="490"/>
    </row>
    <row r="952" spans="1:9" ht="12.75" customHeight="1">
      <c r="A952" s="175"/>
      <c r="B952" s="485" t="s">
        <v>2796</v>
      </c>
      <c r="C952" s="174"/>
      <c r="D952" s="1269" t="s">
        <v>2135</v>
      </c>
      <c r="E952" s="1269"/>
      <c r="F952" s="1269"/>
      <c r="G952" s="988"/>
      <c r="I952" s="490"/>
    </row>
    <row r="953" spans="1:9" ht="12.75" customHeight="1">
      <c r="A953" s="175"/>
      <c r="B953" s="175"/>
      <c r="C953" s="174"/>
      <c r="D953" s="1269"/>
      <c r="E953" s="1269"/>
      <c r="F953" s="1269"/>
      <c r="G953" s="988"/>
      <c r="I953" s="490"/>
    </row>
    <row r="954" spans="1:9" ht="12.75" customHeight="1">
      <c r="A954" s="175"/>
      <c r="B954" s="175"/>
      <c r="C954" s="174"/>
      <c r="D954" s="1269"/>
      <c r="E954" s="1269"/>
      <c r="F954" s="1269"/>
      <c r="G954" s="988"/>
      <c r="I954" s="490"/>
    </row>
    <row r="955" spans="1:9" ht="12.75" customHeight="1">
      <c r="A955" s="175"/>
      <c r="B955" s="175"/>
      <c r="C955" s="174"/>
      <c r="D955" s="1269"/>
      <c r="E955" s="1269"/>
      <c r="F955" s="1269"/>
      <c r="G955" s="988"/>
      <c r="I955" s="490"/>
    </row>
    <row r="956" spans="1:9" ht="12.75" customHeight="1">
      <c r="A956" s="175"/>
      <c r="B956" s="175"/>
      <c r="C956" s="174"/>
      <c r="D956" s="1269"/>
      <c r="E956" s="1269"/>
      <c r="F956" s="1269"/>
      <c r="G956" s="988"/>
      <c r="I956" s="490"/>
    </row>
    <row r="957" spans="1:9" ht="12.75" customHeight="1">
      <c r="A957" s="175"/>
      <c r="B957" s="175"/>
      <c r="C957" s="174"/>
      <c r="D957" s="1269"/>
      <c r="E957" s="1269"/>
      <c r="F957" s="1269"/>
      <c r="G957" s="988"/>
      <c r="I957" s="490"/>
    </row>
    <row r="958" spans="1:9" ht="12.75" customHeight="1">
      <c r="A958" s="175"/>
      <c r="B958" s="175"/>
      <c r="C958" s="174"/>
      <c r="D958" s="1026"/>
      <c r="E958" s="1026"/>
      <c r="F958" s="1026"/>
      <c r="G958" s="988"/>
      <c r="I958" s="490"/>
    </row>
    <row r="959" spans="1:9" ht="12.75" customHeight="1">
      <c r="A959" s="989"/>
      <c r="B959" s="485" t="s">
        <v>2796</v>
      </c>
      <c r="C959" s="989"/>
      <c r="D959" s="1294" t="s">
        <v>1781</v>
      </c>
      <c r="E959" s="1294"/>
      <c r="F959" s="1294"/>
      <c r="G959" s="988"/>
      <c r="I959" s="490"/>
    </row>
    <row r="960" spans="1:9" ht="12.75" customHeight="1">
      <c r="A960" s="989"/>
      <c r="B960" s="989"/>
      <c r="C960" s="989"/>
      <c r="D960" s="1294"/>
      <c r="E960" s="1294"/>
      <c r="F960" s="1294"/>
      <c r="G960" s="988"/>
      <c r="I960" s="490"/>
    </row>
    <row r="961" spans="1:9" ht="12.75" customHeight="1">
      <c r="A961" s="989"/>
      <c r="B961" s="989"/>
      <c r="C961" s="989"/>
      <c r="D961" s="1294"/>
      <c r="E961" s="1294"/>
      <c r="F961" s="1294"/>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2796</v>
      </c>
      <c r="C964" s="174"/>
      <c r="D964" s="1270" t="s">
        <v>1883</v>
      </c>
      <c r="E964" s="1270"/>
      <c r="F964" s="1270"/>
      <c r="G964" s="988"/>
      <c r="I964" s="490"/>
    </row>
    <row r="965" spans="1:9" ht="12.75" customHeight="1">
      <c r="A965" s="175"/>
      <c r="B965" s="175"/>
      <c r="C965" s="174"/>
      <c r="D965" s="1270"/>
      <c r="E965" s="1270"/>
      <c r="F965" s="1270"/>
      <c r="G965" s="988"/>
      <c r="I965" s="490"/>
    </row>
    <row r="966" spans="1:9" ht="12.75" customHeight="1">
      <c r="A966" s="175"/>
      <c r="B966" s="175"/>
      <c r="C966" s="174"/>
      <c r="D966" s="1270"/>
      <c r="E966" s="1270"/>
      <c r="F966" s="1270"/>
      <c r="G966" s="988"/>
      <c r="I966" s="490"/>
    </row>
    <row r="967" spans="1:9" ht="12.75" customHeight="1">
      <c r="A967" s="175"/>
      <c r="B967" s="175"/>
      <c r="C967" s="174"/>
      <c r="D967" s="1270"/>
      <c r="E967" s="1270"/>
      <c r="F967" s="1270"/>
      <c r="G967" s="988"/>
      <c r="I967" s="490"/>
    </row>
    <row r="968" spans="1:9" ht="12.75" customHeight="1">
      <c r="A968" s="989"/>
      <c r="B968" s="989"/>
      <c r="C968" s="989"/>
      <c r="D968" s="980"/>
      <c r="E968" s="980"/>
      <c r="F968" s="980"/>
      <c r="G968" s="980"/>
      <c r="I968" s="490"/>
    </row>
    <row r="969" spans="1:9" ht="12.75" customHeight="1">
      <c r="A969" s="354"/>
      <c r="B969" s="354"/>
      <c r="C969" s="354"/>
      <c r="D969" s="1328" t="s">
        <v>1782</v>
      </c>
      <c r="E969" s="1328"/>
      <c r="F969" s="1328"/>
      <c r="G969" s="3"/>
      <c r="I969" s="490"/>
    </row>
    <row r="970" spans="1:9" ht="12.75" customHeight="1">
      <c r="A970" s="175"/>
      <c r="B970" s="485" t="s">
        <v>2796</v>
      </c>
      <c r="C970" s="354"/>
      <c r="D970" s="1306" t="s">
        <v>1805</v>
      </c>
      <c r="E970" s="1306"/>
      <c r="F970" s="1306"/>
      <c r="G970" s="3"/>
      <c r="I970" s="490"/>
    </row>
    <row r="971" spans="1:9" ht="12.75" customHeight="1">
      <c r="A971" s="354"/>
      <c r="B971" s="354"/>
      <c r="C971" s="354"/>
      <c r="D971" s="3"/>
      <c r="E971" s="3"/>
      <c r="F971" s="3"/>
      <c r="G971" s="3"/>
      <c r="I971" s="490"/>
    </row>
    <row r="972" spans="1:9" ht="12.75" customHeight="1">
      <c r="A972" s="354"/>
      <c r="B972" s="354"/>
      <c r="C972" s="354"/>
      <c r="D972" s="1328" t="s">
        <v>1783</v>
      </c>
      <c r="E972" s="1328"/>
      <c r="F972" s="1328"/>
      <c r="G972"/>
      <c r="I972" s="490"/>
    </row>
    <row r="973" spans="1:9" ht="12.75" customHeight="1">
      <c r="A973" s="175"/>
      <c r="B973" s="485" t="s">
        <v>2796</v>
      </c>
      <c r="C973" s="354"/>
      <c r="D973" s="1266" t="s">
        <v>2069</v>
      </c>
      <c r="E973" s="1266"/>
      <c r="F973" s="1266"/>
      <c r="G973"/>
      <c r="I973" s="490"/>
    </row>
    <row r="974" spans="1:9" ht="12.75" customHeight="1">
      <c r="A974" s="175"/>
      <c r="B974" s="175"/>
      <c r="C974" s="354"/>
      <c r="D974" s="1266"/>
      <c r="E974" s="1266"/>
      <c r="F974" s="1266"/>
      <c r="G974"/>
      <c r="I974" s="490"/>
    </row>
    <row r="975" spans="1:9" ht="12.75" customHeight="1">
      <c r="A975" s="175"/>
      <c r="B975" s="175"/>
      <c r="C975" s="354"/>
      <c r="D975" s="1266"/>
      <c r="E975" s="1266"/>
      <c r="F975" s="1266"/>
      <c r="G975"/>
      <c r="I975" s="490"/>
    </row>
    <row r="976" spans="1:9" ht="12.75" customHeight="1">
      <c r="A976" s="175"/>
      <c r="B976" s="175"/>
      <c r="C976" s="354"/>
      <c r="D976" s="1266"/>
      <c r="E976" s="1266"/>
      <c r="F976" s="1266"/>
      <c r="G976"/>
      <c r="I976" s="490"/>
    </row>
    <row r="977" spans="1:9" ht="12.75" customHeight="1">
      <c r="A977" s="175"/>
      <c r="B977" s="175"/>
      <c r="C977" s="354"/>
      <c r="D977" s="1266"/>
      <c r="E977" s="1266"/>
      <c r="F977" s="1266"/>
      <c r="G977"/>
      <c r="I977" s="490"/>
    </row>
    <row r="978" spans="1:9" ht="12.75" customHeight="1">
      <c r="A978" s="175"/>
      <c r="B978" s="175"/>
      <c r="C978" s="354"/>
      <c r="D978" s="1266"/>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s="3"/>
      <c r="I987" s="490"/>
    </row>
    <row r="988" spans="1:9" ht="12.75" customHeight="1">
      <c r="A988" s="354"/>
      <c r="B988" s="354"/>
      <c r="C988" s="354"/>
      <c r="D988" s="3"/>
      <c r="E988" s="3"/>
      <c r="F988" s="3"/>
      <c r="G988" s="3"/>
      <c r="I988" s="490"/>
    </row>
    <row r="989" spans="1:9" ht="12.75" customHeight="1">
      <c r="A989" s="1315" t="s">
        <v>1784</v>
      </c>
      <c r="B989" s="1315"/>
      <c r="C989" s="1315"/>
      <c r="D989" s="1315"/>
      <c r="E989" s="1315"/>
      <c r="F989" s="1315"/>
      <c r="G989" s="1315"/>
      <c r="H989" s="1028"/>
      <c r="I989" s="1153"/>
    </row>
    <row r="990" spans="1:9" ht="12.75" customHeight="1">
      <c r="A990" s="118"/>
      <c r="B990" s="118"/>
      <c r="C990" s="354"/>
      <c r="D990" s="3"/>
      <c r="E990" s="3"/>
      <c r="F990" s="3"/>
      <c r="G990" s="3"/>
      <c r="I990" s="490"/>
    </row>
    <row r="991" spans="1:9" ht="12.75" customHeight="1">
      <c r="A991" s="354"/>
      <c r="B991" s="354"/>
      <c r="C991" s="989"/>
      <c r="D991" s="1328" t="s">
        <v>1806</v>
      </c>
      <c r="E991" s="1328"/>
      <c r="F991" s="1328"/>
      <c r="G991" s="3"/>
      <c r="I991" s="490"/>
    </row>
    <row r="992" spans="1:9" ht="12.75" customHeight="1">
      <c r="A992" s="172"/>
      <c r="B992" s="172"/>
      <c r="C992" s="172"/>
      <c r="D992" s="1306" t="s">
        <v>1785</v>
      </c>
      <c r="E992" s="1306"/>
      <c r="F992" s="1306"/>
      <c r="G992" s="3"/>
      <c r="I992" s="490"/>
    </row>
    <row r="993" spans="1:9" ht="12.75" customHeight="1">
      <c r="A993" s="172"/>
      <c r="B993" s="172"/>
      <c r="C993" s="172"/>
      <c r="D993" s="3"/>
      <c r="E993" s="3"/>
      <c r="F993" s="988"/>
      <c r="G993"/>
      <c r="I993" s="490"/>
    </row>
    <row r="994" spans="1:9" ht="12.75" customHeight="1">
      <c r="A994" s="354"/>
      <c r="B994" s="485" t="s">
        <v>2795</v>
      </c>
      <c r="C994" s="354"/>
      <c r="D994" s="1330" t="s">
        <v>1913</v>
      </c>
      <c r="E994" s="1330"/>
      <c r="F994" s="1330"/>
      <c r="G994"/>
      <c r="I994" s="490"/>
    </row>
    <row r="995" spans="1:9" ht="12.75" customHeight="1">
      <c r="A995" s="354"/>
      <c r="B995" s="354"/>
      <c r="C995" s="354"/>
      <c r="D995" s="1330"/>
      <c r="E995" s="1330"/>
      <c r="F995" s="1330"/>
      <c r="G995"/>
      <c r="I995" s="490"/>
    </row>
    <row r="996" spans="1:9" ht="12.75" customHeight="1">
      <c r="A996" s="354"/>
      <c r="B996" s="354"/>
      <c r="C996" s="354"/>
      <c r="D996" s="1038"/>
      <c r="E996" s="1036" t="s">
        <v>1914</v>
      </c>
      <c r="F996" s="1038"/>
      <c r="G996"/>
      <c r="I996" s="490"/>
    </row>
    <row r="997" spans="1:9" ht="12.75" customHeight="1">
      <c r="A997" s="354"/>
      <c r="B997" s="354"/>
      <c r="C997" s="354"/>
      <c r="D997" s="1272" t="s">
        <v>1912</v>
      </c>
      <c r="E997" s="1272"/>
      <c r="F997" s="1272"/>
      <c r="G997"/>
      <c r="I997" s="490"/>
    </row>
    <row r="998" spans="1:9" ht="12.75" customHeight="1">
      <c r="A998" s="354"/>
      <c r="B998" s="354"/>
      <c r="C998" s="354"/>
      <c r="D998" s="1272"/>
      <c r="E998" s="1272"/>
      <c r="F998" s="1272"/>
      <c r="G998"/>
      <c r="I998" s="490"/>
    </row>
    <row r="999" spans="1:9" ht="12.75" customHeight="1">
      <c r="A999" s="174"/>
      <c r="B999" s="174"/>
      <c r="C999" s="174"/>
      <c r="D999" s="1272"/>
      <c r="E999" s="1272"/>
      <c r="F999" s="1272"/>
      <c r="G999"/>
      <c r="I999" s="490"/>
    </row>
    <row r="1000" spans="1:9" ht="12.75" customHeight="1">
      <c r="A1000" s="174"/>
      <c r="B1000" s="174"/>
      <c r="C1000" s="174"/>
      <c r="D1000" s="1272"/>
      <c r="E1000" s="1272"/>
      <c r="F1000" s="1272"/>
      <c r="G1000"/>
      <c r="I1000" s="490"/>
    </row>
    <row r="1001" spans="1:9" ht="12.75" customHeight="1">
      <c r="A1001" s="174"/>
      <c r="B1001" s="174"/>
      <c r="C1001" s="174"/>
      <c r="D1001" s="335"/>
      <c r="E1001" s="335"/>
      <c r="F1001" s="335"/>
      <c r="G1001"/>
      <c r="I1001" s="490"/>
    </row>
    <row r="1002" spans="1:9" ht="12.75" customHeight="1">
      <c r="A1002" s="174"/>
      <c r="B1002" s="485" t="s">
        <v>2796</v>
      </c>
      <c r="C1002" s="174"/>
      <c r="D1002" s="1266" t="s">
        <v>1786</v>
      </c>
      <c r="E1002" s="1266"/>
      <c r="F1002" s="1266"/>
      <c r="G1002"/>
      <c r="I1002" s="490"/>
    </row>
    <row r="1003" spans="1:9" ht="12.75" customHeight="1">
      <c r="A1003" s="174"/>
      <c r="B1003" s="174"/>
      <c r="C1003" s="174"/>
      <c r="D1003" s="1266"/>
      <c r="E1003" s="1266"/>
      <c r="F1003" s="1266"/>
      <c r="G1003"/>
      <c r="I1003" s="490"/>
    </row>
    <row r="1004" spans="1:9" ht="12.75" customHeight="1">
      <c r="A1004" s="174"/>
      <c r="B1004" s="174"/>
      <c r="C1004" s="174"/>
      <c r="D1004" s="1266"/>
      <c r="E1004" s="1266"/>
      <c r="F1004" s="1266"/>
      <c r="G1004"/>
      <c r="I1004" s="490"/>
    </row>
    <row r="1005" spans="1:9" ht="12.75" customHeight="1">
      <c r="A1005" s="174"/>
      <c r="B1005" s="174"/>
      <c r="C1005" s="174"/>
      <c r="D1005" s="1266"/>
      <c r="E1005" s="1266"/>
      <c r="F1005" s="1266"/>
      <c r="G1005"/>
      <c r="I1005" s="490"/>
    </row>
    <row r="1006" spans="1:9" ht="12.75" customHeight="1">
      <c r="A1006" s="174"/>
      <c r="B1006" s="174"/>
      <c r="C1006" s="174"/>
      <c r="D1006" s="441"/>
      <c r="E1006" s="441"/>
      <c r="F1006" s="441"/>
      <c r="G1006"/>
      <c r="I1006" s="490"/>
    </row>
    <row r="1007" spans="1:9" ht="12.75" customHeight="1">
      <c r="A1007" s="174"/>
      <c r="B1007" s="485" t="s">
        <v>2796</v>
      </c>
      <c r="C1007" s="174"/>
      <c r="D1007" s="1266" t="s">
        <v>2227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441"/>
      <c r="E1009" s="441"/>
      <c r="F1009" s="441"/>
      <c r="G1009"/>
      <c r="I1009" s="490"/>
    </row>
    <row r="1010" spans="1:9" ht="12.75" customHeight="1">
      <c r="A1010" s="175"/>
      <c r="B1010" s="485" t="s">
        <v>2795</v>
      </c>
      <c r="C1010" s="354"/>
      <c r="D1010" s="1306" t="s">
        <v>1787</v>
      </c>
      <c r="E1010" s="1306"/>
      <c r="F1010" s="1306"/>
      <c r="G1010"/>
      <c r="I1010" s="490"/>
    </row>
    <row r="1011" spans="1:9" ht="12.75" customHeight="1">
      <c r="A1011" s="354"/>
      <c r="B1011" s="354"/>
      <c r="C1011" s="354"/>
      <c r="D1011" s="3"/>
      <c r="E1011" s="3"/>
      <c r="F1011" s="3"/>
      <c r="G1011"/>
      <c r="I1011" s="490"/>
    </row>
    <row r="1012" spans="1:9" ht="12.75" customHeight="1">
      <c r="A1012" s="175"/>
      <c r="B1012" s="485" t="s">
        <v>2796</v>
      </c>
      <c r="C1012" s="354"/>
      <c r="D1012" s="1306" t="s">
        <v>1788</v>
      </c>
      <c r="E1012" s="1306"/>
      <c r="F1012" s="1306"/>
      <c r="G1012"/>
      <c r="I1012" s="490"/>
    </row>
    <row r="1013" spans="1:9" ht="12.75" customHeight="1">
      <c r="A1013" s="354"/>
      <c r="B1013" s="354"/>
      <c r="C1013" s="354"/>
      <c r="D1013" s="118"/>
      <c r="E1013" s="3"/>
      <c r="F1013" s="3"/>
      <c r="G1013"/>
      <c r="I1013" s="490"/>
    </row>
    <row r="1014" spans="1:9" ht="12.75" customHeight="1">
      <c r="A1014" s="175"/>
      <c r="B1014" s="485" t="s">
        <v>2796</v>
      </c>
      <c r="C1014" s="354"/>
      <c r="D1014" s="1306" t="s">
        <v>1789</v>
      </c>
      <c r="E1014" s="1306"/>
      <c r="F1014" s="1306"/>
      <c r="G1014"/>
      <c r="I1014" s="490"/>
    </row>
    <row r="1015" spans="1:9" ht="12.75" customHeight="1">
      <c r="A1015" s="354"/>
      <c r="B1015" s="354"/>
      <c r="C1015" s="354"/>
      <c r="D1015" s="118"/>
      <c r="E1015" s="3"/>
      <c r="F1015" s="3"/>
      <c r="G1015"/>
      <c r="I1015" s="490"/>
    </row>
    <row r="1016" spans="1:9" ht="12.75" customHeight="1">
      <c r="A1016" s="175"/>
      <c r="B1016" s="485" t="s">
        <v>2796</v>
      </c>
      <c r="C1016" s="354"/>
      <c r="D1016" s="1266" t="s">
        <v>1790</v>
      </c>
      <c r="E1016" s="1266"/>
      <c r="F1016" s="1266"/>
      <c r="G1016"/>
      <c r="I1016" s="490"/>
    </row>
    <row r="1017" spans="1:9" ht="12.75" customHeight="1">
      <c r="A1017" s="175"/>
      <c r="B1017" s="175"/>
      <c r="C1017" s="354"/>
      <c r="D1017" s="1266"/>
      <c r="E1017" s="1266"/>
      <c r="F1017" s="1266"/>
      <c r="G1017"/>
      <c r="I1017" s="490"/>
    </row>
    <row r="1018" spans="1:9" ht="12.75" customHeight="1">
      <c r="A1018" s="175"/>
      <c r="B1018" s="175"/>
      <c r="C1018" s="354"/>
      <c r="D1018" s="118"/>
      <c r="E1018" s="3"/>
      <c r="F1018" s="3"/>
      <c r="G1018" s="3"/>
      <c r="I1018" s="490"/>
    </row>
    <row r="1019" spans="1:9" ht="12.75" customHeight="1">
      <c r="A1019" s="254"/>
      <c r="B1019" s="485" t="s">
        <v>2796</v>
      </c>
      <c r="C1019" s="1000"/>
      <c r="D1019" s="1322" t="s">
        <v>1791</v>
      </c>
      <c r="E1019" s="1322"/>
      <c r="F1019" s="1322"/>
      <c r="G1019" s="1001"/>
      <c r="I1019" s="490"/>
    </row>
    <row r="1020" spans="1:9" ht="12.75" customHeight="1">
      <c r="A1020" s="1000"/>
      <c r="B1020" s="1000"/>
      <c r="C1020" s="1000"/>
      <c r="D1020" s="1322"/>
      <c r="E1020" s="1322"/>
      <c r="F1020" s="1322"/>
      <c r="G1020" s="1001"/>
      <c r="I1020" s="490"/>
    </row>
    <row r="1021" spans="1:9" ht="12.75" customHeight="1">
      <c r="A1021" s="1000"/>
      <c r="B1021" s="1000"/>
      <c r="C1021" s="1000"/>
      <c r="D1021" s="984"/>
      <c r="E1021" s="1001"/>
      <c r="F1021" s="1001"/>
      <c r="G1021" s="1001"/>
      <c r="I1021" s="490"/>
    </row>
    <row r="1022" spans="1:9" ht="12.75" customHeight="1">
      <c r="A1022" s="254"/>
      <c r="B1022" s="485" t="s">
        <v>2796</v>
      </c>
      <c r="C1022" s="1000"/>
      <c r="D1022" s="1329" t="s">
        <v>1792</v>
      </c>
      <c r="E1022" s="1329"/>
      <c r="F1022" s="1329"/>
      <c r="G1022" s="1001"/>
      <c r="I1022" s="490"/>
    </row>
    <row r="1023" spans="1:9" ht="12.75" customHeight="1">
      <c r="A1023" s="1000"/>
      <c r="B1023" s="1000"/>
      <c r="C1023" s="1000"/>
      <c r="D1023" s="984"/>
      <c r="E1023" s="1001"/>
      <c r="F1023" s="1001"/>
      <c r="G1023" s="1001"/>
      <c r="I1023" s="490"/>
    </row>
    <row r="1024" spans="1:9" ht="12.75" customHeight="1">
      <c r="A1024" s="175"/>
      <c r="B1024" s="485" t="s">
        <v>2796</v>
      </c>
      <c r="C1024" s="354"/>
      <c r="D1024" s="1306" t="s">
        <v>1793</v>
      </c>
      <c r="E1024" s="1306"/>
      <c r="F1024" s="1306"/>
      <c r="G1024" s="3"/>
      <c r="I1024" s="490"/>
    </row>
    <row r="1025" spans="1:9" ht="12.75" customHeight="1">
      <c r="A1025" s="175"/>
      <c r="B1025" s="175"/>
      <c r="C1025" s="354"/>
      <c r="D1025" s="118"/>
      <c r="E1025" s="3"/>
      <c r="F1025" s="3"/>
      <c r="G1025" s="3"/>
      <c r="I1025" s="490"/>
    </row>
    <row r="1026" spans="1:9" ht="12.75" customHeight="1">
      <c r="A1026" s="175"/>
      <c r="B1026" s="485" t="s">
        <v>2796</v>
      </c>
      <c r="C1026" s="354"/>
      <c r="D1026" s="1266" t="s">
        <v>1794</v>
      </c>
      <c r="E1026" s="1266"/>
      <c r="F1026" s="1266"/>
      <c r="G1026" s="3"/>
      <c r="I1026" s="490"/>
    </row>
    <row r="1027" spans="1:9" ht="12.75" customHeight="1">
      <c r="A1027" s="175"/>
      <c r="B1027" s="175"/>
      <c r="C1027" s="354"/>
      <c r="D1027" s="1266"/>
      <c r="E1027" s="1266"/>
      <c r="F1027" s="1266"/>
      <c r="G1027" s="3"/>
      <c r="I1027" s="490"/>
    </row>
    <row r="1028" spans="1:9" ht="12.75" customHeight="1">
      <c r="A1028" s="354"/>
      <c r="B1028" s="354"/>
      <c r="C1028" s="354"/>
      <c r="D1028" s="3"/>
      <c r="E1028" s="3"/>
      <c r="F1028" s="3"/>
      <c r="G1028" s="3"/>
      <c r="I1028" s="490"/>
    </row>
    <row r="1029" spans="1:9" ht="12.75" customHeight="1">
      <c r="A1029" s="1315" t="s">
        <v>1795</v>
      </c>
      <c r="B1029" s="1315"/>
      <c r="C1029" s="1315"/>
      <c r="D1029" s="1315"/>
      <c r="E1029" s="1315"/>
      <c r="F1029" s="1315"/>
      <c r="G1029" s="1315"/>
      <c r="H1029" s="1028"/>
      <c r="I1029" s="1153"/>
    </row>
    <row r="1030" spans="1:9" ht="12.75" customHeight="1">
      <c r="A1030" s="354"/>
      <c r="B1030" s="354"/>
      <c r="C1030" s="354"/>
      <c r="D1030" s="3"/>
      <c r="E1030" s="3"/>
      <c r="F1030" s="3"/>
      <c r="G1030" s="3"/>
      <c r="I1030" s="490"/>
    </row>
    <row r="1031" spans="1:9" ht="12.75" customHeight="1">
      <c r="A1031" s="354"/>
      <c r="B1031" s="354"/>
      <c r="C1031" s="354"/>
      <c r="D1031" s="1331" t="s">
        <v>1796</v>
      </c>
      <c r="E1031" s="1331"/>
      <c r="F1031" s="1331"/>
      <c r="G1031" s="3"/>
      <c r="I1031" s="490"/>
    </row>
    <row r="1032" spans="1:9" ht="12.75" customHeight="1">
      <c r="A1032" s="354"/>
      <c r="B1032" s="354"/>
      <c r="C1032" s="354"/>
      <c r="D1032" s="1329" t="s">
        <v>1797</v>
      </c>
      <c r="E1032" s="1329"/>
      <c r="F1032" s="1329"/>
      <c r="G1032" s="3"/>
      <c r="I1032" s="490"/>
    </row>
    <row r="1033" spans="1:9" ht="12.75" customHeight="1">
      <c r="A1033" s="172"/>
      <c r="B1033" s="172"/>
      <c r="C1033" s="172"/>
      <c r="D1033" s="3"/>
      <c r="E1033" s="3"/>
      <c r="F1033" s="3"/>
      <c r="G1033" s="3"/>
      <c r="I1033" s="490"/>
    </row>
    <row r="1034" spans="1:9" ht="12.75" customHeight="1">
      <c r="A1034" s="175"/>
      <c r="B1034" s="175"/>
      <c r="C1034" s="174"/>
      <c r="D1034" s="1331" t="s">
        <v>1811</v>
      </c>
      <c r="E1034" s="1331"/>
      <c r="F1034" s="1331"/>
      <c r="G1034" s="3"/>
      <c r="I1034" s="490"/>
    </row>
    <row r="1035" spans="1:9" ht="12.75" customHeight="1">
      <c r="A1035" s="354"/>
      <c r="B1035" s="485" t="s">
        <v>2795</v>
      </c>
      <c r="C1035" s="354"/>
      <c r="D1035" s="1329" t="s">
        <v>1269</v>
      </c>
      <c r="E1035" s="1329"/>
      <c r="F1035" s="1329"/>
      <c r="G1035" s="3"/>
      <c r="I1035" s="490"/>
    </row>
    <row r="1036" spans="1:9" ht="12.75" customHeight="1">
      <c r="A1036" s="354"/>
      <c r="B1036" s="175"/>
      <c r="C1036" s="354"/>
      <c r="D1036" s="1329" t="s">
        <v>1798</v>
      </c>
      <c r="E1036" s="1329"/>
      <c r="F1036" s="1329"/>
      <c r="G1036" s="3"/>
      <c r="I1036" s="490"/>
    </row>
    <row r="1037" spans="1:9" ht="12.75" customHeight="1">
      <c r="A1037" s="354"/>
      <c r="B1037" s="354"/>
      <c r="C1037" s="354"/>
      <c r="D1037" s="1329"/>
      <c r="E1037" s="1329"/>
      <c r="F1037" s="1329"/>
      <c r="G1037" s="3"/>
      <c r="I1037" s="490"/>
    </row>
    <row r="1038" spans="1:9" ht="12.75" customHeight="1">
      <c r="A1038" s="1315" t="s">
        <v>1807</v>
      </c>
      <c r="B1038" s="1315"/>
      <c r="C1038" s="1315"/>
      <c r="D1038" s="1315"/>
      <c r="E1038" s="1315"/>
      <c r="F1038" s="1315"/>
      <c r="G1038" s="1315"/>
      <c r="H1038" s="1028"/>
      <c r="I1038" s="1153"/>
    </row>
    <row r="1039" spans="1:9" ht="12.75" customHeight="1">
      <c r="A1039" s="118"/>
      <c r="B1039" s="118"/>
      <c r="C1039" s="354"/>
      <c r="D1039" s="3"/>
      <c r="E1039" s="3"/>
      <c r="F1039" s="3"/>
      <c r="G1039" s="3"/>
      <c r="I1039" s="490"/>
    </row>
    <row r="1040" spans="1:9" ht="12.75" hidden="1" customHeight="1">
      <c r="A1040" s="118"/>
      <c r="B1040" s="402"/>
      <c r="D1040" s="1336" t="s">
        <v>1270</v>
      </c>
      <c r="E1040" s="1336"/>
      <c r="F1040" s="1336"/>
      <c r="G1040" s="3"/>
      <c r="I1040" s="490"/>
    </row>
    <row r="1041" spans="1:9" ht="12.75" hidden="1" customHeight="1">
      <c r="A1041" s="118"/>
      <c r="B1041" s="485" t="s">
        <v>307</v>
      </c>
      <c r="D1041" s="1298" t="s">
        <v>1269</v>
      </c>
      <c r="E1041" s="1298"/>
      <c r="F1041" s="1298"/>
      <c r="G1041" s="3"/>
      <c r="I1041" s="490"/>
    </row>
    <row r="1042" spans="1:9" ht="12.75" hidden="1" customHeight="1">
      <c r="A1042" s="118"/>
      <c r="B1042" s="402"/>
      <c r="D1042" s="1298" t="s">
        <v>1808</v>
      </c>
      <c r="E1042" s="1298"/>
      <c r="F1042" s="1298"/>
      <c r="G1042" s="3"/>
      <c r="I1042" s="490"/>
    </row>
    <row r="1043" spans="1:9" ht="12.75" hidden="1" customHeight="1">
      <c r="A1043" s="118"/>
      <c r="B1043" s="402"/>
      <c r="D1043" s="444"/>
      <c r="E1043" s="444"/>
      <c r="F1043" s="444"/>
      <c r="G1043" s="3"/>
      <c r="I1043" s="490"/>
    </row>
    <row r="1044" spans="1:9" ht="12.75" customHeight="1">
      <c r="A1044" s="118"/>
      <c r="B1044" s="118"/>
      <c r="C1044" s="354"/>
      <c r="D1044" s="1337" t="s">
        <v>1064</v>
      </c>
      <c r="E1044" s="1337"/>
      <c r="F1044" s="1337"/>
      <c r="G1044" s="3"/>
      <c r="I1044" s="490"/>
    </row>
    <row r="1045" spans="1:9" ht="12.75" customHeight="1">
      <c r="A1045" s="319"/>
      <c r="B1045" s="319"/>
      <c r="C1045" s="319"/>
      <c r="D1045" s="1307" t="s">
        <v>2245</v>
      </c>
      <c r="E1045" s="1307"/>
      <c r="F1045" s="1307"/>
      <c r="G1045" s="98"/>
      <c r="I1045" s="490"/>
    </row>
    <row r="1046" spans="1:9" ht="12.75" customHeight="1">
      <c r="A1046" s="175"/>
      <c r="B1046" s="485" t="s">
        <v>2796</v>
      </c>
      <c r="C1046" s="354"/>
      <c r="D1046" s="1307" t="s">
        <v>983</v>
      </c>
      <c r="E1046" s="1307"/>
      <c r="F1046" s="130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15" t="s">
        <v>1828</v>
      </c>
      <c r="B1049" s="1315"/>
      <c r="C1049" s="1315"/>
      <c r="D1049" s="1315"/>
      <c r="E1049" s="1315"/>
      <c r="F1049" s="1315"/>
      <c r="G1049" s="131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2795</v>
      </c>
      <c r="C1054" s="402"/>
      <c r="D1054" s="1333" t="s">
        <v>1812</v>
      </c>
      <c r="E1054" s="1333"/>
      <c r="F1054" s="1333"/>
      <c r="I1054" s="490"/>
    </row>
    <row r="1055" spans="1:9">
      <c r="A1055" s="402"/>
      <c r="B1055" s="402"/>
      <c r="C1055" s="402"/>
      <c r="D1055" s="1333"/>
      <c r="E1055" s="1333"/>
      <c r="F1055" s="1333"/>
      <c r="I1055" s="490"/>
    </row>
    <row r="1056" spans="1:9">
      <c r="A1056" s="402"/>
      <c r="B1056" s="402"/>
      <c r="C1056" s="402"/>
      <c r="D1056" s="1333"/>
      <c r="E1056" s="1333"/>
      <c r="F1056" s="1333"/>
      <c r="I1056" s="490"/>
    </row>
    <row r="1057" spans="1:9">
      <c r="A1057" s="402"/>
      <c r="B1057" s="402"/>
      <c r="C1057" s="402"/>
      <c r="D1057" s="1333"/>
      <c r="E1057" s="1333"/>
      <c r="F1057" s="1333"/>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2796</v>
      </c>
      <c r="C1062" s="402"/>
      <c r="D1062" s="402" t="s">
        <v>1810</v>
      </c>
      <c r="I1062" s="490"/>
    </row>
    <row r="1063" spans="1:9">
      <c r="A1063" s="402"/>
      <c r="B1063" s="402"/>
      <c r="C1063" s="402"/>
      <c r="I1063" s="490"/>
    </row>
    <row r="1064" spans="1:9">
      <c r="A1064" s="402"/>
      <c r="B1064" s="485" t="s">
        <v>2796</v>
      </c>
      <c r="C1064" s="402"/>
      <c r="D1064" s="1333" t="s">
        <v>1816</v>
      </c>
      <c r="E1064" s="1333"/>
      <c r="F1064" s="1333"/>
      <c r="I1064" s="490"/>
    </row>
    <row r="1065" spans="1:9">
      <c r="A1065" s="402"/>
      <c r="B1065" s="402"/>
      <c r="C1065" s="402"/>
      <c r="D1065" s="1333"/>
      <c r="E1065" s="1333"/>
      <c r="F1065" s="1333"/>
      <c r="I1065" s="490"/>
    </row>
    <row r="1066" spans="1:9">
      <c r="A1066" s="402"/>
      <c r="B1066" s="402"/>
      <c r="C1066" s="402"/>
      <c r="D1066" s="1333"/>
      <c r="E1066" s="1333"/>
      <c r="F1066" s="1333"/>
      <c r="I1066" s="490"/>
    </row>
    <row r="1067" spans="1:9">
      <c r="A1067" s="402"/>
      <c r="B1067" s="402"/>
      <c r="C1067" s="402"/>
      <c r="D1067" s="1333"/>
      <c r="E1067" s="1333"/>
      <c r="F1067" s="1333"/>
      <c r="I1067" s="490"/>
    </row>
    <row r="1068" spans="1:9">
      <c r="A1068" s="402"/>
      <c r="B1068" s="402"/>
      <c r="C1068" s="402"/>
      <c r="D1068" s="1333"/>
      <c r="E1068" s="1333"/>
      <c r="F1068" s="1333"/>
      <c r="I1068" s="490"/>
    </row>
    <row r="1069" spans="1:9">
      <c r="A1069" s="402"/>
      <c r="B1069" s="402"/>
      <c r="C1069" s="402"/>
      <c r="I1069" s="490"/>
    </row>
    <row r="1070" spans="1:9">
      <c r="A1070" s="1315" t="s">
        <v>1817</v>
      </c>
      <c r="B1070" s="1315"/>
      <c r="C1070" s="1315"/>
      <c r="D1070" s="1315"/>
      <c r="E1070" s="1315"/>
      <c r="F1070" s="1315"/>
      <c r="G1070" s="1315"/>
      <c r="H1070" s="1028"/>
      <c r="I1070" s="1153"/>
    </row>
    <row r="1071" spans="1:9">
      <c r="A1071" s="402"/>
      <c r="B1071" s="402"/>
      <c r="C1071" s="402"/>
      <c r="I1071" s="490"/>
    </row>
    <row r="1072" spans="1:9">
      <c r="A1072" s="402"/>
      <c r="B1072" s="402"/>
      <c r="C1072" s="402"/>
      <c r="I1072" s="490"/>
    </row>
    <row r="1073" spans="1:9">
      <c r="A1073" s="402"/>
      <c r="B1073" s="485" t="s">
        <v>2795</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2796</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2796</v>
      </c>
      <c r="C1079" s="402"/>
      <c r="D1079" s="119" t="s">
        <v>1826</v>
      </c>
      <c r="I1079" s="490"/>
    </row>
    <row r="1080" spans="1:9">
      <c r="A1080" s="402"/>
      <c r="B1080" s="402"/>
      <c r="C1080" s="402"/>
      <c r="D1080" s="1266" t="s">
        <v>1827</v>
      </c>
      <c r="E1080" s="1266"/>
      <c r="F1080" s="1266"/>
      <c r="I1080" s="490"/>
    </row>
    <row r="1081" spans="1:9">
      <c r="A1081" s="402"/>
      <c r="B1081" s="402"/>
      <c r="C1081" s="402"/>
      <c r="D1081" s="1266"/>
      <c r="E1081" s="1266"/>
      <c r="F1081" s="1266"/>
      <c r="I1081" s="490"/>
    </row>
    <row r="1082" spans="1:9">
      <c r="A1082" s="402"/>
      <c r="B1082" s="402"/>
      <c r="C1082" s="402"/>
      <c r="D1082" s="1266"/>
      <c r="E1082" s="1266"/>
      <c r="F1082" s="1266"/>
      <c r="I1082" s="490"/>
    </row>
    <row r="1083" spans="1:9">
      <c r="A1083" s="402"/>
      <c r="B1083" s="402"/>
      <c r="C1083" s="402"/>
      <c r="D1083" s="1266"/>
      <c r="E1083" s="1266"/>
      <c r="F1083" s="1266"/>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2796</v>
      </c>
      <c r="C1087" s="402"/>
      <c r="D1087" s="1332" t="s">
        <v>1819</v>
      </c>
      <c r="E1087" s="1332"/>
      <c r="F1087" s="1332"/>
      <c r="I1087" s="490"/>
    </row>
    <row r="1088" spans="1:9">
      <c r="A1088" s="402"/>
      <c r="B1088" s="402"/>
      <c r="C1088" s="402"/>
      <c r="D1088" s="1332"/>
      <c r="E1088" s="1332"/>
      <c r="F1088" s="1332"/>
      <c r="I1088" s="490"/>
    </row>
    <row r="1089" spans="1:9">
      <c r="A1089" s="402"/>
      <c r="B1089" s="402"/>
      <c r="C1089" s="402"/>
      <c r="D1089" s="1332"/>
      <c r="E1089" s="1332"/>
      <c r="F1089" s="1332"/>
      <c r="I1089" s="490"/>
    </row>
    <row r="1090" spans="1:9">
      <c r="A1090" s="402"/>
      <c r="B1090" s="402"/>
      <c r="C1090" s="402"/>
      <c r="D1090" s="1332"/>
      <c r="E1090" s="1332"/>
      <c r="F1090" s="1332"/>
      <c r="I1090" s="490"/>
    </row>
    <row r="1091" spans="1:9">
      <c r="A1091" s="402"/>
      <c r="B1091" s="402"/>
      <c r="C1091" s="402"/>
      <c r="D1091" s="1332"/>
      <c r="E1091" s="1332"/>
      <c r="F1091" s="1332"/>
      <c r="I1091" s="490"/>
    </row>
    <row r="1092" spans="1:9">
      <c r="A1092" s="402"/>
      <c r="B1092" s="402"/>
      <c r="C1092" s="402"/>
      <c r="D1092" s="527" t="s">
        <v>1824</v>
      </c>
      <c r="I1092" s="490"/>
    </row>
    <row r="1093" spans="1:9">
      <c r="A1093" s="402"/>
      <c r="B1093" s="402"/>
      <c r="C1093" s="402"/>
      <c r="I1093" s="490"/>
    </row>
    <row r="1094" spans="1:9">
      <c r="A1094" s="402"/>
      <c r="B1094" s="485" t="s">
        <v>2796</v>
      </c>
      <c r="C1094" s="402"/>
      <c r="D1094" s="1282" t="s">
        <v>2278</v>
      </c>
      <c r="E1094" s="1282"/>
      <c r="F1094" s="1282"/>
      <c r="I1094" s="490"/>
    </row>
    <row r="1095" spans="1:9">
      <c r="A1095" s="402"/>
      <c r="B1095" s="402"/>
      <c r="C1095" s="402"/>
      <c r="D1095" s="1282"/>
      <c r="E1095" s="1282"/>
      <c r="F1095" s="1282"/>
      <c r="I1095" s="490"/>
    </row>
    <row r="1096" spans="1:9">
      <c r="A1096" s="402"/>
      <c r="B1096" s="402"/>
      <c r="C1096" s="402"/>
      <c r="D1096" s="1282"/>
      <c r="E1096" s="1282"/>
      <c r="F1096" s="1282"/>
      <c r="I1096" s="490"/>
    </row>
    <row r="1097" spans="1:9">
      <c r="A1097" s="402"/>
      <c r="B1097" s="402"/>
      <c r="C1097" s="402"/>
      <c r="I1097" s="490"/>
    </row>
    <row r="1098" spans="1:9">
      <c r="A1098" s="1315" t="s">
        <v>1829</v>
      </c>
      <c r="B1098" s="1315"/>
      <c r="C1098" s="1315"/>
      <c r="D1098" s="1315"/>
      <c r="E1098" s="1315"/>
      <c r="F1098" s="1315"/>
      <c r="G1098" s="1315"/>
      <c r="H1098" s="1028"/>
      <c r="I1098" s="1153"/>
    </row>
    <row r="1099" spans="1:9">
      <c r="A1099" s="402"/>
      <c r="B1099" s="402"/>
      <c r="C1099" s="402"/>
      <c r="I1099" s="490"/>
    </row>
    <row r="1100" spans="1:9">
      <c r="A1100" s="402"/>
      <c r="B1100" s="402"/>
      <c r="C1100" s="402"/>
      <c r="I1100" s="490"/>
    </row>
    <row r="1101" spans="1:9" ht="12.75" customHeight="1">
      <c r="A1101" s="402"/>
      <c r="B1101" s="485" t="s">
        <v>2796</v>
      </c>
      <c r="C1101" s="402"/>
      <c r="D1101" s="1334" t="s">
        <v>1927</v>
      </c>
      <c r="E1101" s="1334"/>
      <c r="F1101" s="1334"/>
      <c r="I1101" s="490"/>
    </row>
    <row r="1102" spans="1:9">
      <c r="A1102" s="402"/>
      <c r="B1102" s="402"/>
      <c r="C1102" s="402"/>
      <c r="D1102" s="1334"/>
      <c r="E1102" s="1334"/>
      <c r="F1102" s="1334"/>
      <c r="I1102" s="490"/>
    </row>
    <row r="1103" spans="1:9">
      <c r="A1103" s="402"/>
      <c r="B1103" s="402"/>
      <c r="C1103" s="402"/>
      <c r="D1103" s="1335" t="s">
        <v>2141</v>
      </c>
      <c r="E1103" s="1266"/>
      <c r="F1103" s="1266"/>
      <c r="I1103" s="490"/>
    </row>
    <row r="1104" spans="1:9">
      <c r="A1104" s="402"/>
      <c r="B1104" s="402"/>
      <c r="C1104" s="402"/>
      <c r="D1104" s="527"/>
      <c r="I1104" s="490"/>
    </row>
    <row r="1105" spans="1:9">
      <c r="A1105" s="402"/>
      <c r="B1105" s="485" t="s">
        <v>2795</v>
      </c>
      <c r="C1105" s="402"/>
      <c r="D1105" s="1332" t="s">
        <v>1830</v>
      </c>
      <c r="E1105" s="1332"/>
      <c r="F1105" s="1332"/>
      <c r="I1105" s="490"/>
    </row>
    <row r="1106" spans="1:9">
      <c r="A1106" s="402"/>
      <c r="B1106" s="402"/>
      <c r="C1106" s="402"/>
      <c r="D1106" s="1332"/>
      <c r="E1106" s="1332"/>
      <c r="F1106" s="1332"/>
      <c r="I1106" s="490"/>
    </row>
    <row r="1107" spans="1:9">
      <c r="A1107" s="402"/>
      <c r="B1107" s="402"/>
      <c r="C1107" s="402"/>
      <c r="D1107" s="527"/>
      <c r="I1107" s="490"/>
    </row>
    <row r="1108" spans="1:9">
      <c r="A1108" s="402"/>
      <c r="B1108" s="485" t="s">
        <v>2796</v>
      </c>
      <c r="C1108" s="402"/>
      <c r="D1108" s="1332" t="s">
        <v>1885</v>
      </c>
      <c r="E1108" s="1332"/>
      <c r="F1108" s="1332"/>
      <c r="I1108" s="490"/>
    </row>
    <row r="1109" spans="1:9">
      <c r="A1109" s="402"/>
      <c r="B1109" s="402"/>
      <c r="C1109" s="402"/>
      <c r="D1109" s="1332"/>
      <c r="E1109" s="1332"/>
      <c r="F1109" s="1332"/>
      <c r="I1109" s="490"/>
    </row>
    <row r="1110" spans="1:9">
      <c r="A1110" s="402"/>
      <c r="B1110" s="402"/>
      <c r="C1110" s="402"/>
      <c r="D1110" s="1332"/>
      <c r="E1110" s="1332"/>
      <c r="F1110" s="1332"/>
      <c r="I1110" s="490"/>
    </row>
    <row r="1111" spans="1:9">
      <c r="A1111" s="402"/>
      <c r="B1111" s="402"/>
      <c r="C1111" s="402"/>
      <c r="D1111" s="1332"/>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80"/>
    </row>
    <row r="1115" spans="1:9">
      <c r="A1115" s="402"/>
      <c r="B1115" s="485" t="s">
        <v>2796</v>
      </c>
      <c r="C1115" s="402"/>
      <c r="D1115" s="1332" t="s">
        <v>1831</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527"/>
      <c r="I1118" s="490"/>
    </row>
    <row r="1119" spans="1:9">
      <c r="A1119" s="402"/>
      <c r="B1119" s="485" t="s">
        <v>2796</v>
      </c>
      <c r="C1119" s="402"/>
      <c r="D1119" s="1272" t="s">
        <v>1886</v>
      </c>
      <c r="E1119" s="1272"/>
      <c r="F1119" s="1272"/>
      <c r="I1119" s="490"/>
    </row>
    <row r="1120" spans="1:9">
      <c r="A1120" s="402"/>
      <c r="B1120" s="402"/>
      <c r="C1120" s="402"/>
      <c r="D1120" s="1272"/>
      <c r="E1120" s="1272"/>
      <c r="F1120" s="1272"/>
      <c r="I1120" s="490"/>
    </row>
    <row r="1121" spans="1:9">
      <c r="A1121" s="402"/>
      <c r="B1121" s="402"/>
      <c r="C1121" s="402"/>
      <c r="D1121" s="1272"/>
      <c r="E1121" s="1272"/>
      <c r="F1121" s="1272"/>
      <c r="I1121" s="490"/>
    </row>
    <row r="1122" spans="1:9">
      <c r="A1122" s="402"/>
      <c r="B1122" s="402"/>
      <c r="C1122" s="402"/>
      <c r="D1122" s="980"/>
      <c r="E1122" s="980"/>
      <c r="F1122" s="980"/>
      <c r="I1122" s="490"/>
    </row>
    <row r="1123" spans="1:9" ht="15.75" customHeight="1">
      <c r="A1123" s="402"/>
      <c r="B1123" s="485" t="s">
        <v>2796</v>
      </c>
      <c r="C1123" s="402"/>
      <c r="D1123" s="1266" t="s">
        <v>1887</v>
      </c>
      <c r="E1123" s="1266"/>
      <c r="F1123" s="1266"/>
      <c r="I1123" s="490"/>
    </row>
    <row r="1124" spans="1:9">
      <c r="A1124" s="402"/>
      <c r="B1124" s="402"/>
      <c r="C1124" s="402"/>
      <c r="D1124" s="1266"/>
      <c r="E1124" s="1266"/>
      <c r="F1124" s="1266"/>
      <c r="I1124" s="490"/>
    </row>
    <row r="1125" spans="1:9">
      <c r="A1125" s="402"/>
      <c r="B1125" s="402"/>
      <c r="C1125" s="402"/>
      <c r="D1125" s="1266"/>
      <c r="E1125" s="1266"/>
      <c r="F1125" s="1266"/>
      <c r="I1125" s="490"/>
    </row>
    <row r="1126" spans="1:9">
      <c r="A1126" s="402"/>
      <c r="B1126" s="402"/>
      <c r="C1126" s="402"/>
      <c r="D1126" s="1266"/>
      <c r="E1126" s="1266"/>
      <c r="F1126" s="1266"/>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7"/>
      <c r="H1541" s="1297"/>
      <c r="I1541" s="1297"/>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25" workbookViewId="0">
      <selection activeCell="AG449" sqref="AG449:AJ44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City of Los Angeles</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16</v>
      </c>
    </row>
    <row r="8" spans="1:58"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898"/>
      <c r="AV8" s="898"/>
      <c r="AW8" s="898"/>
      <c r="AX8" s="898"/>
      <c r="AY8" s="898"/>
      <c r="BD8" s="3" t="s">
        <v>2507</v>
      </c>
      <c r="BE8" s="1249">
        <f>SUMIF($AC$718:$AC$752,"&lt;=35%",$G$718:G$752)-SUM($BE$5:BE7)</f>
        <v>0</v>
      </c>
    </row>
    <row r="9" spans="1:58" ht="12.95" customHeight="1">
      <c r="A9" s="1845" t="s">
        <v>2074</v>
      </c>
      <c r="B9" s="1845"/>
      <c r="C9" s="1845"/>
      <c r="D9" s="1845"/>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3"/>
      <c r="AV9" s="13"/>
      <c r="AW9" s="13"/>
      <c r="AX9" s="13"/>
      <c r="AY9" s="13"/>
      <c r="BD9" s="1248" t="s">
        <v>2499</v>
      </c>
      <c r="BE9" s="1249">
        <f>SUMIF($AC$718:$AC$752,"&lt;=40%",$G$718:G$752)-SUM($BE$5:BE8)</f>
        <v>0</v>
      </c>
    </row>
    <row r="10" spans="1:58" ht="12.95" customHeight="1">
      <c r="A10" s="1845" t="s">
        <v>2456</v>
      </c>
      <c r="B10" s="1845"/>
      <c r="C10" s="1845"/>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3"/>
      <c r="AV10" s="13"/>
      <c r="AW10" s="13"/>
      <c r="AX10" s="13"/>
      <c r="AY10" s="13"/>
      <c r="BD10" s="3" t="s">
        <v>2508</v>
      </c>
      <c r="BE10" s="1249">
        <f>SUMIF($AC$718:$AC$752,"&lt;=45%",$G$718:G$752)-SUM($BE$5:BE9)</f>
        <v>0</v>
      </c>
    </row>
    <row r="11" spans="1:58" ht="12.95" customHeight="1">
      <c r="A11" s="1845" t="s">
        <v>2602</v>
      </c>
      <c r="B11" s="1845"/>
      <c r="C11" s="1845"/>
      <c r="D11" s="1845"/>
      <c r="E11" s="1845"/>
      <c r="F11" s="1845"/>
      <c r="G11" s="1845"/>
      <c r="H11" s="1845"/>
      <c r="I11" s="1845"/>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3"/>
      <c r="AV11" s="13"/>
      <c r="AW11" s="13"/>
      <c r="AX11" s="13"/>
      <c r="AY11" s="13"/>
      <c r="BD11" s="1247" t="s">
        <v>2500</v>
      </c>
      <c r="BE11" s="1249">
        <f>SUMIF($AC$718:$AC$752,"&lt;=50%",$G$718:G$752)-SUM($BE$5:BE10)</f>
        <v>16</v>
      </c>
    </row>
    <row r="12" spans="1:58" ht="12.95" customHeight="1">
      <c r="A12" s="1846" t="s">
        <v>2608</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c r="BD12" s="3" t="s">
        <v>2509</v>
      </c>
      <c r="BE12" s="1249">
        <f>SUMIF($AC$718:$AC$752,"&lt;=55%",$G$718:G$752)-SUM($BE$5:BE11)</f>
        <v>0</v>
      </c>
    </row>
    <row r="13" spans="1:58" ht="12.95" customHeight="1">
      <c r="A13" s="1276" t="s">
        <v>2075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9"/>
      <c r="AV13" s="899"/>
      <c r="AW13" s="899"/>
      <c r="AX13" s="899"/>
      <c r="AY13" s="899"/>
      <c r="BD13" s="1248" t="s">
        <v>2501</v>
      </c>
      <c r="BE13" s="1249">
        <f>SUMIF($AC$718:$AC$752,"&lt;=60%",$G$718:G$752)-SUM($BE$5:BE12)</f>
        <v>125</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9"/>
      <c r="AV14" s="899"/>
      <c r="AW14" s="899"/>
      <c r="AX14" s="899"/>
      <c r="AY14" s="899"/>
      <c r="BD14" s="1247" t="s">
        <v>2502</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5" customHeight="1">
      <c r="A16" s="57" t="s">
        <v>2076</v>
      </c>
      <c r="C16" s="4"/>
      <c r="D16" s="4"/>
      <c r="E16" s="4"/>
      <c r="F16" s="4"/>
      <c r="G16" s="4"/>
      <c r="H16" s="1556" t="s">
        <v>2611</v>
      </c>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c r="BD16" s="1248" t="s">
        <v>655</v>
      </c>
      <c r="BE16" s="1249" t="str">
        <f>Application!H18</f>
        <v>Castlewood Terrace</v>
      </c>
    </row>
    <row r="17" spans="1:58" ht="12.95" customHeight="1">
      <c r="BD17" s="1247" t="s">
        <v>2516</v>
      </c>
      <c r="BE17" s="1249">
        <f>Application!AA934</f>
        <v>0</v>
      </c>
    </row>
    <row r="18" spans="1:58" ht="12.95" customHeight="1">
      <c r="A18" s="57" t="s">
        <v>101</v>
      </c>
      <c r="C18" s="4"/>
      <c r="D18" s="4"/>
      <c r="E18" s="4"/>
      <c r="F18" s="4"/>
      <c r="G18" s="4"/>
      <c r="H18" s="1549" t="s">
        <v>2610</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248" t="s">
        <v>2517</v>
      </c>
      <c r="BE18" s="1249">
        <f>'CalHFA Addendum'!N11</f>
        <v>0</v>
      </c>
    </row>
    <row r="19" spans="1:58" ht="12.95" customHeight="1">
      <c r="BD19" s="1247" t="s">
        <v>2518</v>
      </c>
      <c r="BE19" s="1249">
        <f>Application!M26</f>
        <v>3195350</v>
      </c>
    </row>
    <row r="20" spans="1:58" ht="12.95" customHeight="1">
      <c r="A20" s="1847" t="s">
        <v>872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00"/>
      <c r="AV20" s="900"/>
      <c r="AW20" s="900"/>
      <c r="AX20" s="900"/>
      <c r="AY20" s="900"/>
      <c r="BD20" s="1248" t="s">
        <v>2519</v>
      </c>
      <c r="BE20" s="1249">
        <f>Application!M27</f>
        <v>0</v>
      </c>
    </row>
    <row r="21" spans="1:58" ht="12.95" customHeight="1">
      <c r="A21" s="1850" t="s">
        <v>1007</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01"/>
      <c r="AN21" s="901"/>
      <c r="AO21" s="901"/>
      <c r="AP21" s="901"/>
      <c r="AQ21" s="901"/>
      <c r="AR21" s="901"/>
      <c r="AS21" s="901"/>
      <c r="AT21" s="901"/>
      <c r="AU21" s="901"/>
      <c r="AV21" s="901"/>
      <c r="AW21" s="901"/>
      <c r="AX21" s="901"/>
      <c r="AY21" s="901"/>
      <c r="BD21" s="1247" t="s">
        <v>2520</v>
      </c>
      <c r="BE21" s="1249">
        <f>Application!AM554</f>
        <v>20534051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72842415</v>
      </c>
      <c r="BF22" s="3" t="s">
        <v>2593</v>
      </c>
    </row>
    <row r="23" spans="1:58" ht="12.95" customHeight="1">
      <c r="A23" s="1334" t="s">
        <v>2144</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247" t="s">
        <v>2521</v>
      </c>
      <c r="BE23" s="1249">
        <f>'Sources and Uses Budget'!B4</f>
        <v>197000</v>
      </c>
    </row>
    <row r="24" spans="1:58"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248" t="s">
        <v>2522</v>
      </c>
      <c r="BE24" s="1249">
        <f>Application!AG450</f>
        <v>114654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v>
      </c>
    </row>
    <row r="26" spans="1:58" ht="12.95" customHeight="1">
      <c r="A26" s="4"/>
      <c r="C26" s="4"/>
      <c r="D26" s="4"/>
      <c r="E26" s="4"/>
      <c r="F26" s="4"/>
      <c r="G26" s="4"/>
      <c r="H26" s="4"/>
      <c r="I26" s="4"/>
      <c r="J26" s="4"/>
      <c r="K26" s="4"/>
      <c r="L26" s="4"/>
      <c r="M26" s="1849">
        <f>'Basis &amp; Credits'!AB56</f>
        <v>3195350</v>
      </c>
      <c r="N26" s="1849"/>
      <c r="O26" s="1849"/>
      <c r="P26" s="1849"/>
      <c r="Q26" s="1849"/>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65">
        <f>'Basis &amp; Credits'!AB78</f>
        <v>0</v>
      </c>
      <c r="N27" s="1365"/>
      <c r="O27" s="1365"/>
      <c r="P27" s="1365"/>
      <c r="Q27" s="1365"/>
      <c r="R27" s="3" t="s">
        <v>1265</v>
      </c>
      <c r="S27" s="4"/>
      <c r="T27" s="4"/>
      <c r="U27" s="4"/>
      <c r="V27" s="4"/>
      <c r="W27" s="4"/>
      <c r="X27" s="4"/>
      <c r="Y27" s="4"/>
      <c r="Z27" s="4"/>
      <c r="AF27" s="4"/>
      <c r="AG27" s="4"/>
      <c r="AH27" s="4"/>
      <c r="AI27" s="4"/>
      <c r="AJ27" s="4"/>
      <c r="AK27" s="4"/>
      <c r="BD27" s="1247" t="s">
        <v>2096</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561" t="s">
        <v>2145</v>
      </c>
      <c r="B29" s="1561"/>
      <c r="C29" s="1561"/>
      <c r="D29" s="1561"/>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c r="AQ29" s="1561"/>
      <c r="AR29" s="1561"/>
      <c r="AS29" s="1561"/>
      <c r="AT29" s="1561"/>
      <c r="BD29" s="1247" t="s">
        <v>2525</v>
      </c>
      <c r="BE29" s="1249" t="b">
        <f>Application!M358="Yes"</f>
        <v>1</v>
      </c>
    </row>
    <row r="30" spans="1:58" ht="12.95" customHeight="1">
      <c r="A30" s="1561"/>
      <c r="B30" s="1561"/>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1561"/>
      <c r="AO30" s="1561"/>
      <c r="AP30" s="1561"/>
      <c r="AQ30" s="1561"/>
      <c r="AR30" s="1561"/>
      <c r="AS30" s="1561"/>
      <c r="AT30" s="1561"/>
      <c r="AZ30" s="20"/>
      <c r="BD30" s="1248" t="s">
        <v>28</v>
      </c>
      <c r="BE30" s="1249" t="b">
        <f>Application!AJ355="Yes"</f>
        <v>0</v>
      </c>
    </row>
    <row r="31" spans="1:58" ht="12.95" customHeight="1">
      <c r="A31" s="1561"/>
      <c r="B31" s="1561"/>
      <c r="C31" s="1561"/>
      <c r="D31" s="1561"/>
      <c r="E31" s="1561"/>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c r="AP31" s="1561"/>
      <c r="AQ31" s="1561"/>
      <c r="AR31" s="1561"/>
      <c r="AS31" s="1561"/>
      <c r="AT31" s="1561"/>
      <c r="AU31" s="20"/>
      <c r="AV31" s="20"/>
      <c r="AW31" s="20"/>
      <c r="AX31" s="20"/>
      <c r="AY31" s="20"/>
      <c r="AZ31" s="20"/>
      <c r="BD31" s="1247" t="s">
        <v>2526</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1276</v>
      </c>
      <c r="C33" s="519"/>
      <c r="D33" s="519"/>
      <c r="E33" s="519"/>
      <c r="F33" s="519"/>
      <c r="G33" s="519"/>
      <c r="H33" s="519"/>
      <c r="I33" s="519"/>
      <c r="J33" s="519"/>
      <c r="K33" s="519"/>
      <c r="L33" s="519"/>
      <c r="M33" s="519"/>
      <c r="N33" s="519"/>
      <c r="O33" s="1508" t="s">
        <v>668</v>
      </c>
      <c r="P33" s="1508"/>
      <c r="Q33" s="1848" t="s">
        <v>2146</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c r="BD33" s="1247" t="s">
        <v>2594</v>
      </c>
      <c r="BE33" s="1249" t="str">
        <f>Application!D220</f>
        <v>City of Los Angeles</v>
      </c>
    </row>
    <row r="34" spans="1:57" ht="12.95" customHeight="1">
      <c r="A34" s="1561" t="s">
        <v>2147</v>
      </c>
      <c r="B34" s="1561"/>
      <c r="C34" s="1561"/>
      <c r="D34" s="1561"/>
      <c r="E34" s="1561"/>
      <c r="F34" s="1561"/>
      <c r="G34" s="1561"/>
      <c r="H34" s="1561"/>
      <c r="I34" s="1561"/>
      <c r="J34" s="1561"/>
      <c r="K34" s="1561"/>
      <c r="L34" s="1561"/>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c r="AP34" s="1561"/>
      <c r="AQ34" s="1561"/>
      <c r="AR34" s="1561"/>
      <c r="AS34" s="1561"/>
      <c r="AT34" s="1561"/>
      <c r="AU34" s="20"/>
      <c r="AV34" s="20"/>
      <c r="AW34" s="20"/>
      <c r="AX34" s="20"/>
      <c r="AY34" s="20"/>
      <c r="AZ34" s="20"/>
      <c r="BD34" s="1248" t="s">
        <v>2528</v>
      </c>
      <c r="BE34" s="1249" t="str">
        <f>Application!I185</f>
        <v>16020 &amp; 16930 Chatsworth Street</v>
      </c>
    </row>
    <row r="35" spans="1:57" ht="12.95" customHeight="1">
      <c r="A35" s="1561"/>
      <c r="B35" s="1561"/>
      <c r="C35" s="1561"/>
      <c r="D35" s="1561"/>
      <c r="E35" s="1561"/>
      <c r="F35" s="1561"/>
      <c r="G35" s="1561"/>
      <c r="H35" s="1561"/>
      <c r="I35" s="1561"/>
      <c r="J35" s="1561"/>
      <c r="K35" s="1561"/>
      <c r="L35" s="1561"/>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1561"/>
      <c r="AO35" s="1561"/>
      <c r="AP35" s="1561"/>
      <c r="AQ35" s="1561"/>
      <c r="AR35" s="1561"/>
      <c r="AS35" s="1561"/>
      <c r="AT35" s="1561"/>
      <c r="AU35" s="20"/>
      <c r="AV35" s="20"/>
      <c r="AW35" s="20"/>
      <c r="AX35" s="20"/>
      <c r="AY35" s="20"/>
      <c r="AZ35" s="20"/>
      <c r="BD35" s="1247" t="s">
        <v>2529</v>
      </c>
      <c r="BE35" s="1249" t="str">
        <f>IF(Application!E187="","",Application!E187)</f>
        <v/>
      </c>
    </row>
    <row r="36" spans="1:57" ht="12.95" customHeight="1">
      <c r="A36" s="1561"/>
      <c r="B36" s="1561"/>
      <c r="C36" s="1561"/>
      <c r="D36" s="1561"/>
      <c r="E36" s="1561"/>
      <c r="F36" s="1561"/>
      <c r="G36" s="1561"/>
      <c r="H36" s="1561"/>
      <c r="I36" s="1561"/>
      <c r="J36" s="1561"/>
      <c r="K36" s="1561"/>
      <c r="L36" s="1561"/>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c r="AN36" s="1561"/>
      <c r="AO36" s="1561"/>
      <c r="AP36" s="1561"/>
      <c r="AQ36" s="1561"/>
      <c r="AR36" s="1561"/>
      <c r="AS36" s="1561"/>
      <c r="AT36" s="1561"/>
      <c r="AU36" s="20"/>
      <c r="AV36" s="20"/>
      <c r="AW36" s="20"/>
      <c r="AX36" s="20"/>
      <c r="AY36" s="20"/>
      <c r="AZ36" s="20"/>
      <c r="BD36" s="1248" t="s">
        <v>2530</v>
      </c>
      <c r="BE36" s="1249" t="str">
        <f>Application!I189</f>
        <v>Granada Hills</v>
      </c>
    </row>
    <row r="37" spans="1:57" ht="12.95" customHeight="1">
      <c r="A37" s="1561"/>
      <c r="B37" s="1561"/>
      <c r="C37" s="1561"/>
      <c r="D37" s="1561"/>
      <c r="E37" s="1561"/>
      <c r="F37" s="1561"/>
      <c r="G37" s="1561"/>
      <c r="H37" s="1561"/>
      <c r="I37" s="1561"/>
      <c r="J37" s="1561"/>
      <c r="K37" s="1561"/>
      <c r="L37" s="1561"/>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c r="AN37" s="1561"/>
      <c r="AO37" s="1561"/>
      <c r="AP37" s="1561"/>
      <c r="AQ37" s="1561"/>
      <c r="AR37" s="1561"/>
      <c r="AS37" s="1561"/>
      <c r="AT37" s="1561"/>
      <c r="AZ37" s="20"/>
      <c r="BD37" s="1247" t="s">
        <v>2531</v>
      </c>
      <c r="BE37" s="1249" t="str">
        <f>Application!T189</f>
        <v>Los Angeles</v>
      </c>
    </row>
    <row r="38" spans="1:57" ht="12.95" customHeight="1">
      <c r="A38" s="3"/>
      <c r="AZ38" s="20"/>
      <c r="BD38" s="1248" t="s">
        <v>2532</v>
      </c>
      <c r="BE38" s="1249">
        <f>Application!I190</f>
        <v>91344</v>
      </c>
    </row>
    <row r="39" spans="1:57" ht="12.95" customHeight="1">
      <c r="A39" s="1266" t="s">
        <v>2148</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247" t="s">
        <v>2533</v>
      </c>
      <c r="BE39" s="1249">
        <f>Application!AG437</f>
        <v>159</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248" t="s">
        <v>383</v>
      </c>
      <c r="BE40" s="1249">
        <f>Application!AG440</f>
        <v>157</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247" t="s">
        <v>287</v>
      </c>
      <c r="BE41" s="1249">
        <f>Application!AG438</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248" t="s">
        <v>2534</v>
      </c>
      <c r="BE42" s="1251">
        <f>Application!AC753</f>
        <v>0.5592356687898089</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247" t="s">
        <v>2535</v>
      </c>
      <c r="BE43" s="1251">
        <f>Application!AH753</f>
        <v>0.5592356687898089</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248" t="s">
        <v>2536</v>
      </c>
      <c r="BE44" s="1249">
        <f>Application!AC454</f>
        <v>458128.39622641512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2</v>
      </c>
    </row>
    <row r="46" spans="1:57" ht="12.95" customHeight="1">
      <c r="A46" s="1334" t="s">
        <v>2149</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248" t="s">
        <v>2538</v>
      </c>
      <c r="BE46" s="1249" t="b">
        <f>Application!T195="Yes"</f>
        <v>1</v>
      </c>
    </row>
    <row r="47" spans="1:57"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247" t="s">
        <v>2539</v>
      </c>
      <c r="BE47" s="1249" t="b">
        <f>Application!T196="Yes"</f>
        <v>1</v>
      </c>
    </row>
    <row r="48" spans="1:57"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248" t="s">
        <v>2540</v>
      </c>
      <c r="BE48" s="1249" t="str">
        <f>Application!M243</f>
        <v xml:space="preserve">Castlewood GP, Inc. </v>
      </c>
    </row>
    <row r="49" spans="1:57"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247" t="s">
        <v>2541</v>
      </c>
      <c r="BE49" s="1249" t="str">
        <f>Application!M246</f>
        <v>Mark Kemp</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 xml:space="preserve">Rebuild America, Inc. </v>
      </c>
    </row>
    <row r="51" spans="1:57" ht="12.95" customHeight="1">
      <c r="A51" s="1266" t="s">
        <v>2150</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247" t="s">
        <v>2543</v>
      </c>
      <c r="BE51" s="1249" t="str">
        <f>Application!M251</f>
        <v xml:space="preserve">Community Revitalization and Development Corporation </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248" t="s">
        <v>2544</v>
      </c>
      <c r="BE52" s="1249"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f>Application!AA257</f>
        <v>0</v>
      </c>
    </row>
    <row r="54" spans="1:57" ht="12.95" customHeight="1">
      <c r="A54" s="1266" t="s">
        <v>2151</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248" t="s">
        <v>2546</v>
      </c>
      <c r="BE54" s="1249">
        <f>Application!M259</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247" t="s">
        <v>2547</v>
      </c>
      <c r="BE55" s="1249">
        <f>Application!M262</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248" t="s">
        <v>2548</v>
      </c>
      <c r="BE56" s="1249">
        <f>Application!AA265</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247" t="s">
        <v>2549</v>
      </c>
      <c r="BE57" s="1249" t="str">
        <f>Application!H287</f>
        <v>Mansermar Development, LLC (fka Psalms 127,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248" t="s">
        <v>2550</v>
      </c>
      <c r="BE58" s="1249" t="str">
        <f>Application!H288</f>
        <v>1720 Gracewood Parkway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Bishop, GA 30621</v>
      </c>
    </row>
    <row r="60" spans="1:57" ht="12.95" customHeight="1">
      <c r="A60" s="1266" t="s">
        <v>2152</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248" t="s">
        <v>2552</v>
      </c>
      <c r="BE60" s="1249" t="str">
        <f>Application!H290</f>
        <v>Ali Watson</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247" t="s">
        <v>2553</v>
      </c>
      <c r="BE61" s="1249" t="str">
        <f>Application!H293</f>
        <v>awatson@mansermar.com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v>
      </c>
    </row>
    <row r="63" spans="1:57" ht="12.95"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574" t="s">
        <v>2154</v>
      </c>
      <c r="B65" s="1574"/>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c r="AH65" s="1574"/>
      <c r="AI65" s="1574"/>
      <c r="AJ65" s="1574"/>
      <c r="AK65" s="1574"/>
      <c r="AL65" s="1574"/>
      <c r="AM65" s="1574"/>
      <c r="AN65" s="1574"/>
      <c r="AO65" s="1574"/>
      <c r="AP65" s="1574"/>
      <c r="AQ65" s="1574"/>
      <c r="AR65" s="1574"/>
      <c r="AS65" s="1574"/>
      <c r="AT65" s="1574"/>
      <c r="AU65" s="21"/>
      <c r="AV65" s="21"/>
      <c r="AW65" s="21"/>
      <c r="AX65" s="21"/>
      <c r="AY65" s="21"/>
      <c r="AZ65" s="20"/>
      <c r="BD65" s="1247" t="s">
        <v>2591</v>
      </c>
      <c r="BE65" s="1249" t="str">
        <f>Z205</f>
        <v>(select)</v>
      </c>
    </row>
    <row r="66" spans="1:57" ht="12.95" customHeight="1">
      <c r="A66" s="1574"/>
      <c r="B66" s="1574"/>
      <c r="C66" s="1574"/>
      <c r="D66" s="1574"/>
      <c r="E66" s="1574"/>
      <c r="F66" s="1574"/>
      <c r="G66" s="1574"/>
      <c r="H66" s="1574"/>
      <c r="I66" s="1574"/>
      <c r="J66" s="1574"/>
      <c r="K66" s="1574"/>
      <c r="L66" s="1574"/>
      <c r="M66" s="1574"/>
      <c r="N66" s="1574"/>
      <c r="O66" s="1574"/>
      <c r="P66" s="1574"/>
      <c r="Q66" s="1574"/>
      <c r="R66" s="1574"/>
      <c r="S66" s="1574"/>
      <c r="T66" s="1574"/>
      <c r="U66" s="1574"/>
      <c r="V66" s="1574"/>
      <c r="W66" s="1574"/>
      <c r="X66" s="1574"/>
      <c r="Y66" s="1574"/>
      <c r="Z66" s="1574"/>
      <c r="AA66" s="1574"/>
      <c r="AB66" s="1574"/>
      <c r="AC66" s="1574"/>
      <c r="AD66" s="1574"/>
      <c r="AE66" s="1574"/>
      <c r="AF66" s="1574"/>
      <c r="AG66" s="1574"/>
      <c r="AH66" s="1574"/>
      <c r="AI66" s="1574"/>
      <c r="AJ66" s="1574"/>
      <c r="AK66" s="1574"/>
      <c r="AL66" s="1574"/>
      <c r="AM66" s="1574"/>
      <c r="AN66" s="1574"/>
      <c r="AO66" s="1574"/>
      <c r="AP66" s="1574"/>
      <c r="AQ66" s="1574"/>
      <c r="AR66" s="1574"/>
      <c r="AS66" s="1574"/>
      <c r="AT66" s="1574"/>
      <c r="AU66" s="21"/>
      <c r="AV66" s="21"/>
      <c r="AW66" s="21"/>
      <c r="AX66" s="21"/>
      <c r="AY66" s="21"/>
      <c r="AZ66" s="20"/>
      <c r="BD66" s="1248" t="s">
        <v>2556</v>
      </c>
      <c r="BE66" s="1249" t="b">
        <f>Application!Z205="State Farmworker Credit"</f>
        <v>0</v>
      </c>
    </row>
    <row r="67" spans="1:57" ht="12.95" customHeight="1">
      <c r="A67" s="1574"/>
      <c r="B67" s="1574"/>
      <c r="C67" s="1574"/>
      <c r="D67" s="1574"/>
      <c r="E67" s="1574"/>
      <c r="F67" s="1574"/>
      <c r="G67" s="1574"/>
      <c r="H67" s="1574"/>
      <c r="I67" s="1574"/>
      <c r="J67" s="1574"/>
      <c r="K67" s="1574"/>
      <c r="L67" s="1574"/>
      <c r="M67" s="1574"/>
      <c r="N67" s="1574"/>
      <c r="O67" s="1574"/>
      <c r="P67" s="1574"/>
      <c r="Q67" s="1574"/>
      <c r="R67" s="1574"/>
      <c r="S67" s="1574"/>
      <c r="T67" s="1574"/>
      <c r="U67" s="1574"/>
      <c r="V67" s="1574"/>
      <c r="W67" s="1574"/>
      <c r="X67" s="1574"/>
      <c r="Y67" s="1574"/>
      <c r="Z67" s="1574"/>
      <c r="AA67" s="1574"/>
      <c r="AB67" s="1574"/>
      <c r="AC67" s="1574"/>
      <c r="AD67" s="1574"/>
      <c r="AE67" s="1574"/>
      <c r="AF67" s="1574"/>
      <c r="AG67" s="1574"/>
      <c r="AH67" s="1574"/>
      <c r="AI67" s="1574"/>
      <c r="AJ67" s="1574"/>
      <c r="AK67" s="1574"/>
      <c r="AL67" s="1574"/>
      <c r="AM67" s="1574"/>
      <c r="AN67" s="1574"/>
      <c r="AO67" s="1574"/>
      <c r="AP67" s="1574"/>
      <c r="AQ67" s="1574"/>
      <c r="AR67" s="1574"/>
      <c r="AS67" s="1574"/>
      <c r="AT67" s="1574"/>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574" t="s">
        <v>2155</v>
      </c>
      <c r="B69" s="1574"/>
      <c r="C69" s="1574"/>
      <c r="D69" s="1574"/>
      <c r="E69" s="1574"/>
      <c r="F69" s="1574"/>
      <c r="G69" s="1574"/>
      <c r="H69" s="1574"/>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Z69" s="20"/>
      <c r="BD69" s="1247" t="s">
        <v>2559</v>
      </c>
      <c r="BE69" s="1249" t="str">
        <f>Application!W700</f>
        <v>Los Angeles Housing Department</v>
      </c>
    </row>
    <row r="70" spans="1:57" ht="12.95" customHeight="1">
      <c r="A70" s="1574"/>
      <c r="B70" s="1574"/>
      <c r="C70" s="1574"/>
      <c r="D70" s="1574"/>
      <c r="E70" s="1574"/>
      <c r="F70" s="1574"/>
      <c r="G70" s="1574"/>
      <c r="H70" s="1574"/>
      <c r="I70" s="1574"/>
      <c r="J70" s="1574"/>
      <c r="K70" s="1574"/>
      <c r="L70" s="1574"/>
      <c r="M70" s="1574"/>
      <c r="N70" s="1574"/>
      <c r="O70" s="1574"/>
      <c r="P70" s="1574"/>
      <c r="Q70" s="1574"/>
      <c r="R70" s="1574"/>
      <c r="S70" s="1574"/>
      <c r="T70" s="1574"/>
      <c r="U70" s="1574"/>
      <c r="V70" s="1574"/>
      <c r="W70" s="1574"/>
      <c r="X70" s="1574"/>
      <c r="Y70" s="1574"/>
      <c r="Z70" s="1574"/>
      <c r="AA70" s="1574"/>
      <c r="AB70" s="1574"/>
      <c r="AC70" s="1574"/>
      <c r="AD70" s="1574"/>
      <c r="AE70" s="1574"/>
      <c r="AF70" s="1574"/>
      <c r="AG70" s="1574"/>
      <c r="AH70" s="1574"/>
      <c r="AI70" s="1574"/>
      <c r="AJ70" s="1574"/>
      <c r="AK70" s="1574"/>
      <c r="AL70" s="1574"/>
      <c r="AM70" s="1574"/>
      <c r="AN70" s="1574"/>
      <c r="AO70" s="1574"/>
      <c r="AP70" s="1574"/>
      <c r="AQ70" s="1574"/>
      <c r="AR70" s="1574"/>
      <c r="AS70" s="1574"/>
      <c r="AT70" s="1574"/>
      <c r="AU70" s="20"/>
      <c r="AV70" s="20"/>
      <c r="AW70" s="20"/>
      <c r="AX70" s="20"/>
      <c r="AY70" s="20"/>
      <c r="AZ70" s="20"/>
      <c r="BD70" s="1248" t="s">
        <v>2560</v>
      </c>
      <c r="BE70" s="1249">
        <f ca="1">'Points System'!AF821</f>
        <v>104</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14</v>
      </c>
    </row>
    <row r="72" spans="1:57" ht="12.95" customHeight="1">
      <c r="A72" s="1561" t="s">
        <v>2156</v>
      </c>
      <c r="B72" s="1561"/>
      <c r="C72" s="1561"/>
      <c r="D72" s="1561"/>
      <c r="E72" s="1561"/>
      <c r="F72" s="1561"/>
      <c r="G72" s="1561"/>
      <c r="H72" s="1561"/>
      <c r="I72" s="1561"/>
      <c r="J72" s="1561"/>
      <c r="K72" s="1561"/>
      <c r="L72" s="1561"/>
      <c r="M72" s="1561"/>
      <c r="N72" s="1561"/>
      <c r="O72" s="1561"/>
      <c r="P72" s="1561"/>
      <c r="Q72" s="1561"/>
      <c r="R72" s="1561"/>
      <c r="S72" s="1561"/>
      <c r="T72" s="1561"/>
      <c r="U72" s="1561"/>
      <c r="V72" s="1561"/>
      <c r="W72" s="1561"/>
      <c r="X72" s="1561"/>
      <c r="Y72" s="1561"/>
      <c r="Z72" s="1561"/>
      <c r="AA72" s="1561"/>
      <c r="AB72" s="1561"/>
      <c r="AC72" s="1561"/>
      <c r="AD72" s="1561"/>
      <c r="AE72" s="1561"/>
      <c r="AF72" s="1561"/>
      <c r="AG72" s="1561"/>
      <c r="AH72" s="1561"/>
      <c r="AI72" s="1561"/>
      <c r="AJ72" s="1561"/>
      <c r="AK72" s="1561"/>
      <c r="AL72" s="1561"/>
      <c r="AM72" s="1561"/>
      <c r="AN72" s="1561"/>
      <c r="AO72" s="1561"/>
      <c r="AP72" s="1561"/>
      <c r="AQ72" s="1561"/>
      <c r="AR72" s="1561"/>
      <c r="AS72" s="1561"/>
      <c r="AT72" s="1561"/>
      <c r="AU72" s="20"/>
      <c r="AV72" s="20"/>
      <c r="AW72" s="20"/>
      <c r="AX72" s="20"/>
      <c r="AY72" s="20"/>
      <c r="AZ72" s="20"/>
      <c r="BD72" s="1248" t="s">
        <v>2562</v>
      </c>
      <c r="BE72" s="1249">
        <f>'Points System'!AF805</f>
        <v>0</v>
      </c>
    </row>
    <row r="73" spans="1:57" ht="12.95" customHeight="1">
      <c r="A73" s="1561"/>
      <c r="B73" s="1561"/>
      <c r="C73" s="1561"/>
      <c r="D73" s="1561"/>
      <c r="E73" s="1561"/>
      <c r="F73" s="1561"/>
      <c r="G73" s="1561"/>
      <c r="H73" s="1561"/>
      <c r="I73" s="1561"/>
      <c r="J73" s="1561"/>
      <c r="K73" s="1561"/>
      <c r="L73" s="1561"/>
      <c r="M73" s="1561"/>
      <c r="N73" s="1561"/>
      <c r="O73" s="1561"/>
      <c r="P73" s="1561"/>
      <c r="Q73" s="1561"/>
      <c r="R73" s="1561"/>
      <c r="S73" s="1561"/>
      <c r="T73" s="1561"/>
      <c r="U73" s="1561"/>
      <c r="V73" s="1561"/>
      <c r="W73" s="1561"/>
      <c r="X73" s="1561"/>
      <c r="Y73" s="1561"/>
      <c r="Z73" s="1561"/>
      <c r="AA73" s="1561"/>
      <c r="AB73" s="1561"/>
      <c r="AC73" s="1561"/>
      <c r="AD73" s="1561"/>
      <c r="AE73" s="1561"/>
      <c r="AF73" s="1561"/>
      <c r="AG73" s="1561"/>
      <c r="AH73" s="1561"/>
      <c r="AI73" s="1561"/>
      <c r="AJ73" s="1561"/>
      <c r="AK73" s="1561"/>
      <c r="AL73" s="1561"/>
      <c r="AM73" s="1561"/>
      <c r="AN73" s="1561"/>
      <c r="AO73" s="1561"/>
      <c r="AP73" s="1561"/>
      <c r="AQ73" s="1561"/>
      <c r="AR73" s="1561"/>
      <c r="AS73" s="1561"/>
      <c r="AT73" s="1561"/>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573" t="s">
        <v>2157</v>
      </c>
      <c r="B75" s="1573"/>
      <c r="C75" s="1573"/>
      <c r="D75" s="1573"/>
      <c r="E75" s="1573"/>
      <c r="F75" s="1573"/>
      <c r="G75" s="1573"/>
      <c r="H75" s="1573"/>
      <c r="I75" s="1573"/>
      <c r="J75" s="1573"/>
      <c r="K75" s="1573"/>
      <c r="L75" s="1573"/>
      <c r="M75" s="1573"/>
      <c r="N75" s="1573"/>
      <c r="O75" s="1573"/>
      <c r="P75" s="1573"/>
      <c r="Q75" s="1573"/>
      <c r="R75" s="1573"/>
      <c r="S75" s="1573"/>
      <c r="T75" s="1573"/>
      <c r="U75" s="1573"/>
      <c r="V75" s="1573"/>
      <c r="W75" s="1573"/>
      <c r="X75" s="1573"/>
      <c r="Y75" s="1573"/>
      <c r="Z75" s="1573"/>
      <c r="AA75" s="1573"/>
      <c r="AB75" s="1573"/>
      <c r="AC75" s="1573"/>
      <c r="AD75" s="1573"/>
      <c r="AE75" s="1573"/>
      <c r="AF75" s="1573"/>
      <c r="AG75" s="1573"/>
      <c r="AH75" s="1573"/>
      <c r="AI75" s="1573"/>
      <c r="AJ75" s="1573"/>
      <c r="AK75" s="1573"/>
      <c r="AL75" s="1573"/>
      <c r="AM75" s="1573"/>
      <c r="AN75" s="1573"/>
      <c r="AO75" s="1573"/>
      <c r="AP75" s="1573"/>
      <c r="AQ75" s="1573"/>
      <c r="AR75" s="1573"/>
      <c r="AS75" s="1573"/>
      <c r="AT75" s="1573"/>
      <c r="AU75" s="20"/>
      <c r="AV75" s="20"/>
      <c r="AW75" s="20"/>
      <c r="AX75" s="20"/>
      <c r="AY75" s="20"/>
      <c r="AZ75" s="20"/>
      <c r="BD75" s="1247" t="s">
        <v>2565</v>
      </c>
      <c r="BE75" s="1249">
        <f>'Points System'!AF808</f>
        <v>10</v>
      </c>
    </row>
    <row r="76" spans="1:57" ht="12.95" customHeight="1">
      <c r="A76" s="1573"/>
      <c r="B76" s="1573"/>
      <c r="C76" s="1573"/>
      <c r="D76" s="1573"/>
      <c r="E76" s="1573"/>
      <c r="F76" s="1573"/>
      <c r="G76" s="1573"/>
      <c r="H76" s="1573"/>
      <c r="I76" s="1573"/>
      <c r="J76" s="1573"/>
      <c r="K76" s="1573"/>
      <c r="L76" s="1573"/>
      <c r="M76" s="1573"/>
      <c r="N76" s="1573"/>
      <c r="O76" s="1573"/>
      <c r="P76" s="1573"/>
      <c r="Q76" s="1573"/>
      <c r="R76" s="1573"/>
      <c r="S76" s="1573"/>
      <c r="T76" s="1573"/>
      <c r="U76" s="1573"/>
      <c r="V76" s="1573"/>
      <c r="W76" s="1573"/>
      <c r="X76" s="1573"/>
      <c r="Y76" s="1573"/>
      <c r="Z76" s="1573"/>
      <c r="AA76" s="1573"/>
      <c r="AB76" s="1573"/>
      <c r="AC76" s="1573"/>
      <c r="AD76" s="1573"/>
      <c r="AE76" s="1573"/>
      <c r="AF76" s="1573"/>
      <c r="AG76" s="1573"/>
      <c r="AH76" s="1573"/>
      <c r="AI76" s="1573"/>
      <c r="AJ76" s="1573"/>
      <c r="AK76" s="1573"/>
      <c r="AL76" s="1573"/>
      <c r="AM76" s="1573"/>
      <c r="AN76" s="1573"/>
      <c r="AO76" s="1573"/>
      <c r="AP76" s="1573"/>
      <c r="AQ76" s="1573"/>
      <c r="AR76" s="1573"/>
      <c r="AS76" s="1573"/>
      <c r="AT76" s="1573"/>
      <c r="AU76" s="20"/>
      <c r="AV76" s="20"/>
      <c r="AW76" s="20"/>
      <c r="AX76" s="20"/>
      <c r="AY76" s="20"/>
      <c r="AZ76" s="17"/>
      <c r="BD76" s="1248" t="s">
        <v>2566</v>
      </c>
      <c r="BE76" s="1249">
        <f>'Points System'!AF811</f>
        <v>0</v>
      </c>
    </row>
    <row r="77" spans="1:57" ht="12.95" customHeight="1">
      <c r="A77" s="1573"/>
      <c r="B77" s="1573"/>
      <c r="C77" s="1573"/>
      <c r="D77" s="1573"/>
      <c r="E77" s="1573"/>
      <c r="F77" s="1573"/>
      <c r="G77" s="1573"/>
      <c r="H77" s="1573"/>
      <c r="I77" s="1573"/>
      <c r="J77" s="1573"/>
      <c r="K77" s="1573"/>
      <c r="L77" s="1573"/>
      <c r="M77" s="1573"/>
      <c r="N77" s="1573"/>
      <c r="O77" s="1573"/>
      <c r="P77" s="1573"/>
      <c r="Q77" s="1573"/>
      <c r="R77" s="1573"/>
      <c r="S77" s="1573"/>
      <c r="T77" s="1573"/>
      <c r="U77" s="1573"/>
      <c r="V77" s="1573"/>
      <c r="W77" s="1573"/>
      <c r="X77" s="1573"/>
      <c r="Y77" s="1573"/>
      <c r="Z77" s="1573"/>
      <c r="AA77" s="1573"/>
      <c r="AB77" s="1573"/>
      <c r="AC77" s="1573"/>
      <c r="AD77" s="1573"/>
      <c r="AE77" s="1573"/>
      <c r="AF77" s="1573"/>
      <c r="AG77" s="1573"/>
      <c r="AH77" s="1573"/>
      <c r="AI77" s="1573"/>
      <c r="AJ77" s="1573"/>
      <c r="AK77" s="1573"/>
      <c r="AL77" s="1573"/>
      <c r="AM77" s="1573"/>
      <c r="AN77" s="1573"/>
      <c r="AO77" s="1573"/>
      <c r="AP77" s="1573"/>
      <c r="AQ77" s="1573"/>
      <c r="AR77" s="1573"/>
      <c r="AS77" s="1573"/>
      <c r="AT77" s="1573"/>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574" t="s">
        <v>2158</v>
      </c>
      <c r="B79" s="1574"/>
      <c r="C79" s="1574"/>
      <c r="D79" s="1574"/>
      <c r="E79" s="1574"/>
      <c r="F79" s="1574"/>
      <c r="G79" s="1574"/>
      <c r="H79" s="1574"/>
      <c r="I79" s="1574"/>
      <c r="J79" s="1574"/>
      <c r="K79" s="1574"/>
      <c r="L79" s="1574"/>
      <c r="M79" s="1574"/>
      <c r="N79" s="1574"/>
      <c r="O79" s="1574"/>
      <c r="P79" s="1574"/>
      <c r="Q79" s="1574"/>
      <c r="R79" s="1574"/>
      <c r="S79" s="1574"/>
      <c r="T79" s="1574"/>
      <c r="U79" s="1574"/>
      <c r="V79" s="1574"/>
      <c r="W79" s="1574"/>
      <c r="X79" s="1574"/>
      <c r="Y79" s="1574"/>
      <c r="Z79" s="1574"/>
      <c r="AA79" s="1574"/>
      <c r="AB79" s="1574"/>
      <c r="AC79" s="1574"/>
      <c r="AD79" s="1574"/>
      <c r="AE79" s="1574"/>
      <c r="AF79" s="1574"/>
      <c r="AG79" s="1574"/>
      <c r="AH79" s="1574"/>
      <c r="AI79" s="1574"/>
      <c r="AJ79" s="1574"/>
      <c r="AK79" s="1574"/>
      <c r="AL79" s="1574"/>
      <c r="AM79" s="1574"/>
      <c r="AN79" s="1574"/>
      <c r="AO79" s="1574"/>
      <c r="AP79" s="1574"/>
      <c r="AQ79" s="1574"/>
      <c r="AR79" s="1574"/>
      <c r="AS79" s="1574"/>
      <c r="AT79" s="1574"/>
      <c r="AU79" s="20"/>
      <c r="AV79" s="20"/>
      <c r="AW79" s="20"/>
      <c r="AX79" s="20"/>
      <c r="AY79" s="20"/>
      <c r="AZ79" s="20"/>
      <c r="BD79" s="1247" t="s">
        <v>2569</v>
      </c>
      <c r="BE79" s="1249">
        <f>'Points System'!AF815</f>
        <v>0</v>
      </c>
    </row>
    <row r="80" spans="1:57" ht="12.95" customHeight="1">
      <c r="A80" s="1574"/>
      <c r="B80" s="1574"/>
      <c r="C80" s="1574"/>
      <c r="D80" s="1574"/>
      <c r="E80" s="1574"/>
      <c r="F80" s="1574"/>
      <c r="G80" s="1574"/>
      <c r="H80" s="1574"/>
      <c r="I80" s="1574"/>
      <c r="J80" s="1574"/>
      <c r="K80" s="1574"/>
      <c r="L80" s="1574"/>
      <c r="M80" s="1574"/>
      <c r="N80" s="1574"/>
      <c r="O80" s="1574"/>
      <c r="P80" s="1574"/>
      <c r="Q80" s="1574"/>
      <c r="R80" s="1574"/>
      <c r="S80" s="1574"/>
      <c r="T80" s="1574"/>
      <c r="U80" s="1574"/>
      <c r="V80" s="1574"/>
      <c r="W80" s="1574"/>
      <c r="X80" s="1574"/>
      <c r="Y80" s="1574"/>
      <c r="Z80" s="1574"/>
      <c r="AA80" s="1574"/>
      <c r="AB80" s="1574"/>
      <c r="AC80" s="1574"/>
      <c r="AD80" s="1574"/>
      <c r="AE80" s="1574"/>
      <c r="AF80" s="1574"/>
      <c r="AG80" s="1574"/>
      <c r="AH80" s="1574"/>
      <c r="AI80" s="1574"/>
      <c r="AJ80" s="1574"/>
      <c r="AK80" s="1574"/>
      <c r="AL80" s="1574"/>
      <c r="AM80" s="1574"/>
      <c r="AN80" s="1574"/>
      <c r="AO80" s="1574"/>
      <c r="AP80" s="1574"/>
      <c r="AQ80" s="1574"/>
      <c r="AR80" s="1574"/>
      <c r="AS80" s="1574"/>
      <c r="AT80" s="1574"/>
      <c r="AU80" s="20"/>
      <c r="AV80" s="20"/>
      <c r="AW80" s="20"/>
      <c r="AX80" s="20"/>
      <c r="AY80" s="20"/>
      <c r="AZ80" s="20"/>
      <c r="BD80" s="1248" t="s">
        <v>2570</v>
      </c>
      <c r="BE80" s="1249">
        <f>'Points System'!AF817</f>
        <v>10</v>
      </c>
    </row>
    <row r="81" spans="1:57" ht="12.95" customHeight="1">
      <c r="A81" s="1574"/>
      <c r="B81" s="1574"/>
      <c r="C81" s="1574"/>
      <c r="D81" s="1574"/>
      <c r="E81" s="1574"/>
      <c r="F81" s="1574"/>
      <c r="G81" s="1574"/>
      <c r="H81" s="1574"/>
      <c r="I81" s="1574"/>
      <c r="J81" s="1574"/>
      <c r="K81" s="1574"/>
      <c r="L81" s="1574"/>
      <c r="M81" s="1574"/>
      <c r="N81" s="1574"/>
      <c r="O81" s="1574"/>
      <c r="P81" s="1574"/>
      <c r="Q81" s="1574"/>
      <c r="R81" s="1574"/>
      <c r="S81" s="1574"/>
      <c r="T81" s="1574"/>
      <c r="U81" s="1574"/>
      <c r="V81" s="1574"/>
      <c r="W81" s="1574"/>
      <c r="X81" s="1574"/>
      <c r="Y81" s="1574"/>
      <c r="Z81" s="1574"/>
      <c r="AA81" s="1574"/>
      <c r="AB81" s="1574"/>
      <c r="AC81" s="1574"/>
      <c r="AD81" s="1574"/>
      <c r="AE81" s="1574"/>
      <c r="AF81" s="1574"/>
      <c r="AG81" s="1574"/>
      <c r="AH81" s="1574"/>
      <c r="AI81" s="1574"/>
      <c r="AJ81" s="1574"/>
      <c r="AK81" s="1574"/>
      <c r="AL81" s="1574"/>
      <c r="AM81" s="1574"/>
      <c r="AN81" s="1574"/>
      <c r="AO81" s="1574"/>
      <c r="AP81" s="1574"/>
      <c r="AQ81" s="1574"/>
      <c r="AR81" s="1574"/>
      <c r="AS81" s="1574"/>
      <c r="AT81" s="1574"/>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6" t="s">
        <v>2159</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247" t="s">
        <v>2573</v>
      </c>
      <c r="BE83" s="1253">
        <f>'Tie Breaker'!H5</f>
        <v>3.2385929003404419</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248" t="s">
        <v>2574</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Mr. Timothy Elliott</v>
      </c>
    </row>
    <row r="86" spans="1:57" ht="12.95" customHeight="1">
      <c r="A86" s="1266" t="s">
        <v>2160</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248" t="s">
        <v>2576</v>
      </c>
      <c r="BE86" s="1249"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247" t="s">
        <v>2577</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Los Angeles</v>
      </c>
    </row>
    <row r="89" spans="1:57" ht="12.95" customHeight="1">
      <c r="A89" s="1580" t="s">
        <v>2161</v>
      </c>
      <c r="B89" s="1580"/>
      <c r="C89" s="1580"/>
      <c r="D89" s="1580"/>
      <c r="E89" s="1580"/>
      <c r="F89" s="1580"/>
      <c r="G89" s="1580"/>
      <c r="H89" s="1580"/>
      <c r="I89" s="1580"/>
      <c r="J89" s="1580"/>
      <c r="K89" s="1580"/>
      <c r="L89" s="1580"/>
      <c r="M89" s="1580"/>
      <c r="N89" s="1580"/>
      <c r="O89" s="1580"/>
      <c r="P89" s="1580"/>
      <c r="Q89" s="1580"/>
      <c r="R89" s="1580"/>
      <c r="S89" s="1580"/>
      <c r="T89" s="1580"/>
      <c r="U89" s="1580"/>
      <c r="V89" s="1580"/>
      <c r="W89" s="1580"/>
      <c r="X89" s="1580"/>
      <c r="Y89" s="1580"/>
      <c r="Z89" s="1580"/>
      <c r="AA89" s="1580"/>
      <c r="AB89" s="1580"/>
      <c r="AC89" s="1580"/>
      <c r="AD89" s="1580"/>
      <c r="AE89" s="1580"/>
      <c r="AF89" s="1580"/>
      <c r="AG89" s="1580"/>
      <c r="AH89" s="1580"/>
      <c r="AI89" s="1580"/>
      <c r="AJ89" s="1580"/>
      <c r="AK89" s="1580"/>
      <c r="AL89" s="1580"/>
      <c r="AM89" s="1580"/>
      <c r="AN89" s="1580"/>
      <c r="AO89" s="1580"/>
      <c r="AP89" s="1580"/>
      <c r="AQ89" s="1580"/>
      <c r="AR89" s="1580"/>
      <c r="AS89" s="1580"/>
      <c r="AT89" s="1580"/>
      <c r="AU89" s="17"/>
      <c r="AV89" s="17"/>
      <c r="AW89" s="17"/>
      <c r="AX89" s="17"/>
      <c r="AY89" s="17"/>
      <c r="AZ89" s="20"/>
      <c r="BD89" s="1247" t="s">
        <v>2579</v>
      </c>
      <c r="BE89" s="1249">
        <f>Application!O158</f>
        <v>90017</v>
      </c>
    </row>
    <row r="90" spans="1:57" ht="12.95" customHeight="1">
      <c r="A90" s="1580"/>
      <c r="B90" s="1580"/>
      <c r="C90" s="1580"/>
      <c r="D90" s="1580"/>
      <c r="E90" s="1580"/>
      <c r="F90" s="1580"/>
      <c r="G90" s="1580"/>
      <c r="H90" s="1580"/>
      <c r="I90" s="1580"/>
      <c r="J90" s="1580"/>
      <c r="K90" s="1580"/>
      <c r="L90" s="1580"/>
      <c r="M90" s="1580"/>
      <c r="N90" s="1580"/>
      <c r="O90" s="1580"/>
      <c r="P90" s="1580"/>
      <c r="Q90" s="1580"/>
      <c r="R90" s="1580"/>
      <c r="S90" s="1580"/>
      <c r="T90" s="1580"/>
      <c r="U90" s="1580"/>
      <c r="V90" s="1580"/>
      <c r="W90" s="1580"/>
      <c r="X90" s="1580"/>
      <c r="Y90" s="1580"/>
      <c r="Z90" s="1580"/>
      <c r="AA90" s="1580"/>
      <c r="AB90" s="1580"/>
      <c r="AC90" s="1580"/>
      <c r="AD90" s="1580"/>
      <c r="AE90" s="1580"/>
      <c r="AF90" s="1580"/>
      <c r="AG90" s="1580"/>
      <c r="AH90" s="1580"/>
      <c r="AI90" s="1580"/>
      <c r="AJ90" s="1580"/>
      <c r="AK90" s="1580"/>
      <c r="AL90" s="1580"/>
      <c r="AM90" s="1580"/>
      <c r="AN90" s="1580"/>
      <c r="AO90" s="1580"/>
      <c r="AP90" s="1580"/>
      <c r="AQ90" s="1580"/>
      <c r="AR90" s="1580"/>
      <c r="AS90" s="1580"/>
      <c r="AT90" s="1580"/>
      <c r="AU90" s="17"/>
      <c r="AV90" s="17"/>
      <c r="AW90" s="17"/>
      <c r="AX90" s="17"/>
      <c r="AY90" s="17"/>
      <c r="AZ90" s="20"/>
      <c r="BD90" s="1248" t="s">
        <v>2580</v>
      </c>
      <c r="BE90" s="1249" t="str">
        <f>Application!H16</f>
        <v>Castlewood Terrace,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1720 Gracewood Parkway</v>
      </c>
    </row>
    <row r="92" spans="1:57" ht="12.95" customHeight="1">
      <c r="A92" s="1573" t="s">
        <v>2162</v>
      </c>
      <c r="B92" s="1573"/>
      <c r="C92" s="1573"/>
      <c r="D92" s="1573"/>
      <c r="E92" s="1573"/>
      <c r="F92" s="1573"/>
      <c r="G92" s="1573"/>
      <c r="H92" s="1573"/>
      <c r="I92" s="1573"/>
      <c r="J92" s="1573"/>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3"/>
      <c r="AH92" s="1573"/>
      <c r="AI92" s="1573"/>
      <c r="AJ92" s="1573"/>
      <c r="AK92" s="1573"/>
      <c r="AL92" s="1573"/>
      <c r="AM92" s="1573"/>
      <c r="AN92" s="1573"/>
      <c r="AO92" s="1573"/>
      <c r="AP92" s="1573"/>
      <c r="AQ92" s="1573"/>
      <c r="AR92" s="1573"/>
      <c r="AS92" s="1573"/>
      <c r="AT92" s="1573"/>
      <c r="AU92" s="20"/>
      <c r="AV92" s="20"/>
      <c r="AW92" s="20"/>
      <c r="AX92" s="20"/>
      <c r="AY92" s="20"/>
      <c r="AZ92" s="20"/>
      <c r="BD92" s="1248" t="s">
        <v>2582</v>
      </c>
      <c r="BE92" s="1249" t="str">
        <f>Application!M234</f>
        <v>Bishop</v>
      </c>
    </row>
    <row r="93" spans="1:57" ht="12.95" customHeight="1">
      <c r="A93" s="1573"/>
      <c r="B93" s="1573"/>
      <c r="C93" s="1573"/>
      <c r="D93" s="1573"/>
      <c r="E93" s="1573"/>
      <c r="F93" s="1573"/>
      <c r="G93" s="1573"/>
      <c r="H93" s="1573"/>
      <c r="I93" s="1573"/>
      <c r="J93" s="1573"/>
      <c r="K93" s="1573"/>
      <c r="L93" s="1573"/>
      <c r="M93" s="1573"/>
      <c r="N93" s="1573"/>
      <c r="O93" s="1573"/>
      <c r="P93" s="1573"/>
      <c r="Q93" s="1573"/>
      <c r="R93" s="1573"/>
      <c r="S93" s="1573"/>
      <c r="T93" s="1573"/>
      <c r="U93" s="1573"/>
      <c r="V93" s="1573"/>
      <c r="W93" s="1573"/>
      <c r="X93" s="1573"/>
      <c r="Y93" s="1573"/>
      <c r="Z93" s="1573"/>
      <c r="AA93" s="1573"/>
      <c r="AB93" s="1573"/>
      <c r="AC93" s="1573"/>
      <c r="AD93" s="1573"/>
      <c r="AE93" s="1573"/>
      <c r="AF93" s="1573"/>
      <c r="AG93" s="1573"/>
      <c r="AH93" s="1573"/>
      <c r="AI93" s="1573"/>
      <c r="AJ93" s="1573"/>
      <c r="AK93" s="1573"/>
      <c r="AL93" s="1573"/>
      <c r="AM93" s="1573"/>
      <c r="AN93" s="1573"/>
      <c r="AO93" s="1573"/>
      <c r="AP93" s="1573"/>
      <c r="AQ93" s="1573"/>
      <c r="AR93" s="1573"/>
      <c r="AS93" s="1573"/>
      <c r="AT93" s="1573"/>
      <c r="AU93" s="20"/>
      <c r="AV93" s="20"/>
      <c r="AW93" s="20"/>
      <c r="AX93" s="20"/>
      <c r="AY93" s="20"/>
      <c r="AZ93" s="20"/>
      <c r="BD93" s="1247" t="s">
        <v>2583</v>
      </c>
      <c r="BE93" s="1249" t="str">
        <f>Application!W234</f>
        <v>GA</v>
      </c>
    </row>
    <row r="94" spans="1:57" ht="12.95" customHeight="1">
      <c r="A94" s="1573"/>
      <c r="B94" s="1573"/>
      <c r="C94" s="1573"/>
      <c r="D94" s="1573"/>
      <c r="E94" s="1573"/>
      <c r="F94" s="1573"/>
      <c r="G94" s="1573"/>
      <c r="H94" s="1573"/>
      <c r="I94" s="1573"/>
      <c r="J94" s="1573"/>
      <c r="K94" s="1573"/>
      <c r="L94" s="1573"/>
      <c r="M94" s="1573"/>
      <c r="N94" s="1573"/>
      <c r="O94" s="1573"/>
      <c r="P94" s="1573"/>
      <c r="Q94" s="1573"/>
      <c r="R94" s="1573"/>
      <c r="S94" s="1573"/>
      <c r="T94" s="1573"/>
      <c r="U94" s="1573"/>
      <c r="V94" s="1573"/>
      <c r="W94" s="1573"/>
      <c r="X94" s="1573"/>
      <c r="Y94" s="1573"/>
      <c r="Z94" s="1573"/>
      <c r="AA94" s="1573"/>
      <c r="AB94" s="1573"/>
      <c r="AC94" s="1573"/>
      <c r="AD94" s="1573"/>
      <c r="AE94" s="1573"/>
      <c r="AF94" s="1573"/>
      <c r="AG94" s="1573"/>
      <c r="AH94" s="1573"/>
      <c r="AI94" s="1573"/>
      <c r="AJ94" s="1573"/>
      <c r="AK94" s="1573"/>
      <c r="AL94" s="1573"/>
      <c r="AM94" s="1573"/>
      <c r="AN94" s="1573"/>
      <c r="AO94" s="1573"/>
      <c r="AP94" s="1573"/>
      <c r="AQ94" s="1573"/>
      <c r="AR94" s="1573"/>
      <c r="AS94" s="1573"/>
      <c r="AT94" s="1573"/>
      <c r="AU94" s="20"/>
      <c r="AV94" s="20"/>
      <c r="AW94" s="20"/>
      <c r="AX94" s="20"/>
      <c r="AY94" s="20"/>
      <c r="AZ94" s="20"/>
      <c r="BD94" s="1248" t="s">
        <v>2584</v>
      </c>
      <c r="BE94" s="1249">
        <f>Application!AC234</f>
        <v>30621</v>
      </c>
    </row>
    <row r="95" spans="1:57" ht="12.95" customHeight="1">
      <c r="A95" s="1573"/>
      <c r="B95" s="1573"/>
      <c r="C95" s="1573"/>
      <c r="D95" s="1573"/>
      <c r="E95" s="1573"/>
      <c r="F95" s="1573"/>
      <c r="G95" s="1573"/>
      <c r="H95" s="1573"/>
      <c r="I95" s="1573"/>
      <c r="J95" s="1573"/>
      <c r="K95" s="1573"/>
      <c r="L95" s="1573"/>
      <c r="M95" s="1573"/>
      <c r="N95" s="1573"/>
      <c r="O95" s="1573"/>
      <c r="P95" s="1573"/>
      <c r="Q95" s="1573"/>
      <c r="R95" s="1573"/>
      <c r="S95" s="1573"/>
      <c r="T95" s="1573"/>
      <c r="U95" s="1573"/>
      <c r="V95" s="1573"/>
      <c r="W95" s="1573"/>
      <c r="X95" s="1573"/>
      <c r="Y95" s="1573"/>
      <c r="Z95" s="1573"/>
      <c r="AA95" s="1573"/>
      <c r="AB95" s="1573"/>
      <c r="AC95" s="1573"/>
      <c r="AD95" s="1573"/>
      <c r="AE95" s="1573"/>
      <c r="AF95" s="1573"/>
      <c r="AG95" s="1573"/>
      <c r="AH95" s="1573"/>
      <c r="AI95" s="1573"/>
      <c r="AJ95" s="1573"/>
      <c r="AK95" s="1573"/>
      <c r="AL95" s="1573"/>
      <c r="AM95" s="1573"/>
      <c r="AN95" s="1573"/>
      <c r="AO95" s="1573"/>
      <c r="AP95" s="1573"/>
      <c r="AQ95" s="1573"/>
      <c r="AR95" s="1573"/>
      <c r="AS95" s="1573"/>
      <c r="AT95" s="1573"/>
      <c r="AU95" s="20"/>
      <c r="AV95" s="20"/>
      <c r="AW95" s="20"/>
      <c r="AX95" s="20"/>
      <c r="AY95" s="20"/>
      <c r="AZ95" s="20"/>
      <c r="BD95" s="1247" t="s">
        <v>2585</v>
      </c>
      <c r="BE95" s="1249" t="str">
        <f>Application!M235</f>
        <v>Mark Kemp</v>
      </c>
    </row>
    <row r="96" spans="1:57" ht="12.95" customHeight="1">
      <c r="A96" s="1573"/>
      <c r="B96" s="1573"/>
      <c r="C96" s="1573"/>
      <c r="D96" s="1573"/>
      <c r="E96" s="1573"/>
      <c r="F96" s="1573"/>
      <c r="G96" s="1573"/>
      <c r="H96" s="1573"/>
      <c r="I96" s="1573"/>
      <c r="J96" s="1573"/>
      <c r="K96" s="1573"/>
      <c r="L96" s="1573"/>
      <c r="M96" s="1573"/>
      <c r="N96" s="1573"/>
      <c r="O96" s="1573"/>
      <c r="P96" s="1573"/>
      <c r="Q96" s="1573"/>
      <c r="R96" s="1573"/>
      <c r="S96" s="1573"/>
      <c r="T96" s="1573"/>
      <c r="U96" s="1573"/>
      <c r="V96" s="1573"/>
      <c r="W96" s="1573"/>
      <c r="X96" s="1573"/>
      <c r="Y96" s="1573"/>
      <c r="Z96" s="1573"/>
      <c r="AA96" s="1573"/>
      <c r="AB96" s="1573"/>
      <c r="AC96" s="1573"/>
      <c r="AD96" s="1573"/>
      <c r="AE96" s="1573"/>
      <c r="AF96" s="1573"/>
      <c r="AG96" s="1573"/>
      <c r="AH96" s="1573"/>
      <c r="AI96" s="1573"/>
      <c r="AJ96" s="1573"/>
      <c r="AK96" s="1573"/>
      <c r="AL96" s="1573"/>
      <c r="AM96" s="1573"/>
      <c r="AN96" s="1573"/>
      <c r="AO96" s="1573"/>
      <c r="AP96" s="1573"/>
      <c r="AQ96" s="1573"/>
      <c r="AR96" s="1573"/>
      <c r="AS96" s="1573"/>
      <c r="AT96" s="1573"/>
      <c r="AU96" s="20"/>
      <c r="AV96" s="20"/>
      <c r="AW96" s="20"/>
      <c r="AX96" s="20"/>
      <c r="AY96" s="20"/>
      <c r="AZ96" s="20"/>
      <c r="BD96" s="1248" t="s">
        <v>2586</v>
      </c>
      <c r="BE96" s="1249" t="str">
        <f>Application!M237</f>
        <v>mkemp@rebuildamericainc.com</v>
      </c>
    </row>
    <row r="97" spans="1:57" ht="12.95" customHeight="1">
      <c r="A97" s="1573"/>
      <c r="B97" s="1573"/>
      <c r="C97" s="1573"/>
      <c r="D97" s="1573"/>
      <c r="E97" s="1573"/>
      <c r="F97" s="1573"/>
      <c r="G97" s="1573"/>
      <c r="H97" s="1573"/>
      <c r="I97" s="1573"/>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3"/>
      <c r="AH97" s="1573"/>
      <c r="AI97" s="1573"/>
      <c r="AJ97" s="1573"/>
      <c r="AK97" s="1573"/>
      <c r="AL97" s="1573"/>
      <c r="AM97" s="1573"/>
      <c r="AN97" s="1573"/>
      <c r="AO97" s="1573"/>
      <c r="AP97" s="1573"/>
      <c r="AQ97" s="1573"/>
      <c r="AR97" s="1573"/>
      <c r="AS97" s="1573"/>
      <c r="AT97" s="1573"/>
      <c r="AU97" s="20"/>
      <c r="AV97" s="20"/>
      <c r="AW97" s="20"/>
      <c r="AX97" s="20"/>
      <c r="AY97" s="20"/>
      <c r="AZ97" s="20"/>
      <c r="BD97" s="1247" t="s">
        <v>2587</v>
      </c>
      <c r="BE97" s="1249" t="str">
        <f>Application!M248</f>
        <v>mkemp@rebuildamericainc.com</v>
      </c>
    </row>
    <row r="98" spans="1:57" ht="12.95" customHeight="1">
      <c r="A98" s="1573"/>
      <c r="B98" s="1573"/>
      <c r="C98" s="1573"/>
      <c r="D98" s="1573"/>
      <c r="E98" s="1573"/>
      <c r="F98" s="1573"/>
      <c r="G98" s="1573"/>
      <c r="H98" s="1573"/>
      <c r="I98" s="1573"/>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3"/>
      <c r="AH98" s="1573"/>
      <c r="AI98" s="1573"/>
      <c r="AJ98" s="1573"/>
      <c r="AK98" s="1573"/>
      <c r="AL98" s="1573"/>
      <c r="AM98" s="1573"/>
      <c r="AN98" s="1573"/>
      <c r="AO98" s="1573"/>
      <c r="AP98" s="1573"/>
      <c r="AQ98" s="1573"/>
      <c r="AR98" s="1573"/>
      <c r="AS98" s="1573"/>
      <c r="AT98" s="1573"/>
      <c r="AU98" s="20"/>
      <c r="AV98" s="20"/>
      <c r="AW98" s="20"/>
      <c r="AX98" s="20"/>
      <c r="AY98" s="20"/>
      <c r="AZ98" s="20"/>
      <c r="BD98" s="1248" t="s">
        <v>2588</v>
      </c>
      <c r="BE98" s="1249" t="str">
        <f>Application!M256</f>
        <v>david@crdc.com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5" customHeight="1">
      <c r="A100" s="1581" t="s">
        <v>2163</v>
      </c>
      <c r="B100" s="1581"/>
      <c r="C100" s="1581"/>
      <c r="D100" s="1581"/>
      <c r="E100" s="1581"/>
      <c r="F100" s="1581"/>
      <c r="G100" s="1581"/>
      <c r="H100" s="1581"/>
      <c r="I100" s="1581"/>
      <c r="J100" s="1581"/>
      <c r="K100" s="1581"/>
      <c r="L100" s="1581"/>
      <c r="M100" s="1581"/>
      <c r="N100" s="1581"/>
      <c r="O100" s="1581"/>
      <c r="P100" s="1581"/>
      <c r="Q100" s="1581"/>
      <c r="R100" s="1581"/>
      <c r="S100" s="1581"/>
      <c r="T100" s="1581"/>
      <c r="U100" s="1581"/>
      <c r="V100" s="1581"/>
      <c r="W100" s="1581"/>
      <c r="X100" s="1581"/>
      <c r="Y100" s="1581"/>
      <c r="Z100" s="1581"/>
      <c r="AA100" s="1581"/>
      <c r="AB100" s="1581"/>
      <c r="AC100" s="1581"/>
      <c r="AD100" s="1581"/>
      <c r="AE100" s="1581"/>
      <c r="AF100" s="1581"/>
      <c r="AG100" s="1581"/>
      <c r="AH100" s="1581"/>
      <c r="AI100" s="1581"/>
      <c r="AJ100" s="1581"/>
      <c r="AK100" s="1581"/>
      <c r="AL100" s="1581"/>
      <c r="AM100" s="1581"/>
      <c r="AN100" s="1581"/>
      <c r="AO100" s="1581"/>
      <c r="AP100" s="1581"/>
      <c r="AQ100" s="1581"/>
      <c r="AR100" s="1581"/>
      <c r="AS100" s="1581"/>
      <c r="AT100" s="1581"/>
      <c r="AU100" s="20"/>
      <c r="AV100" s="20"/>
      <c r="AW100" s="20"/>
      <c r="AX100" s="20"/>
      <c r="AY100" s="20"/>
      <c r="AZ100" s="20"/>
      <c r="BD100" s="1248" t="s">
        <v>2590</v>
      </c>
      <c r="BE100" s="1249" t="str">
        <f>Application!L279</f>
        <v>awatson@mansermar.com</v>
      </c>
    </row>
    <row r="101" spans="1:57" ht="12.95" customHeight="1">
      <c r="A101" s="1581"/>
      <c r="B101" s="1581"/>
      <c r="C101" s="1581"/>
      <c r="D101" s="1581"/>
      <c r="E101" s="1581"/>
      <c r="F101" s="1581"/>
      <c r="G101" s="1581"/>
      <c r="H101" s="1581"/>
      <c r="I101" s="1581"/>
      <c r="J101" s="1581"/>
      <c r="K101" s="1581"/>
      <c r="L101" s="1581"/>
      <c r="M101" s="1581"/>
      <c r="N101" s="1581"/>
      <c r="O101" s="1581"/>
      <c r="P101" s="1581"/>
      <c r="Q101" s="1581"/>
      <c r="R101" s="1581"/>
      <c r="S101" s="1581"/>
      <c r="T101" s="1581"/>
      <c r="U101" s="1581"/>
      <c r="V101" s="1581"/>
      <c r="W101" s="1581"/>
      <c r="X101" s="1581"/>
      <c r="Y101" s="1581"/>
      <c r="Z101" s="1581"/>
      <c r="AA101" s="1581"/>
      <c r="AB101" s="1581"/>
      <c r="AC101" s="1581"/>
      <c r="AD101" s="1581"/>
      <c r="AE101" s="1581"/>
      <c r="AF101" s="1581"/>
      <c r="AG101" s="1581"/>
      <c r="AH101" s="1581"/>
      <c r="AI101" s="1581"/>
      <c r="AJ101" s="1581"/>
      <c r="AK101" s="1581"/>
      <c r="AL101" s="1581"/>
      <c r="AM101" s="1581"/>
      <c r="AN101" s="1581"/>
      <c r="AO101" s="1581"/>
      <c r="AP101" s="1581"/>
      <c r="AQ101" s="1581"/>
      <c r="AR101" s="1581"/>
      <c r="AS101" s="1581"/>
      <c r="AT101" s="1581"/>
      <c r="AU101" s="20"/>
      <c r="AV101" s="20"/>
      <c r="AW101" s="20"/>
      <c r="AX101" s="20"/>
      <c r="AY101" s="20"/>
      <c r="AZ101" s="20"/>
      <c r="BD101" s="3" t="s">
        <v>2595</v>
      </c>
      <c r="BE101">
        <f>'Sources and Uses Budget'!C105</f>
        <v>72842415</v>
      </c>
    </row>
    <row r="102" spans="1:57" ht="12.95" customHeight="1">
      <c r="A102" s="1581"/>
      <c r="B102" s="1581"/>
      <c r="C102" s="1581"/>
      <c r="D102" s="1581"/>
      <c r="E102" s="1581"/>
      <c r="F102" s="1581"/>
      <c r="G102" s="1581"/>
      <c r="H102" s="1581"/>
      <c r="I102" s="1581"/>
      <c r="J102" s="1581"/>
      <c r="K102" s="1581"/>
      <c r="L102" s="1581"/>
      <c r="M102" s="1581"/>
      <c r="N102" s="1581"/>
      <c r="O102" s="1581"/>
      <c r="P102" s="1581"/>
      <c r="Q102" s="1581"/>
      <c r="R102" s="1581"/>
      <c r="S102" s="1581"/>
      <c r="T102" s="1581"/>
      <c r="U102" s="1581"/>
      <c r="V102" s="1581"/>
      <c r="W102" s="1581"/>
      <c r="X102" s="1581"/>
      <c r="Y102" s="1581"/>
      <c r="Z102" s="1581"/>
      <c r="AA102" s="1581"/>
      <c r="AB102" s="1581"/>
      <c r="AC102" s="1581"/>
      <c r="AD102" s="1581"/>
      <c r="AE102" s="1581"/>
      <c r="AF102" s="1581"/>
      <c r="AG102" s="1581"/>
      <c r="AH102" s="1581"/>
      <c r="AI102" s="1581"/>
      <c r="AJ102" s="1581"/>
      <c r="AK102" s="1581"/>
      <c r="AL102" s="1581"/>
      <c r="AM102" s="1581"/>
      <c r="AN102" s="1581"/>
      <c r="AO102" s="1581"/>
      <c r="AP102" s="1581"/>
      <c r="AQ102" s="1581"/>
      <c r="AR102" s="1581"/>
      <c r="AS102" s="1581"/>
      <c r="AT102" s="1581"/>
      <c r="AU102" s="20"/>
      <c r="AV102" s="20"/>
      <c r="AW102" s="20"/>
      <c r="AX102" s="20"/>
      <c r="AY102" s="20"/>
      <c r="AZ102" s="20"/>
      <c r="BD102" s="3" t="s">
        <v>2596</v>
      </c>
      <c r="BE102" t="b">
        <f>T197="Yes"</f>
        <v>0</v>
      </c>
    </row>
    <row r="103" spans="1:57" ht="12.95" customHeight="1">
      <c r="A103" s="1581"/>
      <c r="B103" s="1581"/>
      <c r="C103" s="1581"/>
      <c r="D103" s="1581"/>
      <c r="E103" s="1581"/>
      <c r="F103" s="1581"/>
      <c r="G103" s="1581"/>
      <c r="H103" s="1581"/>
      <c r="I103" s="1581"/>
      <c r="J103" s="1581"/>
      <c r="K103" s="1581"/>
      <c r="L103" s="1581"/>
      <c r="M103" s="1581"/>
      <c r="N103" s="1581"/>
      <c r="O103" s="1581"/>
      <c r="P103" s="1581"/>
      <c r="Q103" s="1581"/>
      <c r="R103" s="1581"/>
      <c r="S103" s="1581"/>
      <c r="T103" s="1581"/>
      <c r="U103" s="1581"/>
      <c r="V103" s="1581"/>
      <c r="W103" s="1581"/>
      <c r="X103" s="1581"/>
      <c r="Y103" s="1581"/>
      <c r="Z103" s="1581"/>
      <c r="AA103" s="1581"/>
      <c r="AB103" s="1581"/>
      <c r="AC103" s="1581"/>
      <c r="AD103" s="1581"/>
      <c r="AE103" s="1581"/>
      <c r="AF103" s="1581"/>
      <c r="AG103" s="1581"/>
      <c r="AH103" s="1581"/>
      <c r="AI103" s="1581"/>
      <c r="AJ103" s="1581"/>
      <c r="AK103" s="1581"/>
      <c r="AL103" s="1581"/>
      <c r="AM103" s="1581"/>
      <c r="AN103" s="1581"/>
      <c r="AO103" s="1581"/>
      <c r="AP103" s="1581"/>
      <c r="AQ103" s="1581"/>
      <c r="AR103" s="1581"/>
      <c r="AS103" s="1581"/>
      <c r="AT103" s="1581"/>
      <c r="AU103" s="20"/>
      <c r="AV103" s="20"/>
      <c r="AW103" s="20"/>
      <c r="AX103" s="20"/>
      <c r="AY103" s="20"/>
      <c r="BD103" t="s">
        <v>2173</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81" t="s">
        <v>2164</v>
      </c>
      <c r="B105" s="1581"/>
      <c r="C105" s="1581"/>
      <c r="D105" s="1581"/>
      <c r="E105" s="1581"/>
      <c r="F105" s="1581"/>
      <c r="G105" s="1581"/>
      <c r="H105" s="1581"/>
      <c r="I105" s="1581"/>
      <c r="J105" s="1581"/>
      <c r="K105" s="1581"/>
      <c r="L105" s="1581"/>
      <c r="M105" s="1581"/>
      <c r="N105" s="1581"/>
      <c r="O105" s="1581"/>
      <c r="P105" s="1581"/>
      <c r="Q105" s="1581"/>
      <c r="R105" s="1581"/>
      <c r="S105" s="1581"/>
      <c r="T105" s="1581"/>
      <c r="U105" s="1581"/>
      <c r="V105" s="1581"/>
      <c r="W105" s="1581"/>
      <c r="X105" s="1581"/>
      <c r="Y105" s="1581"/>
      <c r="Z105" s="1581"/>
      <c r="AA105" s="1581"/>
      <c r="AB105" s="1581"/>
      <c r="AC105" s="1581"/>
      <c r="AD105" s="1581"/>
      <c r="AE105" s="1581"/>
      <c r="AF105" s="1581"/>
      <c r="AG105" s="1581"/>
      <c r="AH105" s="1581"/>
      <c r="AI105" s="1581"/>
      <c r="AJ105" s="1581"/>
      <c r="AK105" s="1581"/>
      <c r="AL105" s="1581"/>
      <c r="AM105" s="1581"/>
      <c r="AN105" s="1581"/>
      <c r="AO105" s="1581"/>
      <c r="AP105" s="1581"/>
      <c r="AQ105" s="1581"/>
      <c r="AR105" s="1581"/>
      <c r="AS105" s="1581"/>
      <c r="AT105" s="1581"/>
      <c r="AU105" s="20"/>
      <c r="AV105" s="20"/>
      <c r="AW105" s="20"/>
      <c r="AX105" s="20"/>
      <c r="AY105" s="20"/>
    </row>
    <row r="106" spans="1:57" ht="12.95" customHeight="1">
      <c r="A106" s="1581"/>
      <c r="B106" s="1581"/>
      <c r="C106" s="1581"/>
      <c r="D106" s="1581"/>
      <c r="E106" s="1581"/>
      <c r="F106" s="1581"/>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c r="AB106" s="1581"/>
      <c r="AC106" s="1581"/>
      <c r="AD106" s="1581"/>
      <c r="AE106" s="1581"/>
      <c r="AF106" s="1581"/>
      <c r="AG106" s="1581"/>
      <c r="AH106" s="1581"/>
      <c r="AI106" s="1581"/>
      <c r="AJ106" s="1581"/>
      <c r="AK106" s="1581"/>
      <c r="AL106" s="1581"/>
      <c r="AM106" s="1581"/>
      <c r="AN106" s="1581"/>
      <c r="AO106" s="1581"/>
      <c r="AP106" s="1581"/>
      <c r="AQ106" s="1581"/>
      <c r="AR106" s="1581"/>
      <c r="AS106" s="1581"/>
      <c r="AT106" s="1581"/>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64">
        <v>9</v>
      </c>
      <c r="H113" s="1564"/>
      <c r="I113" s="3" t="s">
        <v>182</v>
      </c>
      <c r="L113" s="1564" t="s">
        <v>2617</v>
      </c>
      <c r="M113" s="1564"/>
      <c r="N113" s="1564"/>
      <c r="O113" s="1564"/>
      <c r="P113" s="1570" t="s">
        <v>2237</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76" t="s">
        <v>2618</v>
      </c>
      <c r="D115" s="1576"/>
      <c r="E115" s="1576"/>
      <c r="F115" s="1576"/>
      <c r="G115" s="1576"/>
      <c r="H115" s="1576"/>
      <c r="I115" s="1576"/>
      <c r="J115" s="1576"/>
      <c r="K115" s="1576"/>
      <c r="L115" s="202" t="s">
        <v>2619</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64"/>
      <c r="Z117" s="1564"/>
      <c r="AA117" s="1564"/>
      <c r="AB117" s="1564"/>
      <c r="AC117" s="1564"/>
      <c r="AD117" s="1564"/>
      <c r="AE117" s="1564"/>
      <c r="AF117" s="1564"/>
      <c r="AG117" s="1564"/>
      <c r="AH117" s="1564"/>
      <c r="AI117" s="1564"/>
      <c r="AJ117" s="1564"/>
      <c r="AK117" s="156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64" t="s">
        <v>2620</v>
      </c>
      <c r="Z120" s="1564"/>
      <c r="AA120" s="1564"/>
      <c r="AB120" s="1564"/>
      <c r="AC120" s="1564"/>
      <c r="AD120" s="1564"/>
      <c r="AE120" s="1564"/>
      <c r="AF120" s="1564"/>
      <c r="AG120" s="1564"/>
      <c r="AH120" s="1564"/>
      <c r="AI120" s="1564"/>
      <c r="AJ120" s="1564"/>
      <c r="AK120" s="156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1" t="s">
        <v>469</v>
      </c>
      <c r="CV122" s="1692"/>
      <c r="CW122" s="14"/>
      <c r="CX122" s="14" t="s">
        <v>633</v>
      </c>
      <c r="CY122" s="14"/>
      <c r="CZ122" s="14"/>
      <c r="DA122" s="14"/>
      <c r="DB122" s="14"/>
      <c r="DC122" s="14"/>
      <c r="DD122" s="14"/>
      <c r="DE122" s="14"/>
      <c r="DF122" s="14"/>
      <c r="DG122" s="1688" t="str">
        <f>T189</f>
        <v>Los Angeles</v>
      </c>
      <c r="DH122" s="1689"/>
      <c r="DI122" s="1689"/>
      <c r="DJ122" s="1689"/>
      <c r="DK122" s="1689"/>
      <c r="DL122" s="1689"/>
      <c r="DM122" s="1690"/>
    </row>
    <row r="123" spans="1:117" ht="12.95" customHeight="1">
      <c r="A123" s="3"/>
      <c r="B123" s="3"/>
      <c r="T123" s="3"/>
      <c r="U123" s="3"/>
      <c r="V123" s="3"/>
      <c r="W123" s="3"/>
      <c r="X123" s="3"/>
      <c r="Y123" s="1564" t="s">
        <v>2621</v>
      </c>
      <c r="Z123" s="1564"/>
      <c r="AA123" s="1564"/>
      <c r="AB123" s="1564"/>
      <c r="AC123" s="1564"/>
      <c r="AD123" s="1564"/>
      <c r="AE123" s="1564"/>
      <c r="AF123" s="1564"/>
      <c r="AG123" s="1564"/>
      <c r="AH123" s="1564"/>
      <c r="AI123" s="1564"/>
      <c r="AJ123" s="1564"/>
      <c r="AK123" s="156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644</v>
      </c>
      <c r="O153" s="1549" t="s">
        <v>874</v>
      </c>
      <c r="P153" s="1549"/>
      <c r="Q153" s="1549"/>
      <c r="R153" s="1549"/>
      <c r="S153" s="1549"/>
      <c r="T153" s="1549"/>
      <c r="U153" s="1549"/>
      <c r="V153" s="1549"/>
      <c r="W153" s="1549"/>
      <c r="X153" s="1549"/>
      <c r="Y153" s="1549"/>
      <c r="Z153" s="1549"/>
      <c r="AA153" s="1549"/>
      <c r="AB153" s="1549"/>
      <c r="AC153" s="1549"/>
      <c r="AD153" s="1549"/>
      <c r="AE153" s="1549"/>
      <c r="AF153" s="1549"/>
      <c r="AG153" s="1549"/>
      <c r="AH153" s="1549"/>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439</v>
      </c>
      <c r="O154" s="1554" t="s">
        <v>2622</v>
      </c>
      <c r="P154" s="1554"/>
      <c r="Q154" s="1554"/>
      <c r="R154" s="1554"/>
      <c r="S154" s="1554"/>
      <c r="T154" s="1554"/>
      <c r="U154" s="1554"/>
      <c r="V154" s="1554"/>
      <c r="W154" s="1554"/>
      <c r="X154" s="1554"/>
      <c r="Y154" s="1554"/>
      <c r="Z154" s="1554"/>
      <c r="AA154" s="1554"/>
      <c r="AB154" s="1554"/>
      <c r="AC154" s="1554"/>
      <c r="AD154" s="1554"/>
      <c r="AE154" s="1554"/>
      <c r="AF154" s="1554"/>
      <c r="AG154" s="1554"/>
      <c r="AH154" s="1554"/>
      <c r="BM154">
        <v>6</v>
      </c>
      <c r="BN154" s="3" t="s">
        <v>2465</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58" t="s">
        <v>440</v>
      </c>
      <c r="P155" s="1558"/>
      <c r="Q155" s="1558"/>
      <c r="R155" s="1558"/>
      <c r="S155" s="1558"/>
      <c r="T155" s="1558"/>
      <c r="U155" s="1558"/>
      <c r="V155" s="1558"/>
      <c r="W155" s="1558"/>
      <c r="X155" s="1558"/>
      <c r="Y155" s="1558"/>
      <c r="Z155" s="1558"/>
      <c r="AA155" s="1558"/>
      <c r="AB155" s="1558"/>
      <c r="AC155" s="1558"/>
      <c r="AD155" s="1558"/>
      <c r="AE155" s="1558"/>
      <c r="AF155" s="1558"/>
      <c r="AG155" s="1558"/>
      <c r="AH155" s="155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23" t="s">
        <v>2623</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307</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49" t="s">
        <v>494</v>
      </c>
      <c r="P157" s="1549"/>
      <c r="Q157" s="1549"/>
      <c r="R157" s="1549"/>
      <c r="S157" s="1549"/>
      <c r="T157" s="1549"/>
      <c r="U157" s="1549"/>
      <c r="V157" s="1549"/>
      <c r="W157" s="1549"/>
      <c r="X157" s="1549"/>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84">
        <v>90017</v>
      </c>
      <c r="P158" s="1584"/>
      <c r="Q158" s="1584"/>
      <c r="R158" s="1584"/>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855">
        <v>2138088596</v>
      </c>
      <c r="P159" s="1855"/>
      <c r="Q159" s="1855"/>
      <c r="R159" s="1855"/>
      <c r="S159" s="1855"/>
      <c r="T159" s="1855"/>
      <c r="V159" s="97" t="s">
        <v>271</v>
      </c>
      <c r="W159" s="1585"/>
      <c r="X159" s="1585"/>
      <c r="Y159" s="10"/>
      <c r="Z159" s="10"/>
      <c r="AA159" s="10"/>
      <c r="AB159" s="10"/>
      <c r="AC159" s="10"/>
      <c r="AD159" s="10"/>
      <c r="AE159" s="10"/>
      <c r="AF159" s="10"/>
      <c r="BN159" s="23" t="s">
        <v>338</v>
      </c>
      <c r="BS159">
        <v>7</v>
      </c>
      <c r="BT159" t="s">
        <v>478</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460</v>
      </c>
      <c r="CX159" s="14"/>
      <c r="CY159" s="14"/>
      <c r="CZ159" s="71" t="s">
        <v>632</v>
      </c>
      <c r="DA159" s="72" t="s">
        <v>325</v>
      </c>
      <c r="DB159" s="72" t="s">
        <v>163</v>
      </c>
      <c r="DC159" s="72" t="s">
        <v>164</v>
      </c>
      <c r="DD159" s="72" t="s">
        <v>460</v>
      </c>
    </row>
    <row r="160" spans="1:108" ht="12.95" customHeight="1">
      <c r="D160" t="s">
        <v>317</v>
      </c>
      <c r="O160" s="1855">
        <v>2138088910</v>
      </c>
      <c r="P160" s="1855"/>
      <c r="Q160" s="1855"/>
      <c r="R160" s="1855"/>
      <c r="S160" s="1855"/>
      <c r="T160" s="1855"/>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565" t="s">
        <v>2624</v>
      </c>
      <c r="P161" s="1565"/>
      <c r="Q161" s="1565"/>
      <c r="R161" s="1565"/>
      <c r="S161" s="1565"/>
      <c r="T161" s="1565"/>
      <c r="U161" s="1565"/>
      <c r="V161" s="1565"/>
      <c r="W161" s="1565"/>
      <c r="X161" s="1565"/>
      <c r="Y161" s="1565"/>
      <c r="Z161" s="1565"/>
      <c r="AA161" s="1565"/>
      <c r="AB161" s="1565"/>
      <c r="AC161" s="1565"/>
      <c r="AD161" s="1565"/>
      <c r="AE161" s="1565"/>
      <c r="AF161" s="1565"/>
      <c r="AG161" s="1565"/>
      <c r="AH161" s="1565"/>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577" t="s">
        <v>2214</v>
      </c>
      <c r="E164" s="1577"/>
      <c r="F164" s="1577"/>
      <c r="G164" s="1577"/>
      <c r="H164" s="1577"/>
      <c r="I164" s="1577"/>
      <c r="J164" s="1577"/>
      <c r="K164" s="1577"/>
      <c r="L164" s="1577"/>
      <c r="M164" s="1577"/>
      <c r="N164" s="1577"/>
      <c r="O164" s="1577"/>
      <c r="P164" s="1577"/>
      <c r="Q164" s="1577"/>
      <c r="R164" s="1577"/>
      <c r="S164" s="1577"/>
      <c r="T164" s="1577"/>
      <c r="U164" s="1577"/>
      <c r="V164" s="1577"/>
      <c r="W164" s="1577"/>
      <c r="X164" s="1577"/>
      <c r="Y164" s="1577"/>
      <c r="Z164" s="1577"/>
      <c r="AA164" s="1577"/>
      <c r="AB164" s="1577"/>
      <c r="AC164" s="1577"/>
      <c r="AD164" s="1577"/>
      <c r="AE164" s="1577"/>
      <c r="AF164" s="1577"/>
      <c r="AG164" s="1577"/>
      <c r="AH164" s="1577"/>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560" t="s">
        <v>539</v>
      </c>
      <c r="B169" s="1560"/>
      <c r="C169" s="1560"/>
      <c r="D169" s="1560"/>
      <c r="E169" s="1560"/>
      <c r="F169" s="1560"/>
      <c r="G169" s="1560"/>
      <c r="H169" s="1560"/>
      <c r="I169" s="1560"/>
      <c r="J169" s="1560"/>
      <c r="K169" s="1560"/>
      <c r="L169" s="1560"/>
      <c r="M169" s="1560"/>
      <c r="N169" s="1560"/>
      <c r="O169" s="1560"/>
      <c r="P169" s="1560"/>
      <c r="Q169" s="1560"/>
      <c r="R169" s="1560"/>
      <c r="S169" s="1560"/>
      <c r="T169" s="1560"/>
      <c r="U169" s="1560"/>
      <c r="V169" s="1560"/>
      <c r="W169" s="1560"/>
      <c r="X169" s="1560"/>
      <c r="Y169" s="1560"/>
      <c r="Z169" s="1560"/>
      <c r="AA169" s="1560"/>
      <c r="AB169" s="1560"/>
      <c r="AC169" s="1560"/>
      <c r="AD169" s="1560"/>
      <c r="AE169" s="1560"/>
      <c r="AF169" s="1560"/>
      <c r="AG169" s="1560"/>
      <c r="AH169" s="1560"/>
      <c r="AI169" s="1560"/>
      <c r="AJ169" s="1560"/>
      <c r="AK169" s="1560"/>
      <c r="AL169" s="1560"/>
      <c r="AM169" s="1560"/>
      <c r="AN169" s="1560"/>
      <c r="AO169" s="1560"/>
      <c r="AP169" s="1560"/>
      <c r="AQ169" s="1560"/>
      <c r="AR169" s="1560"/>
      <c r="AS169" s="1560"/>
      <c r="AT169" s="1560"/>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560"/>
      <c r="B170" s="1560"/>
      <c r="C170" s="1560"/>
      <c r="D170" s="1560"/>
      <c r="E170" s="1560"/>
      <c r="F170" s="1560"/>
      <c r="G170" s="1560"/>
      <c r="H170" s="1560"/>
      <c r="I170" s="1560"/>
      <c r="J170" s="1560"/>
      <c r="K170" s="1560"/>
      <c r="L170" s="1560"/>
      <c r="M170" s="1560"/>
      <c r="N170" s="1560"/>
      <c r="O170" s="1560"/>
      <c r="P170" s="1560"/>
      <c r="Q170" s="1560"/>
      <c r="R170" s="1560"/>
      <c r="S170" s="1560"/>
      <c r="T170" s="1560"/>
      <c r="U170" s="1560"/>
      <c r="V170" s="1560"/>
      <c r="W170" s="1560"/>
      <c r="X170" s="1560"/>
      <c r="Y170" s="1560"/>
      <c r="Z170" s="1560"/>
      <c r="AA170" s="1560"/>
      <c r="AB170" s="1560"/>
      <c r="AC170" s="1560"/>
      <c r="AD170" s="1560"/>
      <c r="AE170" s="1560"/>
      <c r="AF170" s="1560"/>
      <c r="AG170" s="1560"/>
      <c r="AH170" s="1560"/>
      <c r="AI170" s="1560"/>
      <c r="AJ170" s="1560"/>
      <c r="AK170" s="1560"/>
      <c r="AL170" s="1560"/>
      <c r="AM170" s="1560"/>
      <c r="AN170" s="1560"/>
      <c r="AO170" s="1560"/>
      <c r="AP170" s="1560"/>
      <c r="AQ170" s="1560"/>
      <c r="AR170" s="1560"/>
      <c r="AS170" s="1560"/>
      <c r="AT170" s="1560"/>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557" t="s">
        <v>370</v>
      </c>
      <c r="K173" s="1557"/>
      <c r="L173" s="1557"/>
      <c r="M173" s="1557"/>
      <c r="N173" s="1557"/>
      <c r="O173" s="1557"/>
      <c r="P173" s="1557"/>
      <c r="Q173" s="1557"/>
      <c r="R173" s="1557"/>
      <c r="S173" s="155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423" t="s">
        <v>2099</v>
      </c>
      <c r="K174" s="1423"/>
      <c r="L174" s="1423"/>
      <c r="M174" s="1423"/>
      <c r="N174" s="1423"/>
      <c r="O174" s="1423"/>
      <c r="P174" s="1423"/>
      <c r="Q174" s="1423"/>
      <c r="R174" s="1423"/>
      <c r="S174" s="1423"/>
      <c r="T174" s="1423"/>
      <c r="U174" s="1423"/>
      <c r="V174" s="1423"/>
      <c r="W174" s="1423"/>
      <c r="X174" s="1423"/>
      <c r="Y174" s="1423"/>
      <c r="Z174" s="1423"/>
      <c r="AA174" s="1423"/>
      <c r="AB174" s="1423"/>
      <c r="BB174" t="s">
        <v>1967</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508" t="s">
        <v>545</v>
      </c>
      <c r="V175" s="1508"/>
      <c r="BB175" t="s">
        <v>1935</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519">
        <v>25</v>
      </c>
      <c r="V176" s="1519"/>
      <c r="W176" s="1" t="s">
        <v>306</v>
      </c>
      <c r="X176" s="1857">
        <v>485</v>
      </c>
      <c r="Y176" s="1857"/>
      <c r="BB176" t="s">
        <v>1968</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508" t="s">
        <v>668</v>
      </c>
      <c r="S177" s="1508"/>
      <c r="BB177" t="s">
        <v>2211</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856"/>
      <c r="AG178" s="1856"/>
      <c r="AH178" s="1" t="s">
        <v>306</v>
      </c>
      <c r="AI178" s="1534"/>
      <c r="AJ178" s="1534"/>
      <c r="AK178" s="1534"/>
      <c r="BB178" t="s">
        <v>2212</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508" t="s">
        <v>668</v>
      </c>
      <c r="Y180" s="1508"/>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496" t="str">
        <f>H18</f>
        <v>Castlewood Terrace</v>
      </c>
      <c r="J184" s="1496"/>
      <c r="K184" s="1496"/>
      <c r="L184" s="1496"/>
      <c r="M184" s="1496"/>
      <c r="N184" s="1496"/>
      <c r="O184" s="1496"/>
      <c r="P184" s="1496"/>
      <c r="Q184" s="1496"/>
      <c r="R184" s="1496"/>
      <c r="S184" s="1496"/>
      <c r="T184" s="1496"/>
      <c r="U184" s="1496"/>
      <c r="V184" s="1496"/>
      <c r="W184" s="1496"/>
      <c r="X184" s="1496"/>
      <c r="Y184" s="1496"/>
      <c r="Z184" s="1496"/>
      <c r="AA184" s="1496"/>
      <c r="AB184" s="1496"/>
      <c r="AC184" s="1496"/>
      <c r="AD184" s="1496"/>
      <c r="AE184" s="1496"/>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77" t="s">
        <v>2615</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7"/>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549" t="s">
        <v>2616</v>
      </c>
      <c r="J189" s="1423"/>
      <c r="K189" s="1423"/>
      <c r="L189" s="1423"/>
      <c r="M189" s="1423"/>
      <c r="N189" s="1423"/>
      <c r="O189" s="1423"/>
      <c r="P189" s="1423"/>
      <c r="Q189" t="s">
        <v>582</v>
      </c>
      <c r="T189" s="1423" t="s">
        <v>494</v>
      </c>
      <c r="U189" s="1423"/>
      <c r="V189" s="1423"/>
      <c r="W189" s="1423"/>
      <c r="X189" s="1423"/>
      <c r="Y189" s="1423"/>
      <c r="Z189" s="1423"/>
      <c r="AA189" s="1423"/>
      <c r="AB189" s="1423"/>
      <c r="AC189" s="1423"/>
      <c r="AD189" s="1423"/>
      <c r="AE189" s="142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77">
        <v>91344</v>
      </c>
      <c r="J190" s="1377"/>
      <c r="K190" s="1377"/>
      <c r="L190" s="1377"/>
      <c r="M190" s="1377"/>
      <c r="N190" s="1377"/>
      <c r="O190" t="s">
        <v>585</v>
      </c>
      <c r="T190" s="1582">
        <v>1114.02</v>
      </c>
      <c r="U190" s="1582"/>
      <c r="V190" s="1582"/>
      <c r="W190" s="1582"/>
      <c r="X190" s="1582"/>
      <c r="Y190" s="1582"/>
      <c r="Z190" s="1582"/>
      <c r="AA190" s="1582"/>
      <c r="AB190" s="1582"/>
      <c r="AC190" s="1582"/>
      <c r="AD190" s="1582"/>
      <c r="AE190" s="1582"/>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37" t="s">
        <v>2797</v>
      </c>
      <c r="O191" s="1537"/>
      <c r="P191" s="1537"/>
      <c r="Q191" s="1537"/>
      <c r="R191" s="1537"/>
      <c r="S191" s="1537"/>
      <c r="T191" s="1537"/>
      <c r="U191" s="1537"/>
      <c r="V191" s="1537"/>
      <c r="W191" s="1537"/>
      <c r="X191" s="1537"/>
      <c r="Y191" s="1537"/>
      <c r="Z191" s="1537"/>
      <c r="AA191" s="1537"/>
      <c r="AB191" s="1537"/>
      <c r="AC191" s="1537"/>
      <c r="AD191" s="1537"/>
      <c r="AE191" s="1537"/>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8"/>
      <c r="O192" s="1538"/>
      <c r="P192" s="1538"/>
      <c r="Q192" s="1538"/>
      <c r="R192" s="1538"/>
      <c r="S192" s="1538"/>
      <c r="T192" s="1538"/>
      <c r="U192" s="1538"/>
      <c r="V192" s="1538"/>
      <c r="W192" s="1538"/>
      <c r="X192" s="1538"/>
      <c r="Y192" s="1538"/>
      <c r="Z192" s="1538"/>
      <c r="AA192" s="1538"/>
      <c r="AB192" s="1538"/>
      <c r="AC192" s="1538"/>
      <c r="AD192" s="1538"/>
      <c r="AE192" s="1538"/>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567" t="s">
        <v>1935</v>
      </c>
      <c r="U193" s="1567"/>
      <c r="V193" s="1567"/>
      <c r="W193" s="1567"/>
      <c r="X193" s="1567"/>
      <c r="Y193" s="1567"/>
      <c r="Z193" s="1567"/>
      <c r="AA193" s="1567"/>
      <c r="AB193" s="1567"/>
      <c r="AC193" s="1567"/>
      <c r="AD193" s="1567"/>
      <c r="AE193" s="1567"/>
      <c r="AF193" s="1567"/>
      <c r="AG193" s="1567"/>
      <c r="AH193" s="1567"/>
      <c r="AI193" s="1567"/>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2213</v>
      </c>
      <c r="M194" s="40"/>
      <c r="N194" s="894"/>
      <c r="O194" s="894"/>
      <c r="P194" s="894"/>
      <c r="Q194" s="894"/>
      <c r="R194" s="894"/>
      <c r="S194" s="894"/>
      <c r="AH194" s="1508" t="s">
        <v>668</v>
      </c>
      <c r="AI194" s="1508"/>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508" t="s">
        <v>545</v>
      </c>
      <c r="U195" s="1508"/>
      <c r="W195" t="s">
        <v>683</v>
      </c>
      <c r="AH195" s="1508">
        <v>32</v>
      </c>
      <c r="AI195" s="1508"/>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28" t="s">
        <v>545</v>
      </c>
      <c r="U196" s="1428"/>
      <c r="W196" t="s">
        <v>684</v>
      </c>
      <c r="AH196" s="1508">
        <v>40</v>
      </c>
      <c r="AI196" s="1508"/>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28" t="s">
        <v>668</v>
      </c>
      <c r="U197" s="1428"/>
      <c r="W197" t="s">
        <v>685</v>
      </c>
      <c r="AH197" s="1508">
        <v>27</v>
      </c>
      <c r="AI197" s="1508"/>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28" t="s">
        <v>591</v>
      </c>
      <c r="U198" s="1428"/>
      <c r="V198"/>
      <c r="X198" s="1561" t="s">
        <v>2511</v>
      </c>
      <c r="Y198" s="1561"/>
      <c r="Z198" s="1561"/>
      <c r="AA198" s="1561"/>
      <c r="AB198" s="1561"/>
      <c r="AC198" s="1561"/>
      <c r="AD198" s="1561"/>
      <c r="AE198" s="1561"/>
      <c r="AF198" s="1561"/>
      <c r="AG198" s="1561"/>
      <c r="AH198" s="1561"/>
      <c r="AI198" s="1561"/>
      <c r="AJ198" s="1561"/>
      <c r="AK198" s="1561"/>
      <c r="AL198" s="1561"/>
      <c r="AM198" s="1561"/>
      <c r="AN198" s="1561"/>
      <c r="AO198" s="1561"/>
      <c r="AP198" s="1561"/>
      <c r="AQ198" s="1561"/>
      <c r="AR198" s="1561"/>
      <c r="AS198" s="1561"/>
      <c r="AT198" s="1561"/>
      <c r="AU198"/>
      <c r="AV198"/>
      <c r="AW198"/>
      <c r="AX198"/>
      <c r="AY198"/>
      <c r="AZ198" s="30"/>
      <c r="BA198" s="30"/>
      <c r="BC198" s="14" t="s">
        <v>591</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508" t="s">
        <v>668</v>
      </c>
      <c r="U199" s="1508"/>
      <c r="V199"/>
      <c r="W199"/>
      <c r="X199" s="1561"/>
      <c r="Y199" s="1561"/>
      <c r="Z199" s="1561"/>
      <c r="AA199" s="1561"/>
      <c r="AB199" s="1561"/>
      <c r="AC199" s="1561"/>
      <c r="AD199" s="1561"/>
      <c r="AE199" s="1561"/>
      <c r="AF199" s="1561"/>
      <c r="AG199" s="1561"/>
      <c r="AH199" s="1561"/>
      <c r="AI199" s="1561"/>
      <c r="AJ199" s="1561"/>
      <c r="AK199" s="1561"/>
      <c r="AL199" s="1561"/>
      <c r="AM199" s="1561"/>
      <c r="AN199" s="1561"/>
      <c r="AO199" s="1561"/>
      <c r="AP199" s="1561"/>
      <c r="AQ199" s="1561"/>
      <c r="AR199" s="1561"/>
      <c r="AS199" s="1561"/>
      <c r="AT199" s="1561"/>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2512</v>
      </c>
      <c r="T200" s="1508" t="s">
        <v>668</v>
      </c>
      <c r="U200" s="1508"/>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611</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586</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496" t="s">
        <v>384</v>
      </c>
      <c r="E204" s="1496"/>
      <c r="F204" s="1496"/>
      <c r="G204" s="1496"/>
      <c r="H204" s="1496"/>
      <c r="I204" s="1496"/>
      <c r="J204" s="1496"/>
      <c r="K204" s="1496"/>
      <c r="L204" s="1496"/>
      <c r="M204" s="1496"/>
      <c r="P204" s="1578">
        <f>M26</f>
        <v>3195350</v>
      </c>
      <c r="Q204" s="1579"/>
      <c r="R204" s="1579"/>
      <c r="S204" s="1579"/>
      <c r="T204" s="1579"/>
      <c r="U204" s="1579"/>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563" t="s">
        <v>1245</v>
      </c>
      <c r="E205" s="1496"/>
      <c r="F205" s="1496"/>
      <c r="G205" s="1496"/>
      <c r="H205" s="1496"/>
      <c r="I205" s="1496"/>
      <c r="J205" s="1496"/>
      <c r="K205" s="1496"/>
      <c r="L205" s="1496"/>
      <c r="M205" s="1496"/>
      <c r="P205" s="1579">
        <f>M27</f>
        <v>0</v>
      </c>
      <c r="Q205" s="1579"/>
      <c r="R205" s="1579"/>
      <c r="S205" s="1579"/>
      <c r="T205" s="1579"/>
      <c r="U205" s="1579"/>
      <c r="V205" s="28"/>
      <c r="W205" s="3" t="s">
        <v>1718</v>
      </c>
      <c r="Z205" s="1559" t="s">
        <v>1182</v>
      </c>
      <c r="AA205" s="1559"/>
      <c r="AB205" s="1559"/>
      <c r="AC205" s="1559"/>
      <c r="AD205" s="1559"/>
      <c r="AE205" s="1559"/>
      <c r="AF205" s="1559"/>
      <c r="AG205" s="1559"/>
      <c r="AH205" s="1559"/>
      <c r="AI205" s="1559"/>
      <c r="AJ205" s="1559"/>
      <c r="AK205" s="1559"/>
      <c r="AL205" s="1559"/>
      <c r="AM205" s="1559"/>
      <c r="AN205" s="1559"/>
      <c r="AP205" s="1426"/>
      <c r="AQ205" s="142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589</v>
      </c>
      <c r="C207" s="2" t="s">
        <v>551</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535" t="s">
        <v>2625</v>
      </c>
      <c r="E208" s="1535"/>
      <c r="F208" s="1535"/>
      <c r="G208" s="1535"/>
      <c r="H208" s="1535"/>
      <c r="I208" s="1535"/>
      <c r="J208" s="1535"/>
      <c r="K208" s="1535"/>
      <c r="L208" s="1535"/>
      <c r="M208" s="1535"/>
      <c r="BC208" s="3" t="s">
        <v>2204</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5" t="s">
        <v>1854</v>
      </c>
      <c r="E211" s="1535"/>
      <c r="F211" s="1535"/>
      <c r="G211" s="1535"/>
      <c r="H211" s="1535"/>
      <c r="I211" s="1535"/>
      <c r="J211" s="1535"/>
      <c r="K211" s="1535"/>
      <c r="L211" s="1535"/>
      <c r="M211" s="153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2228</v>
      </c>
      <c r="Q212" s="1508"/>
      <c r="R212" s="1508"/>
      <c r="T212" s="1571">
        <f>IFERROR(Q212/AG440,0)</f>
        <v>0</v>
      </c>
      <c r="U212" s="1572"/>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526</v>
      </c>
      <c r="BI213" s="3" t="s">
        <v>2225</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75" t="s">
        <v>591</v>
      </c>
      <c r="E214" s="1575"/>
      <c r="F214" s="1575"/>
      <c r="G214" s="1575"/>
      <c r="H214" s="1575"/>
      <c r="I214" s="1575"/>
      <c r="J214" s="1575"/>
      <c r="K214" s="1575"/>
      <c r="L214" s="1575"/>
      <c r="M214" s="1575"/>
      <c r="N214" s="1575"/>
      <c r="O214" s="1575"/>
      <c r="P214" s="1575"/>
      <c r="Q214" s="1575"/>
      <c r="R214" s="1575"/>
      <c r="S214" s="1575"/>
      <c r="T214" s="1575"/>
      <c r="U214" s="1575"/>
      <c r="V214" s="1575"/>
      <c r="W214" s="1575"/>
      <c r="X214" s="1575"/>
      <c r="Y214" s="1575"/>
      <c r="Z214" s="1575"/>
      <c r="AU214" s="21"/>
      <c r="AV214" s="21"/>
      <c r="AW214" s="21"/>
      <c r="AX214" s="21"/>
      <c r="AY214" s="21"/>
      <c r="BC214" t="s">
        <v>530</v>
      </c>
      <c r="BI214" s="3" t="s">
        <v>2218</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546"/>
      <c r="AC215" s="1546"/>
      <c r="AD215" s="1546"/>
      <c r="AE215" s="1546"/>
      <c r="AF215" s="1546"/>
      <c r="AG215" s="1546"/>
      <c r="AH215" s="1546"/>
      <c r="AI215" s="1546"/>
      <c r="AJ215" s="1546"/>
      <c r="AK215" s="1546"/>
      <c r="AL215" s="1546"/>
      <c r="AM215" s="21"/>
      <c r="AN215" s="21"/>
      <c r="AO215" s="21"/>
      <c r="AP215" s="21"/>
      <c r="AQ215" s="21"/>
      <c r="AR215" s="21"/>
      <c r="AS215" s="21"/>
      <c r="AT215" s="21"/>
      <c r="AU215" s="21"/>
      <c r="AV215" s="21"/>
      <c r="AW215" s="21"/>
      <c r="AX215" s="21"/>
      <c r="AY215" s="21"/>
      <c r="BC215" t="s">
        <v>527</v>
      </c>
      <c r="BI215" s="3" t="s">
        <v>2219</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546"/>
      <c r="AC216" s="1546"/>
      <c r="AD216" s="1546"/>
      <c r="AE216" s="1546"/>
      <c r="AF216" s="1546"/>
      <c r="AG216" s="1546"/>
      <c r="AH216" s="1546"/>
      <c r="AI216" s="1546"/>
      <c r="AJ216" s="1546"/>
      <c r="AK216" s="1546"/>
      <c r="AL216" s="1546"/>
      <c r="AM216" s="21"/>
      <c r="AN216" s="21"/>
      <c r="AO216" s="21"/>
      <c r="AP216" s="21"/>
      <c r="AQ216" s="21"/>
      <c r="AR216" s="21"/>
      <c r="AS216" s="21"/>
      <c r="AT216" s="21"/>
      <c r="AU216" s="21"/>
      <c r="AV216" s="21"/>
      <c r="AW216" s="21"/>
      <c r="AX216" s="21"/>
      <c r="AY216" s="21"/>
      <c r="BC216" t="s">
        <v>566</v>
      </c>
      <c r="BI216" t="s">
        <v>2217</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2221</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2231</v>
      </c>
      <c r="D218" s="28"/>
      <c r="AC218" s="2" t="s">
        <v>2460</v>
      </c>
      <c r="BC218" t="s">
        <v>529</v>
      </c>
    </row>
    <row r="219" spans="1:108" ht="12.95" customHeight="1">
      <c r="A219" s="2"/>
      <c r="C219" s="2"/>
      <c r="D219" s="3" t="s">
        <v>2461</v>
      </c>
      <c r="AZ219" s="3"/>
      <c r="BA219" s="3"/>
      <c r="BC219" t="s">
        <v>376</v>
      </c>
    </row>
    <row r="220" spans="1:108" ht="12.95" customHeight="1">
      <c r="A220" s="2"/>
      <c r="C220" s="2"/>
      <c r="D220" s="1535" t="s">
        <v>874</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62" t="s">
        <v>874</v>
      </c>
      <c r="AD220" s="1562"/>
      <c r="AE220" s="1562"/>
      <c r="AF220" s="1562"/>
      <c r="AG220" s="1562"/>
      <c r="AH220" s="1562"/>
      <c r="AI220" s="1562"/>
      <c r="AJ220" s="1562"/>
      <c r="AK220" s="1562"/>
      <c r="AL220" s="1562"/>
      <c r="AM220" s="1562"/>
      <c r="AN220" s="1562"/>
      <c r="AO220" s="1562"/>
      <c r="AP220" s="1562"/>
      <c r="AQ220" s="1562"/>
      <c r="BA220" s="3"/>
      <c r="BC220" t="s">
        <v>300</v>
      </c>
    </row>
    <row r="221" spans="1:108" ht="12.95" customHeight="1">
      <c r="A221" s="2"/>
      <c r="B221" s="14"/>
      <c r="C221" s="2"/>
      <c r="BA221" s="3"/>
    </row>
    <row r="222" spans="1:108" ht="12.95" customHeight="1">
      <c r="A222" s="1560" t="s">
        <v>540</v>
      </c>
      <c r="B222" s="1560"/>
      <c r="C222" s="1560"/>
      <c r="D222" s="1560"/>
      <c r="E222" s="1560"/>
      <c r="F222" s="1560"/>
      <c r="G222" s="1560"/>
      <c r="H222" s="1560"/>
      <c r="I222" s="1560"/>
      <c r="J222" s="1560"/>
      <c r="K222" s="1560"/>
      <c r="L222" s="1560"/>
      <c r="M222" s="1560"/>
      <c r="N222" s="1560"/>
      <c r="O222" s="1560"/>
      <c r="P222" s="1560"/>
      <c r="Q222" s="1560"/>
      <c r="R222" s="1560"/>
      <c r="S222" s="1560"/>
      <c r="T222" s="1560"/>
      <c r="U222" s="1560"/>
      <c r="V222" s="1560"/>
      <c r="W222" s="1560"/>
      <c r="X222" s="1560"/>
      <c r="Y222" s="1560"/>
      <c r="Z222" s="1560"/>
      <c r="AA222" s="1560"/>
      <c r="AB222" s="1560"/>
      <c r="AC222" s="1560"/>
      <c r="AD222" s="1560"/>
      <c r="AE222" s="1560"/>
      <c r="AF222" s="1560"/>
      <c r="AG222" s="1560"/>
      <c r="AH222" s="1560"/>
      <c r="AI222" s="1560"/>
      <c r="AJ222" s="1560"/>
      <c r="AK222" s="1560"/>
      <c r="AL222" s="1560"/>
      <c r="AM222" s="1560"/>
      <c r="AN222" s="1560"/>
      <c r="AO222" s="1560"/>
      <c r="AP222" s="1560"/>
      <c r="AQ222" s="1560"/>
      <c r="AR222" s="1560"/>
      <c r="AS222" s="1560"/>
      <c r="AT222" s="1560"/>
      <c r="AU222" s="95"/>
      <c r="AV222" s="95"/>
      <c r="AW222" s="95"/>
      <c r="AX222" s="95"/>
      <c r="AY222" s="95"/>
      <c r="AZ222" s="3"/>
      <c r="BA222" s="3"/>
      <c r="BP222" s="34"/>
    </row>
    <row r="223" spans="1:108" ht="12.95" customHeight="1">
      <c r="A223" s="1560"/>
      <c r="B223" s="1560"/>
      <c r="C223" s="1560"/>
      <c r="D223" s="1560"/>
      <c r="E223" s="1560"/>
      <c r="F223" s="1560"/>
      <c r="G223" s="1560"/>
      <c r="H223" s="1560"/>
      <c r="I223" s="1560"/>
      <c r="J223" s="1560"/>
      <c r="K223" s="1560"/>
      <c r="L223" s="1560"/>
      <c r="M223" s="1560"/>
      <c r="N223" s="1560"/>
      <c r="O223" s="1560"/>
      <c r="P223" s="1560"/>
      <c r="Q223" s="1560"/>
      <c r="R223" s="1560"/>
      <c r="S223" s="1560"/>
      <c r="T223" s="1560"/>
      <c r="U223" s="1560"/>
      <c r="V223" s="1560"/>
      <c r="W223" s="1560"/>
      <c r="X223" s="1560"/>
      <c r="Y223" s="1560"/>
      <c r="Z223" s="1560"/>
      <c r="AA223" s="1560"/>
      <c r="AB223" s="1560"/>
      <c r="AC223" s="1560"/>
      <c r="AD223" s="1560"/>
      <c r="AE223" s="1560"/>
      <c r="AF223" s="1560"/>
      <c r="AG223" s="1560"/>
      <c r="AH223" s="1560"/>
      <c r="AI223" s="1560"/>
      <c r="AJ223" s="1560"/>
      <c r="AK223" s="1560"/>
      <c r="AL223" s="1560"/>
      <c r="AM223" s="1560"/>
      <c r="AN223" s="1560"/>
      <c r="AO223" s="1560"/>
      <c r="AP223" s="1560"/>
      <c r="AQ223" s="1560"/>
      <c r="AR223" s="1560"/>
      <c r="AS223" s="1560"/>
      <c r="AT223" s="1560"/>
      <c r="BA223" s="3"/>
      <c r="BB223" s="3"/>
      <c r="BQ223" s="34"/>
    </row>
    <row r="224" spans="1:108" ht="12.9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508" t="s">
        <v>591</v>
      </c>
      <c r="AJ226" s="150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508" t="s">
        <v>545</v>
      </c>
      <c r="AJ227" s="150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508" t="s">
        <v>591</v>
      </c>
      <c r="AJ228" s="150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508" t="s">
        <v>591</v>
      </c>
      <c r="AJ229" s="1508"/>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83" t="str">
        <f>H16</f>
        <v>Castlewood Terrace, LP</v>
      </c>
      <c r="N232" s="1583"/>
      <c r="O232" s="1583"/>
      <c r="P232" s="1583"/>
      <c r="Q232" s="1583"/>
      <c r="R232" s="1583"/>
      <c r="S232" s="1583"/>
      <c r="T232" s="1583"/>
      <c r="U232" s="1583"/>
      <c r="V232" s="1583"/>
      <c r="W232" s="1583"/>
      <c r="X232" s="1583"/>
      <c r="Y232" s="1583"/>
      <c r="Z232" s="1583"/>
      <c r="AA232" s="1583"/>
      <c r="AB232" s="1583"/>
      <c r="AC232" s="1583"/>
      <c r="AD232" s="1583"/>
      <c r="AE232" s="1583"/>
      <c r="AF232" s="1583"/>
      <c r="AG232" s="1583"/>
      <c r="AH232" s="1583"/>
      <c r="AI232" s="1583"/>
      <c r="AJ232" s="1583"/>
      <c r="AK232" s="1583"/>
      <c r="AZ232" s="4"/>
      <c r="BA232" s="3"/>
      <c r="BB232" s="205" t="s">
        <v>538</v>
      </c>
      <c r="BG232" s="241">
        <f>IF(AND(AND($M$249="nonprofit",$M$257="nonprofit",$M$265="for profit")),2,0)</f>
        <v>0</v>
      </c>
    </row>
    <row r="233" spans="1:59" ht="12.95" customHeight="1">
      <c r="D233" s="4" t="s">
        <v>85</v>
      </c>
      <c r="E233" s="4"/>
      <c r="F233" s="4"/>
      <c r="G233" s="4"/>
      <c r="H233" s="4"/>
      <c r="I233" s="4"/>
      <c r="J233" s="4"/>
      <c r="K233" s="4"/>
      <c r="M233" s="1549" t="s">
        <v>2626</v>
      </c>
      <c r="N233" s="1535"/>
      <c r="O233" s="1535"/>
      <c r="P233" s="1535"/>
      <c r="Q233" s="1535"/>
      <c r="R233" s="1535"/>
      <c r="S233" s="1535"/>
      <c r="T233" s="1535"/>
      <c r="U233" s="1535"/>
      <c r="V233" s="1535"/>
      <c r="W233" s="1535"/>
      <c r="X233" s="1535"/>
      <c r="Y233" s="1535"/>
      <c r="Z233" s="1535"/>
      <c r="AA233" s="1535"/>
      <c r="AB233" s="1535"/>
      <c r="AC233" s="1535"/>
      <c r="AD233" s="1535"/>
      <c r="AE233" s="1535"/>
      <c r="BB233" s="205" t="s">
        <v>538</v>
      </c>
      <c r="BG233" s="241">
        <f>IF(AND(AND($M$249="nonprofit",$M$257="for profit",$M$265="nonprofit")),2,0)</f>
        <v>0</v>
      </c>
    </row>
    <row r="234" spans="1:59" ht="12.95" customHeight="1">
      <c r="D234" s="4" t="s">
        <v>580</v>
      </c>
      <c r="E234" s="4"/>
      <c r="M234" s="1549" t="s">
        <v>2618</v>
      </c>
      <c r="N234" s="1535"/>
      <c r="O234" s="1535"/>
      <c r="P234" s="1535"/>
      <c r="Q234" s="1535"/>
      <c r="R234" s="1535"/>
      <c r="S234" s="1535"/>
      <c r="T234" s="1535"/>
      <c r="V234" s="33" t="s">
        <v>86</v>
      </c>
      <c r="W234" s="1554" t="s">
        <v>2627</v>
      </c>
      <c r="X234" s="1472"/>
      <c r="Y234" s="4" t="s">
        <v>583</v>
      </c>
      <c r="AC234" s="1535">
        <v>30621</v>
      </c>
      <c r="AD234" s="1535"/>
      <c r="AE234" s="1535"/>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49" t="s">
        <v>2628</v>
      </c>
      <c r="N235" s="1535"/>
      <c r="O235" s="1535"/>
      <c r="P235" s="1535"/>
      <c r="Q235" s="1535"/>
      <c r="R235" s="1535"/>
      <c r="S235" s="1535"/>
      <c r="T235" s="1535"/>
      <c r="U235" s="1535"/>
      <c r="V235" s="1535"/>
      <c r="W235" s="1535"/>
      <c r="X235" s="1535"/>
      <c r="Y235" s="1535"/>
      <c r="Z235" s="1535"/>
      <c r="AA235" s="1535"/>
      <c r="AB235" s="1535"/>
      <c r="AC235" s="1535"/>
      <c r="AD235" s="1535"/>
      <c r="AE235" s="1535"/>
      <c r="AI235" s="4"/>
      <c r="AJ235" s="4"/>
      <c r="AK235" s="4"/>
      <c r="AL235" s="4"/>
      <c r="AM235" s="4"/>
      <c r="AN235" s="4"/>
      <c r="AO235" s="4"/>
      <c r="AP235" s="4"/>
      <c r="AQ235" s="4"/>
      <c r="AR235" s="4"/>
      <c r="AS235" s="4"/>
      <c r="AT235" s="4"/>
      <c r="BB235" s="205"/>
      <c r="BG235" s="204"/>
    </row>
    <row r="236" spans="1:59" ht="12.95" customHeight="1">
      <c r="D236" s="4" t="s">
        <v>88</v>
      </c>
      <c r="E236" s="4"/>
      <c r="F236" s="4"/>
      <c r="M236" s="1492">
        <v>7063543885</v>
      </c>
      <c r="N236" s="1492"/>
      <c r="O236" s="1492"/>
      <c r="P236" s="1492"/>
      <c r="Q236" s="1492"/>
      <c r="R236" s="1492"/>
      <c r="S236" s="4" t="s">
        <v>206</v>
      </c>
      <c r="T236" s="4"/>
      <c r="U236" s="1472"/>
      <c r="V236" s="1472"/>
      <c r="W236" s="1472"/>
      <c r="X236" s="4" t="s">
        <v>89</v>
      </c>
      <c r="Z236" s="1492"/>
      <c r="AA236" s="1492"/>
      <c r="AB236" s="1492"/>
      <c r="AC236" s="1492"/>
      <c r="AD236" s="1492"/>
      <c r="AE236" s="1492"/>
      <c r="AU236" s="4"/>
      <c r="AV236" s="4"/>
      <c r="AW236" s="4"/>
      <c r="AX236" s="4"/>
      <c r="AY236" s="4"/>
      <c r="AZ236" s="4"/>
      <c r="BB236" s="204" t="s">
        <v>537</v>
      </c>
      <c r="BG236" s="241">
        <f>IF(AND(AND($M$249="nonprofit",$M$257="nonprofit",$M$265="(select one)")),1,0)</f>
        <v>1</v>
      </c>
    </row>
    <row r="237" spans="1:59" ht="12.95" customHeight="1">
      <c r="D237" s="4" t="s">
        <v>90</v>
      </c>
      <c r="E237" s="4"/>
      <c r="F237" s="4"/>
      <c r="M237" s="1565" t="s">
        <v>2629</v>
      </c>
      <c r="N237" s="1565"/>
      <c r="O237" s="1565"/>
      <c r="P237" s="1565"/>
      <c r="Q237" s="1565"/>
      <c r="R237" s="1565"/>
      <c r="S237" s="1565"/>
      <c r="T237" s="1565"/>
      <c r="U237" s="1565"/>
      <c r="V237" s="1565"/>
      <c r="W237" s="1565"/>
      <c r="X237" s="1565"/>
      <c r="Y237" s="1565"/>
      <c r="Z237" s="1565"/>
      <c r="AA237" s="1565"/>
      <c r="AB237" s="1565"/>
      <c r="AC237" s="1565"/>
      <c r="AD237" s="1565"/>
      <c r="AE237" s="156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7" t="s">
        <v>528</v>
      </c>
      <c r="N238" s="1377"/>
      <c r="O238" s="1377"/>
      <c r="P238" s="1377"/>
      <c r="Q238" s="1377"/>
      <c r="R238" s="1377"/>
      <c r="S238" s="1377"/>
      <c r="T238" s="1377"/>
      <c r="U238" s="204" t="s">
        <v>905</v>
      </c>
      <c r="V238" s="204"/>
      <c r="W238" s="204"/>
      <c r="X238" s="204"/>
      <c r="Y238" s="204"/>
      <c r="Z238" s="204"/>
      <c r="AA238" s="1569"/>
      <c r="AB238" s="1569"/>
      <c r="AC238" s="1569"/>
      <c r="AD238" s="1569"/>
      <c r="AE238" s="1569"/>
      <c r="AF238" s="1569"/>
      <c r="AG238" s="1569"/>
      <c r="AH238" s="1569"/>
      <c r="AI238" s="1569"/>
      <c r="AJ238" s="1569"/>
      <c r="AK238" s="156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589</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56" t="s">
        <v>2630</v>
      </c>
      <c r="N243" s="1555"/>
      <c r="O243" s="1555"/>
      <c r="P243" s="1555"/>
      <c r="Q243" s="1555"/>
      <c r="R243" s="1555"/>
      <c r="S243" s="1555"/>
      <c r="T243" s="1555"/>
      <c r="U243" s="1555"/>
      <c r="V243" s="1555"/>
      <c r="W243" s="1555"/>
      <c r="X243" s="1555"/>
      <c r="Y243" s="1555"/>
      <c r="Z243" s="1555"/>
      <c r="AA243" s="1555"/>
      <c r="AB243" s="1555"/>
      <c r="AC243" s="1555"/>
      <c r="AD243" s="1555"/>
      <c r="AE243" s="1555"/>
      <c r="AF243" s="1555" t="s">
        <v>2631</v>
      </c>
      <c r="AG243" s="1555"/>
      <c r="AH243" s="1555"/>
      <c r="AI243" s="1555"/>
      <c r="AJ243" s="1555"/>
      <c r="AK243" s="1555"/>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49" t="s">
        <v>2626</v>
      </c>
      <c r="N244" s="1535"/>
      <c r="O244" s="1535"/>
      <c r="P244" s="1535"/>
      <c r="Q244" s="1535"/>
      <c r="R244" s="1535"/>
      <c r="S244" s="1535"/>
      <c r="T244" s="1535"/>
      <c r="U244" s="1535"/>
      <c r="V244" s="1535"/>
      <c r="W244" s="1535"/>
      <c r="X244" s="1535"/>
      <c r="Y244" s="1535"/>
      <c r="Z244" s="1535"/>
      <c r="AA244" s="1535"/>
      <c r="AB244" s="1535"/>
      <c r="AC244" s="1535"/>
      <c r="AD244" s="1535"/>
      <c r="AE244" s="1535"/>
      <c r="AF244" s="3" t="s">
        <v>1177</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49" t="s">
        <v>2618</v>
      </c>
      <c r="N245" s="1535"/>
      <c r="O245" s="1535"/>
      <c r="P245" s="1535"/>
      <c r="Q245" s="1535"/>
      <c r="R245" s="1535"/>
      <c r="S245" s="1535"/>
      <c r="T245" s="1535"/>
      <c r="V245" s="33" t="s">
        <v>86</v>
      </c>
      <c r="W245" s="1554" t="s">
        <v>2627</v>
      </c>
      <c r="X245" s="1472"/>
      <c r="Y245" s="4" t="s">
        <v>583</v>
      </c>
      <c r="AC245" s="1535">
        <v>30621</v>
      </c>
      <c r="AD245" s="1535"/>
      <c r="AE245" s="1535"/>
      <c r="AF245" s="3" t="s">
        <v>1178</v>
      </c>
      <c r="AU245" s="4"/>
      <c r="AV245" s="4"/>
      <c r="AW245" s="4"/>
      <c r="AX245" s="4"/>
      <c r="AY245" s="4"/>
      <c r="BB245" s="4" t="s">
        <v>280</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49" t="s">
        <v>2628</v>
      </c>
      <c r="N246" s="1535"/>
      <c r="O246" s="1535"/>
      <c r="P246" s="1535"/>
      <c r="Q246" s="1535"/>
      <c r="R246" s="1535"/>
      <c r="S246" s="1535"/>
      <c r="T246" s="1535"/>
      <c r="U246" s="1535"/>
      <c r="V246" s="1535"/>
      <c r="W246" s="1535"/>
      <c r="X246" s="1535"/>
      <c r="Y246" s="1535"/>
      <c r="Z246" s="1535"/>
      <c r="AA246" s="1535"/>
      <c r="AB246" s="1535"/>
      <c r="AC246" s="1535"/>
      <c r="AD246" s="1535"/>
      <c r="AE246" s="1535"/>
      <c r="AH246" s="1551">
        <v>9.0000000000000006E-5</v>
      </c>
      <c r="AI246" s="1552"/>
      <c r="AJ246" s="1552"/>
      <c r="AK246" s="1552"/>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92">
        <v>7063543885</v>
      </c>
      <c r="N247" s="1492"/>
      <c r="O247" s="1492"/>
      <c r="P247" s="1492"/>
      <c r="Q247" s="1492"/>
      <c r="R247" s="1492"/>
      <c r="S247" s="4" t="s">
        <v>206</v>
      </c>
      <c r="T247" s="4"/>
      <c r="U247" s="1472"/>
      <c r="V247" s="1472"/>
      <c r="W247" s="1472"/>
      <c r="X247" s="4" t="s">
        <v>89</v>
      </c>
      <c r="Z247" s="1492"/>
      <c r="AA247" s="1492"/>
      <c r="AB247" s="1492"/>
      <c r="AC247" s="1492"/>
      <c r="AD247" s="1492"/>
      <c r="AE247" s="1492"/>
      <c r="AU247" s="4"/>
      <c r="AV247" s="4"/>
      <c r="AW247" s="4"/>
      <c r="AX247" s="4"/>
      <c r="AY247" s="4"/>
      <c r="BG247">
        <v>0</v>
      </c>
      <c r="BH247" s="3" t="str">
        <f>""</f>
        <v/>
      </c>
      <c r="BN247" s="34"/>
    </row>
    <row r="248" spans="1:67" ht="12.95" customHeight="1">
      <c r="A248" s="19"/>
      <c r="B248" s="4"/>
      <c r="C248" s="4"/>
      <c r="D248" s="4" t="s">
        <v>90</v>
      </c>
      <c r="E248" s="4"/>
      <c r="F248" s="4"/>
      <c r="M248" s="1565" t="s">
        <v>2629</v>
      </c>
      <c r="N248" s="1565"/>
      <c r="O248" s="1565"/>
      <c r="P248" s="1565"/>
      <c r="Q248" s="1565"/>
      <c r="R248" s="1565"/>
      <c r="S248" s="1565"/>
      <c r="T248" s="1565"/>
      <c r="U248" s="1565"/>
      <c r="V248" s="1565"/>
      <c r="W248" s="1565"/>
      <c r="X248" s="1565"/>
      <c r="Y248" s="1565"/>
      <c r="Z248" s="1565"/>
      <c r="AA248" s="1565"/>
      <c r="AB248" s="1565"/>
      <c r="AC248" s="1565"/>
      <c r="AD248" s="1565"/>
      <c r="AE248" s="156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7" t="s">
        <v>534</v>
      </c>
      <c r="N249" s="1377"/>
      <c r="O249" s="1377"/>
      <c r="P249" s="1377"/>
      <c r="Q249" s="1377"/>
      <c r="R249" s="1377"/>
      <c r="S249" s="1377"/>
      <c r="T249" s="1377"/>
      <c r="U249" s="204" t="s">
        <v>905</v>
      </c>
      <c r="V249" s="204"/>
      <c r="W249" s="204"/>
      <c r="X249" s="204"/>
      <c r="Y249" s="204"/>
      <c r="Z249" s="204"/>
      <c r="AA249" s="1568" t="s">
        <v>2632</v>
      </c>
      <c r="AB249" s="1569"/>
      <c r="AC249" s="1569"/>
      <c r="AD249" s="1569"/>
      <c r="AE249" s="1569"/>
      <c r="AF249" s="1569"/>
      <c r="AG249" s="1569"/>
      <c r="AH249" s="1569"/>
      <c r="AI249" s="1569"/>
      <c r="AJ249" s="1569"/>
      <c r="AK249" s="1569"/>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556" t="s">
        <v>2612</v>
      </c>
      <c r="N251" s="1555"/>
      <c r="O251" s="1555"/>
      <c r="P251" s="1555"/>
      <c r="Q251" s="1555"/>
      <c r="R251" s="1555"/>
      <c r="S251" s="1555"/>
      <c r="T251" s="1555"/>
      <c r="U251" s="1555"/>
      <c r="V251" s="1555"/>
      <c r="W251" s="1555"/>
      <c r="X251" s="1555"/>
      <c r="Y251" s="1555"/>
      <c r="Z251" s="1555"/>
      <c r="AA251" s="1555"/>
      <c r="AB251" s="1555"/>
      <c r="AC251" s="1555"/>
      <c r="AD251" s="1555"/>
      <c r="AE251" s="1555"/>
      <c r="AF251" s="1555" t="s">
        <v>2613</v>
      </c>
      <c r="AG251" s="1555"/>
      <c r="AH251" s="1555"/>
      <c r="AI251" s="1555"/>
      <c r="AJ251" s="1555"/>
      <c r="AK251" s="1555"/>
      <c r="AU251" s="4"/>
      <c r="AV251" s="4"/>
      <c r="AW251" s="4"/>
      <c r="AX251" s="4"/>
      <c r="AY251" s="4"/>
      <c r="BN251" s="34"/>
    </row>
    <row r="252" spans="1:67" ht="12.95" customHeight="1">
      <c r="A252" s="19"/>
      <c r="B252" s="4"/>
      <c r="C252" s="4"/>
      <c r="D252" s="4" t="s">
        <v>85</v>
      </c>
      <c r="E252" s="4"/>
      <c r="F252" s="4"/>
      <c r="G252" s="4"/>
      <c r="H252" s="4"/>
      <c r="I252" s="4"/>
      <c r="J252" s="4"/>
      <c r="K252" s="4"/>
      <c r="L252" s="4"/>
      <c r="M252" s="1549" t="s">
        <v>2633</v>
      </c>
      <c r="N252" s="1535"/>
      <c r="O252" s="1535"/>
      <c r="P252" s="1535"/>
      <c r="Q252" s="1535"/>
      <c r="R252" s="1535"/>
      <c r="S252" s="1535"/>
      <c r="T252" s="1535"/>
      <c r="U252" s="1535"/>
      <c r="V252" s="1535"/>
      <c r="W252" s="1535"/>
      <c r="X252" s="1535"/>
      <c r="Y252" s="1535"/>
      <c r="Z252" s="1535"/>
      <c r="AA252" s="1535"/>
      <c r="AB252" s="1535"/>
      <c r="AC252" s="1535"/>
      <c r="AD252" s="1535"/>
      <c r="AE252" s="1535"/>
      <c r="AF252" s="3" t="s">
        <v>1177</v>
      </c>
      <c r="AL252" s="4"/>
      <c r="AM252" s="4"/>
      <c r="AN252" s="4"/>
      <c r="AO252" s="4"/>
      <c r="AP252" s="4"/>
      <c r="AQ252" s="4"/>
      <c r="AR252" s="4"/>
      <c r="AS252" s="4"/>
      <c r="AT252" s="4"/>
      <c r="BN252" s="34"/>
    </row>
    <row r="253" spans="1:67" ht="12.95" customHeight="1">
      <c r="A253" s="19"/>
      <c r="B253" s="4"/>
      <c r="C253" s="4"/>
      <c r="D253" s="4" t="s">
        <v>580</v>
      </c>
      <c r="E253" s="4"/>
      <c r="M253" s="1549" t="s">
        <v>2634</v>
      </c>
      <c r="N253" s="1535"/>
      <c r="O253" s="1535"/>
      <c r="P253" s="1535"/>
      <c r="Q253" s="1535"/>
      <c r="R253" s="1535"/>
      <c r="S253" s="1535"/>
      <c r="T253" s="1535"/>
      <c r="V253" s="33" t="s">
        <v>86</v>
      </c>
      <c r="W253" s="1554" t="s">
        <v>2635</v>
      </c>
      <c r="X253" s="1472"/>
      <c r="Y253" s="4" t="s">
        <v>583</v>
      </c>
      <c r="AC253" s="1535">
        <v>96001</v>
      </c>
      <c r="AD253" s="1535"/>
      <c r="AE253" s="1535"/>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549" t="s">
        <v>2636</v>
      </c>
      <c r="N254" s="1535"/>
      <c r="O254" s="1535"/>
      <c r="P254" s="1535"/>
      <c r="Q254" s="1535"/>
      <c r="R254" s="1535"/>
      <c r="S254" s="1535"/>
      <c r="T254" s="1535"/>
      <c r="U254" s="1535"/>
      <c r="V254" s="1535"/>
      <c r="W254" s="1535"/>
      <c r="X254" s="1535"/>
      <c r="Y254" s="1535"/>
      <c r="Z254" s="1535"/>
      <c r="AA254" s="1535"/>
      <c r="AB254" s="1535"/>
      <c r="AC254" s="1535"/>
      <c r="AD254" s="1535"/>
      <c r="AE254" s="1535"/>
      <c r="AH254" s="1551">
        <v>1.0000000000000001E-5</v>
      </c>
      <c r="AI254" s="1552"/>
      <c r="AJ254" s="1552"/>
      <c r="AK254" s="1552"/>
      <c r="AL254" s="4"/>
      <c r="AM254" s="4"/>
      <c r="AN254" s="4"/>
      <c r="AO254" s="4"/>
      <c r="AP254" s="4"/>
      <c r="AQ254" s="4"/>
      <c r="AR254" s="4"/>
      <c r="AS254" s="4"/>
      <c r="AT254" s="4"/>
    </row>
    <row r="255" spans="1:67" ht="12.95" customHeight="1">
      <c r="A255" s="19"/>
      <c r="B255" s="4"/>
      <c r="C255" s="4"/>
      <c r="D255" s="4" t="s">
        <v>88</v>
      </c>
      <c r="E255" s="4"/>
      <c r="F255" s="4"/>
      <c r="M255" s="1492">
        <v>5302416960</v>
      </c>
      <c r="N255" s="1492"/>
      <c r="O255" s="1492"/>
      <c r="P255" s="1492"/>
      <c r="Q255" s="1492"/>
      <c r="R255" s="1492"/>
      <c r="S255" s="4" t="s">
        <v>206</v>
      </c>
      <c r="T255" s="4"/>
      <c r="U255" s="1472"/>
      <c r="V255" s="1472"/>
      <c r="W255" s="1472"/>
      <c r="X255" s="4" t="s">
        <v>89</v>
      </c>
      <c r="Z255" s="1492"/>
      <c r="AA255" s="1492"/>
      <c r="AB255" s="1492"/>
      <c r="AC255" s="1492"/>
      <c r="AD255" s="1492"/>
      <c r="AE255" s="1492"/>
      <c r="AU255" s="4"/>
      <c r="AV255" s="4"/>
      <c r="AW255" s="4"/>
      <c r="AX255" s="4"/>
      <c r="AY255" s="4"/>
      <c r="BN255" s="34"/>
    </row>
    <row r="256" spans="1:67" ht="12.95" customHeight="1">
      <c r="A256" s="19"/>
      <c r="B256" s="4"/>
      <c r="C256" s="4"/>
      <c r="D256" s="4" t="s">
        <v>90</v>
      </c>
      <c r="E256" s="4"/>
      <c r="F256" s="4"/>
      <c r="M256" s="1565" t="s">
        <v>2637</v>
      </c>
      <c r="N256" s="1565"/>
      <c r="O256" s="1565"/>
      <c r="P256" s="1565"/>
      <c r="Q256" s="1565"/>
      <c r="R256" s="1565"/>
      <c r="S256" s="1565"/>
      <c r="T256" s="1565"/>
      <c r="U256" s="1565"/>
      <c r="V256" s="1565"/>
      <c r="W256" s="1565"/>
      <c r="X256" s="1565"/>
      <c r="Y256" s="1565"/>
      <c r="Z256" s="1565"/>
      <c r="AA256" s="1565"/>
      <c r="AB256" s="1565"/>
      <c r="AC256" s="1565"/>
      <c r="AD256" s="1565"/>
      <c r="AE256" s="156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7" t="s">
        <v>534</v>
      </c>
      <c r="N257" s="1377"/>
      <c r="O257" s="1377"/>
      <c r="P257" s="1377"/>
      <c r="Q257" s="1377"/>
      <c r="R257" s="1377"/>
      <c r="S257" s="1377"/>
      <c r="T257" s="1377"/>
      <c r="U257" s="204" t="s">
        <v>905</v>
      </c>
      <c r="V257" s="204"/>
      <c r="W257" s="204"/>
      <c r="X257" s="204"/>
      <c r="Y257" s="204"/>
      <c r="Z257" s="204"/>
      <c r="AA257" s="1569"/>
      <c r="AB257" s="1569"/>
      <c r="AC257" s="1569"/>
      <c r="AD257" s="1569"/>
      <c r="AE257" s="1569"/>
      <c r="AF257" s="1569"/>
      <c r="AG257" s="1569"/>
      <c r="AH257" s="1569"/>
      <c r="AI257" s="1569"/>
      <c r="AJ257" s="1569"/>
      <c r="AK257" s="1569"/>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532</v>
      </c>
      <c r="E259" s="4"/>
      <c r="F259" s="4"/>
      <c r="G259" s="4"/>
      <c r="H259" s="4"/>
      <c r="I259" s="4"/>
      <c r="J259" s="4"/>
      <c r="K259" s="4"/>
      <c r="L259" s="4"/>
      <c r="M259" s="1555"/>
      <c r="N259" s="1555"/>
      <c r="O259" s="1555"/>
      <c r="P259" s="1555"/>
      <c r="Q259" s="1555"/>
      <c r="R259" s="1555"/>
      <c r="S259" s="1555"/>
      <c r="T259" s="1555"/>
      <c r="U259" s="1555"/>
      <c r="V259" s="1555"/>
      <c r="W259" s="1555"/>
      <c r="X259" s="1555"/>
      <c r="Y259" s="1555"/>
      <c r="Z259" s="1555"/>
      <c r="AA259" s="1555"/>
      <c r="AB259" s="1555"/>
      <c r="AC259" s="1555"/>
      <c r="AD259" s="1555"/>
      <c r="AE259" s="1555"/>
      <c r="AF259" s="1555" t="s">
        <v>307</v>
      </c>
      <c r="AG259" s="1555"/>
      <c r="AH259" s="1555"/>
      <c r="AI259" s="1555"/>
      <c r="AJ259" s="1555"/>
      <c r="AK259" s="1555"/>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5"/>
      <c r="N260" s="1535"/>
      <c r="O260" s="1535"/>
      <c r="P260" s="1535"/>
      <c r="Q260" s="1535"/>
      <c r="R260" s="1535"/>
      <c r="S260" s="1535"/>
      <c r="T260" s="1535"/>
      <c r="U260" s="1535"/>
      <c r="V260" s="1535"/>
      <c r="W260" s="1535"/>
      <c r="X260" s="1535"/>
      <c r="Y260" s="1535"/>
      <c r="Z260" s="1535"/>
      <c r="AA260" s="1535"/>
      <c r="AB260" s="1535"/>
      <c r="AC260" s="1535"/>
      <c r="AD260" s="1535"/>
      <c r="AE260" s="1535"/>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5"/>
      <c r="N261" s="1535"/>
      <c r="O261" s="1535"/>
      <c r="P261" s="1535"/>
      <c r="Q261" s="1535"/>
      <c r="R261" s="1535"/>
      <c r="S261" s="1535"/>
      <c r="T261" s="1535"/>
      <c r="V261" s="33" t="s">
        <v>86</v>
      </c>
      <c r="W261" s="1472"/>
      <c r="X261" s="1472"/>
      <c r="Y261" s="4" t="s">
        <v>583</v>
      </c>
      <c r="AC261" s="1535"/>
      <c r="AD261" s="1535"/>
      <c r="AE261" s="1535"/>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5"/>
      <c r="N262" s="1535"/>
      <c r="O262" s="1535"/>
      <c r="P262" s="1535"/>
      <c r="Q262" s="1535"/>
      <c r="R262" s="1535"/>
      <c r="S262" s="1535"/>
      <c r="T262" s="1535"/>
      <c r="U262" s="1535"/>
      <c r="V262" s="1535"/>
      <c r="W262" s="1535"/>
      <c r="X262" s="1535"/>
      <c r="Y262" s="1535"/>
      <c r="Z262" s="1535"/>
      <c r="AA262" s="1535"/>
      <c r="AB262" s="1535"/>
      <c r="AC262" s="1535"/>
      <c r="AD262" s="1535"/>
      <c r="AE262" s="1535"/>
      <c r="AH262" s="1552"/>
      <c r="AI262" s="1552"/>
      <c r="AJ262" s="1552"/>
      <c r="AK262" s="1552"/>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2"/>
      <c r="N263" s="1492"/>
      <c r="O263" s="1492"/>
      <c r="P263" s="1492"/>
      <c r="Q263" s="1492"/>
      <c r="R263" s="1492"/>
      <c r="S263" s="4" t="s">
        <v>206</v>
      </c>
      <c r="T263" s="4"/>
      <c r="U263" s="1472"/>
      <c r="V263" s="1472"/>
      <c r="W263" s="1472"/>
      <c r="X263" s="4" t="s">
        <v>89</v>
      </c>
      <c r="Z263" s="1492"/>
      <c r="AA263" s="1492"/>
      <c r="AB263" s="1492"/>
      <c r="AC263" s="1492"/>
      <c r="AD263" s="1492"/>
      <c r="AE263" s="149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65"/>
      <c r="N264" s="1565"/>
      <c r="O264" s="1565"/>
      <c r="P264" s="1565"/>
      <c r="Q264" s="1565"/>
      <c r="R264" s="1565"/>
      <c r="S264" s="1565"/>
      <c r="T264" s="1565"/>
      <c r="U264" s="1565"/>
      <c r="V264" s="1565"/>
      <c r="W264" s="1565"/>
      <c r="X264" s="1565"/>
      <c r="Y264" s="1565"/>
      <c r="Z264" s="1565"/>
      <c r="AA264" s="1566"/>
      <c r="AB264" s="1566"/>
      <c r="AC264" s="1566"/>
      <c r="AD264" s="1566"/>
      <c r="AE264" s="156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7" t="s">
        <v>307</v>
      </c>
      <c r="N265" s="1377"/>
      <c r="O265" s="1377"/>
      <c r="P265" s="1377"/>
      <c r="Q265" s="1377"/>
      <c r="R265" s="1377"/>
      <c r="S265" s="1377"/>
      <c r="T265" s="1377"/>
      <c r="U265" s="204" t="s">
        <v>905</v>
      </c>
      <c r="V265" s="204"/>
      <c r="W265" s="204"/>
      <c r="X265" s="204"/>
      <c r="Y265" s="204"/>
      <c r="Z265" s="204"/>
      <c r="AA265" s="1593"/>
      <c r="AB265" s="1593"/>
      <c r="AC265" s="1593"/>
      <c r="AD265" s="1593"/>
      <c r="AE265" s="1593"/>
      <c r="AF265" s="1593"/>
      <c r="AG265" s="1593"/>
      <c r="AH265" s="1593"/>
      <c r="AI265" s="1593"/>
      <c r="AJ265" s="1593"/>
      <c r="AK265" s="159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94" t="str">
        <f>IFERROR(BO245,"")</f>
        <v>Nonprofit</v>
      </c>
      <c r="U267" s="1594"/>
      <c r="V267" s="1594"/>
      <c r="W267" s="1594"/>
      <c r="X267" s="1594"/>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535" t="s">
        <v>280</v>
      </c>
      <c r="E270" s="1535"/>
      <c r="F270" s="1535"/>
      <c r="G270" s="1535"/>
      <c r="H270" s="1535"/>
      <c r="J270" t="s">
        <v>279</v>
      </c>
      <c r="X270" s="1553"/>
      <c r="Y270" s="1553"/>
      <c r="Z270" s="1553"/>
      <c r="AA270" s="1553"/>
      <c r="AB270" s="1553"/>
      <c r="AC270" s="1553"/>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56" t="s">
        <v>2638</v>
      </c>
      <c r="M274" s="1555"/>
      <c r="N274" s="1555"/>
      <c r="O274" s="1555"/>
      <c r="P274" s="1555"/>
      <c r="Q274" s="1555"/>
      <c r="R274" s="1555"/>
      <c r="S274" s="1555"/>
      <c r="T274" s="1555"/>
      <c r="U274" s="1555"/>
      <c r="V274" s="1555"/>
      <c r="W274" s="1555"/>
      <c r="X274" s="1555"/>
      <c r="Y274" s="1555"/>
      <c r="Z274" s="1555"/>
      <c r="AA274" s="1555"/>
      <c r="AB274" s="1555"/>
      <c r="AC274" s="1555"/>
      <c r="AD274" s="1555"/>
      <c r="AE274" s="1555"/>
      <c r="AF274" s="1555"/>
      <c r="AG274" s="1555"/>
      <c r="AH274" s="1555"/>
      <c r="AI274" s="1555"/>
      <c r="AJ274" s="1555"/>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49" t="s">
        <v>2626</v>
      </c>
      <c r="M275" s="1535"/>
      <c r="N275" s="1535"/>
      <c r="O275" s="1535"/>
      <c r="P275" s="1535"/>
      <c r="Q275" s="1535"/>
      <c r="R275" s="1535"/>
      <c r="S275" s="1535"/>
      <c r="T275" s="1535"/>
      <c r="U275" s="1535"/>
      <c r="V275" s="1535"/>
      <c r="W275" s="1535"/>
      <c r="X275" s="1535"/>
      <c r="Y275" s="1535"/>
      <c r="Z275" s="1535"/>
      <c r="AA275" s="1535"/>
      <c r="AB275" s="1535"/>
      <c r="AC275" s="1535"/>
      <c r="AD275" s="1535"/>
      <c r="AK275" s="3"/>
      <c r="AL275" s="3"/>
      <c r="AM275" s="3"/>
      <c r="AN275" s="3"/>
      <c r="AO275" s="3"/>
      <c r="AP275" s="3"/>
      <c r="AQ275" s="3"/>
      <c r="AR275" s="3"/>
      <c r="AS275" s="3"/>
      <c r="AT275" s="3"/>
      <c r="AU275" s="3"/>
      <c r="AV275" s="3"/>
      <c r="AW275" s="3"/>
      <c r="AX275" s="3"/>
      <c r="AY275" s="3"/>
    </row>
    <row r="276" spans="1:51" ht="12.95" customHeight="1">
      <c r="D276" s="4" t="s">
        <v>580</v>
      </c>
      <c r="E276" s="4"/>
      <c r="L276" s="1549" t="s">
        <v>2618</v>
      </c>
      <c r="M276" s="1535"/>
      <c r="N276" s="1535"/>
      <c r="O276" s="1535"/>
      <c r="P276" s="1535"/>
      <c r="Q276" s="1535"/>
      <c r="R276" s="1535"/>
      <c r="S276" s="1535"/>
      <c r="U276" s="33" t="s">
        <v>86</v>
      </c>
      <c r="V276" s="1554" t="s">
        <v>2627</v>
      </c>
      <c r="W276" s="1472"/>
      <c r="X276" s="4" t="s">
        <v>583</v>
      </c>
      <c r="AB276" s="1535">
        <v>30621</v>
      </c>
      <c r="AC276" s="1535"/>
      <c r="AD276" s="153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49" t="s">
        <v>2639</v>
      </c>
      <c r="M277" s="1535"/>
      <c r="N277" s="1535"/>
      <c r="O277" s="1535"/>
      <c r="P277" s="1535"/>
      <c r="Q277" s="1535"/>
      <c r="R277" s="1535"/>
      <c r="S277" s="1535"/>
      <c r="T277" s="1535"/>
      <c r="U277" s="1535"/>
      <c r="V277" s="1535"/>
      <c r="W277" s="1535"/>
      <c r="X277" s="1535"/>
      <c r="Y277" s="1535"/>
      <c r="Z277" s="1535"/>
      <c r="AA277" s="1535"/>
      <c r="AB277" s="1535"/>
      <c r="AC277" s="1535"/>
      <c r="AD277" s="1535"/>
      <c r="AI277" s="4"/>
      <c r="AJ277" s="4"/>
      <c r="AK277" s="3"/>
      <c r="AL277" s="3"/>
      <c r="AM277" s="3"/>
      <c r="AN277" s="3"/>
      <c r="AO277" s="3"/>
      <c r="AP277" s="3"/>
      <c r="AQ277" s="3"/>
      <c r="AR277" s="3"/>
      <c r="AS277" s="3"/>
      <c r="AT277" s="3"/>
    </row>
    <row r="278" spans="1:51" ht="12.95" customHeight="1">
      <c r="D278" s="4" t="s">
        <v>88</v>
      </c>
      <c r="E278" s="4"/>
      <c r="F278" s="4"/>
      <c r="L278" s="1492">
        <v>7063389682</v>
      </c>
      <c r="M278" s="1492"/>
      <c r="N278" s="1492"/>
      <c r="O278" s="1492"/>
      <c r="P278" s="1492"/>
      <c r="Q278" s="1492"/>
      <c r="R278" s="4" t="s">
        <v>206</v>
      </c>
      <c r="S278" s="4"/>
      <c r="T278" s="1472"/>
      <c r="U278" s="1472"/>
      <c r="V278" s="1472"/>
      <c r="W278" s="4" t="s">
        <v>89</v>
      </c>
      <c r="Y278" s="1492"/>
      <c r="Z278" s="1492"/>
      <c r="AA278" s="1492"/>
      <c r="AB278" s="1492"/>
      <c r="AC278" s="1492"/>
      <c r="AD278" s="1492"/>
    </row>
    <row r="279" spans="1:51" ht="12.95" customHeight="1">
      <c r="D279" s="4" t="s">
        <v>90</v>
      </c>
      <c r="E279" s="4"/>
      <c r="F279" s="4"/>
      <c r="L279" s="1565" t="s">
        <v>2640</v>
      </c>
      <c r="M279" s="1565"/>
      <c r="N279" s="1565"/>
      <c r="O279" s="1565"/>
      <c r="P279" s="1565"/>
      <c r="Q279" s="1565"/>
      <c r="R279" s="1565"/>
      <c r="S279" s="1565"/>
      <c r="T279" s="1565"/>
      <c r="U279" s="1565"/>
      <c r="V279" s="1565"/>
      <c r="W279" s="1565"/>
      <c r="X279" s="1565"/>
      <c r="Y279" s="1565"/>
      <c r="Z279" s="1565"/>
      <c r="AA279" s="1565"/>
      <c r="AB279" s="1565"/>
      <c r="AC279" s="1565"/>
      <c r="AD279" s="1565"/>
      <c r="AF279" s="4"/>
      <c r="AG279" s="4"/>
      <c r="AH279" s="4"/>
      <c r="AI279" s="4"/>
      <c r="AJ279" s="4"/>
      <c r="AU279" s="3"/>
      <c r="AV279" s="3"/>
      <c r="AW279" s="3"/>
      <c r="AX279" s="3"/>
      <c r="AY279" s="3"/>
    </row>
    <row r="280" spans="1:51" ht="12.95" customHeight="1">
      <c r="D280" s="3" t="s">
        <v>623</v>
      </c>
      <c r="E280" s="3"/>
      <c r="F280" s="3"/>
      <c r="G280" s="3"/>
      <c r="H280" s="3"/>
      <c r="I280" s="3"/>
      <c r="L280" s="1554" t="s">
        <v>2641</v>
      </c>
      <c r="M280" s="1554"/>
      <c r="N280" s="1554"/>
      <c r="O280" s="1554"/>
      <c r="P280" s="1554"/>
      <c r="Q280" s="1554"/>
      <c r="R280" s="1554"/>
      <c r="S280" s="1554"/>
      <c r="T280" s="1554"/>
      <c r="U280" s="1554"/>
      <c r="V280" s="1554"/>
      <c r="W280" s="1554"/>
      <c r="X280" s="1554"/>
      <c r="Y280" s="1554"/>
      <c r="Z280" s="1554"/>
      <c r="AA280" s="1554"/>
      <c r="AB280" s="1554"/>
      <c r="AC280" s="1554"/>
      <c r="AD280" s="1554"/>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60" t="s">
        <v>541</v>
      </c>
      <c r="B282" s="1560"/>
      <c r="C282" s="1560"/>
      <c r="D282" s="1560"/>
      <c r="E282" s="1560"/>
      <c r="F282" s="1560"/>
      <c r="G282" s="1560"/>
      <c r="H282" s="1560"/>
      <c r="I282" s="1560"/>
      <c r="J282" s="1560"/>
      <c r="K282" s="1560"/>
      <c r="L282" s="1560"/>
      <c r="M282" s="1560"/>
      <c r="N282" s="1560"/>
      <c r="O282" s="1560"/>
      <c r="P282" s="1560"/>
      <c r="Q282" s="1560"/>
      <c r="R282" s="1560"/>
      <c r="S282" s="1560"/>
      <c r="T282" s="1560"/>
      <c r="U282" s="1560"/>
      <c r="V282" s="1560"/>
      <c r="W282" s="1560"/>
      <c r="X282" s="1560"/>
      <c r="Y282" s="1560"/>
      <c r="Z282" s="1560"/>
      <c r="AA282" s="1560"/>
      <c r="AB282" s="1560"/>
      <c r="AC282" s="1560"/>
      <c r="AD282" s="1560"/>
      <c r="AE282" s="1560"/>
      <c r="AF282" s="1560"/>
      <c r="AG282" s="1560"/>
      <c r="AH282" s="1560"/>
      <c r="AI282" s="1560"/>
      <c r="AJ282" s="1560"/>
      <c r="AK282" s="1560"/>
      <c r="AL282" s="1560"/>
      <c r="AM282" s="1560"/>
      <c r="AN282" s="1560"/>
      <c r="AO282" s="1560"/>
      <c r="AP282" s="1560"/>
      <c r="AQ282" s="1560"/>
      <c r="AR282" s="1560"/>
      <c r="AS282" s="1560"/>
      <c r="AT282" s="1560"/>
      <c r="AU282" s="95"/>
      <c r="AV282" s="95"/>
      <c r="AW282" s="95"/>
      <c r="AX282" s="95"/>
      <c r="AY282" s="95"/>
    </row>
    <row r="283" spans="1:51" ht="12.95" customHeight="1">
      <c r="A283" s="1560"/>
      <c r="B283" s="1560"/>
      <c r="C283" s="1560"/>
      <c r="D283" s="1560"/>
      <c r="E283" s="1560"/>
      <c r="F283" s="1560"/>
      <c r="G283" s="1560"/>
      <c r="H283" s="1560"/>
      <c r="I283" s="1560"/>
      <c r="J283" s="1560"/>
      <c r="K283" s="1560"/>
      <c r="L283" s="1560"/>
      <c r="M283" s="1560"/>
      <c r="N283" s="1560"/>
      <c r="O283" s="1560"/>
      <c r="P283" s="1560"/>
      <c r="Q283" s="1560"/>
      <c r="R283" s="1560"/>
      <c r="S283" s="1560"/>
      <c r="T283" s="1560"/>
      <c r="U283" s="1560"/>
      <c r="V283" s="1560"/>
      <c r="W283" s="1560"/>
      <c r="X283" s="1560"/>
      <c r="Y283" s="1560"/>
      <c r="Z283" s="1560"/>
      <c r="AA283" s="1560"/>
      <c r="AB283" s="1560"/>
      <c r="AC283" s="1560"/>
      <c r="AD283" s="1560"/>
      <c r="AE283" s="1560"/>
      <c r="AF283" s="1560"/>
      <c r="AG283" s="1560"/>
      <c r="AH283" s="1560"/>
      <c r="AI283" s="1560"/>
      <c r="AJ283" s="1560"/>
      <c r="AK283" s="1560"/>
      <c r="AL283" s="1560"/>
      <c r="AM283" s="1560"/>
      <c r="AN283" s="1560"/>
      <c r="AO283" s="1560"/>
      <c r="AP283" s="1560"/>
      <c r="AQ283" s="1560"/>
      <c r="AR283" s="1560"/>
      <c r="AS283" s="1560"/>
      <c r="AT283" s="1560"/>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23" t="s">
        <v>2638</v>
      </c>
      <c r="I287" s="1423"/>
      <c r="J287" s="1423"/>
      <c r="K287" s="1423"/>
      <c r="L287" s="1423"/>
      <c r="M287" s="1423"/>
      <c r="N287" s="1423"/>
      <c r="O287" s="1423"/>
      <c r="P287" s="1423"/>
      <c r="Q287" s="1423"/>
      <c r="R287" s="1423"/>
      <c r="T287" s="3" t="s">
        <v>567</v>
      </c>
      <c r="V287" s="3"/>
      <c r="W287" s="3"/>
      <c r="X287" s="3"/>
      <c r="Y287" s="3"/>
      <c r="AA287" s="1423" t="s">
        <v>2643</v>
      </c>
      <c r="AB287" s="1423"/>
      <c r="AC287" s="1423"/>
      <c r="AD287" s="1423"/>
      <c r="AE287" s="1423"/>
      <c r="AF287" s="1423"/>
      <c r="AG287" s="1423"/>
      <c r="AH287" s="1423"/>
      <c r="AI287" s="1423"/>
      <c r="AJ287" s="1423"/>
      <c r="AK287" s="1423"/>
    </row>
    <row r="288" spans="1:51" ht="12.95" customHeight="1">
      <c r="B288" s="3" t="s">
        <v>471</v>
      </c>
      <c r="C288" s="3"/>
      <c r="D288" s="3"/>
      <c r="E288" s="3"/>
      <c r="F288" s="3"/>
      <c r="H288" s="1377" t="s">
        <v>2626</v>
      </c>
      <c r="I288" s="1377"/>
      <c r="J288" s="1377"/>
      <c r="K288" s="1377"/>
      <c r="L288" s="1377"/>
      <c r="M288" s="1377"/>
      <c r="N288" s="1377"/>
      <c r="O288" s="1377"/>
      <c r="P288" s="1377"/>
      <c r="Q288" s="1377"/>
      <c r="R288" s="1377"/>
      <c r="T288" s="3" t="s">
        <v>471</v>
      </c>
      <c r="V288" s="3"/>
      <c r="W288" s="3"/>
      <c r="X288" s="3"/>
      <c r="Y288" s="3"/>
      <c r="AA288" s="1377" t="s">
        <v>2644</v>
      </c>
      <c r="AB288" s="1377"/>
      <c r="AC288" s="1377"/>
      <c r="AD288" s="1377"/>
      <c r="AE288" s="1377"/>
      <c r="AF288" s="1377"/>
      <c r="AG288" s="1377"/>
      <c r="AH288" s="1377"/>
      <c r="AI288" s="1377"/>
      <c r="AJ288" s="1377"/>
      <c r="AK288" s="1377"/>
    </row>
    <row r="289" spans="2:37" ht="12.95" customHeight="1">
      <c r="B289" s="3" t="s">
        <v>472</v>
      </c>
      <c r="C289" s="3"/>
      <c r="D289" s="3"/>
      <c r="E289" s="3"/>
      <c r="F289" s="3"/>
      <c r="H289" s="1377" t="s">
        <v>2642</v>
      </c>
      <c r="I289" s="1377"/>
      <c r="J289" s="1377"/>
      <c r="K289" s="1377"/>
      <c r="L289" s="1377"/>
      <c r="M289" s="1377"/>
      <c r="N289" s="1377"/>
      <c r="O289" s="1377"/>
      <c r="P289" s="1377"/>
      <c r="Q289" s="1377"/>
      <c r="R289" s="1377"/>
      <c r="T289" s="3" t="s">
        <v>75</v>
      </c>
      <c r="V289" s="3"/>
      <c r="W289" s="3"/>
      <c r="X289" s="3"/>
      <c r="Y289" s="3"/>
      <c r="AA289" s="1377" t="s">
        <v>2645</v>
      </c>
      <c r="AB289" s="1377"/>
      <c r="AC289" s="1377"/>
      <c r="AD289" s="1377"/>
      <c r="AE289" s="1377"/>
      <c r="AF289" s="1377"/>
      <c r="AG289" s="1377"/>
      <c r="AH289" s="1377"/>
      <c r="AI289" s="1377"/>
      <c r="AJ289" s="1377"/>
      <c r="AK289" s="1377"/>
    </row>
    <row r="290" spans="2:37" ht="12.95" customHeight="1">
      <c r="B290" s="3" t="s">
        <v>87</v>
      </c>
      <c r="C290" s="3"/>
      <c r="D290" s="3"/>
      <c r="E290" s="3"/>
      <c r="F290" s="3"/>
      <c r="H290" s="1377" t="s">
        <v>2639</v>
      </c>
      <c r="I290" s="1377"/>
      <c r="J290" s="1377"/>
      <c r="K290" s="1377"/>
      <c r="L290" s="1377"/>
      <c r="M290" s="1377"/>
      <c r="N290" s="1377"/>
      <c r="O290" s="1377"/>
      <c r="P290" s="1377"/>
      <c r="Q290" s="1377"/>
      <c r="R290" s="1377"/>
      <c r="T290" s="3" t="s">
        <v>87</v>
      </c>
      <c r="V290" s="3"/>
      <c r="W290" s="3"/>
      <c r="X290" s="3"/>
      <c r="Y290" s="3"/>
      <c r="AA290" s="1377" t="s">
        <v>2646</v>
      </c>
      <c r="AB290" s="1377"/>
      <c r="AC290" s="1377"/>
      <c r="AD290" s="1377"/>
      <c r="AE290" s="1377"/>
      <c r="AF290" s="1377"/>
      <c r="AG290" s="1377"/>
      <c r="AH290" s="1377"/>
      <c r="AI290" s="1377"/>
      <c r="AJ290" s="1377"/>
      <c r="AK290" s="1377"/>
    </row>
    <row r="291" spans="2:37" ht="12.95" customHeight="1">
      <c r="B291" s="3" t="s">
        <v>88</v>
      </c>
      <c r="C291" s="3"/>
      <c r="D291" s="3"/>
      <c r="E291" s="3"/>
      <c r="F291" s="3"/>
      <c r="G291" s="3"/>
      <c r="H291" s="1586" t="s">
        <v>2664</v>
      </c>
      <c r="I291" s="1586"/>
      <c r="J291" s="1586"/>
      <c r="K291" s="1586"/>
      <c r="L291" s="1586"/>
      <c r="M291" s="1586"/>
      <c r="N291" s="4" t="s">
        <v>206</v>
      </c>
      <c r="O291" s="4"/>
      <c r="P291" s="1535"/>
      <c r="Q291" s="1535"/>
      <c r="R291" s="1535"/>
      <c r="S291" s="3"/>
      <c r="T291" s="3" t="s">
        <v>88</v>
      </c>
      <c r="V291" s="3"/>
      <c r="W291" s="3"/>
      <c r="X291" s="3"/>
      <c r="Y291" s="3"/>
      <c r="AA291" s="1586">
        <v>6464183990</v>
      </c>
      <c r="AB291" s="1586"/>
      <c r="AC291" s="1586"/>
      <c r="AD291" s="1586"/>
      <c r="AE291" s="1586"/>
      <c r="AF291" s="1586"/>
      <c r="AG291" s="4" t="s">
        <v>206</v>
      </c>
      <c r="AH291" s="4"/>
      <c r="AI291" s="1535"/>
      <c r="AJ291" s="1535"/>
      <c r="AK291" s="1535"/>
    </row>
    <row r="292" spans="2:37" ht="12.95" customHeight="1">
      <c r="B292" s="3" t="s">
        <v>89</v>
      </c>
      <c r="C292" s="3"/>
      <c r="D292" s="3"/>
      <c r="E292" s="3"/>
      <c r="F292" s="3"/>
      <c r="G292" s="3"/>
      <c r="H292" s="1492"/>
      <c r="I292" s="1492"/>
      <c r="J292" s="1492"/>
      <c r="K292" s="1492"/>
      <c r="L292" s="1492"/>
      <c r="M292" s="1492"/>
      <c r="N292" s="4"/>
      <c r="O292" s="4"/>
      <c r="P292" s="35"/>
      <c r="Q292" s="35"/>
      <c r="R292" s="35"/>
      <c r="S292" s="3"/>
      <c r="T292" s="3" t="s">
        <v>89</v>
      </c>
      <c r="V292" s="3"/>
      <c r="W292" s="3"/>
      <c r="X292" s="3"/>
      <c r="Y292" s="3"/>
      <c r="AA292" s="1492"/>
      <c r="AB292" s="1492"/>
      <c r="AC292" s="1492"/>
      <c r="AD292" s="1492"/>
      <c r="AE292" s="1492"/>
      <c r="AF292" s="1492"/>
      <c r="AG292" s="4"/>
      <c r="AH292" s="4"/>
      <c r="AI292" s="35"/>
      <c r="AJ292" s="35"/>
      <c r="AK292" s="35"/>
    </row>
    <row r="293" spans="2:37" ht="12.95" customHeight="1">
      <c r="B293" s="3" t="s">
        <v>76</v>
      </c>
      <c r="C293" s="3"/>
      <c r="D293" s="3"/>
      <c r="E293" s="3"/>
      <c r="F293" s="3"/>
      <c r="G293" s="3"/>
      <c r="H293" s="1377" t="s">
        <v>2640</v>
      </c>
      <c r="I293" s="1377"/>
      <c r="J293" s="1377"/>
      <c r="K293" s="1377"/>
      <c r="L293" s="1377"/>
      <c r="M293" s="1377"/>
      <c r="N293" s="1423"/>
      <c r="O293" s="1423"/>
      <c r="P293" s="1423"/>
      <c r="Q293" s="1423"/>
      <c r="R293" s="1423"/>
      <c r="S293" s="3"/>
      <c r="T293" s="3" t="s">
        <v>76</v>
      </c>
      <c r="V293" s="3"/>
      <c r="W293" s="3"/>
      <c r="X293" s="3"/>
      <c r="Y293" s="3"/>
      <c r="AA293" s="1377" t="s">
        <v>2663</v>
      </c>
      <c r="AB293" s="1377"/>
      <c r="AC293" s="1377"/>
      <c r="AD293" s="1377"/>
      <c r="AE293" s="1377"/>
      <c r="AF293" s="1377"/>
      <c r="AG293" s="1423"/>
      <c r="AH293" s="1423"/>
      <c r="AI293" s="1423"/>
      <c r="AJ293" s="1423"/>
      <c r="AK293" s="142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23" t="s">
        <v>2647</v>
      </c>
      <c r="I295" s="1423"/>
      <c r="J295" s="1423"/>
      <c r="K295" s="1423"/>
      <c r="L295" s="1423"/>
      <c r="M295" s="1423"/>
      <c r="N295" s="1423"/>
      <c r="O295" s="1423"/>
      <c r="P295" s="1423"/>
      <c r="Q295" s="1423"/>
      <c r="R295" s="1423"/>
      <c r="T295" s="3" t="s">
        <v>363</v>
      </c>
      <c r="V295" s="3"/>
      <c r="W295" s="3"/>
      <c r="X295" s="3"/>
      <c r="Y295" s="3"/>
      <c r="AA295" s="1423" t="s">
        <v>2651</v>
      </c>
      <c r="AB295" s="1423"/>
      <c r="AC295" s="1423"/>
      <c r="AD295" s="1423"/>
      <c r="AE295" s="1423"/>
      <c r="AF295" s="1423"/>
      <c r="AG295" s="1423"/>
      <c r="AH295" s="1423"/>
      <c r="AI295" s="1423"/>
      <c r="AJ295" s="1423"/>
      <c r="AK295" s="1423"/>
    </row>
    <row r="296" spans="2:37" ht="12.95" customHeight="1">
      <c r="B296" s="3" t="s">
        <v>471</v>
      </c>
      <c r="C296" s="3"/>
      <c r="D296" s="3"/>
      <c r="E296" s="3"/>
      <c r="F296" s="3"/>
      <c r="H296" s="1377" t="s">
        <v>2648</v>
      </c>
      <c r="I296" s="1377"/>
      <c r="J296" s="1377"/>
      <c r="K296" s="1377"/>
      <c r="L296" s="1377"/>
      <c r="M296" s="1377"/>
      <c r="N296" s="1377"/>
      <c r="O296" s="1377"/>
      <c r="P296" s="1377"/>
      <c r="Q296" s="1377"/>
      <c r="R296" s="1377"/>
      <c r="T296" s="3" t="s">
        <v>471</v>
      </c>
      <c r="V296" s="3"/>
      <c r="W296" s="3"/>
      <c r="X296" s="3"/>
      <c r="Y296" s="3"/>
      <c r="AA296" s="1377" t="s">
        <v>2652</v>
      </c>
      <c r="AB296" s="1377"/>
      <c r="AC296" s="1377"/>
      <c r="AD296" s="1377"/>
      <c r="AE296" s="1377"/>
      <c r="AF296" s="1377"/>
      <c r="AG296" s="1377"/>
      <c r="AH296" s="1377"/>
      <c r="AI296" s="1377"/>
      <c r="AJ296" s="1377"/>
      <c r="AK296" s="1377"/>
    </row>
    <row r="297" spans="2:37" ht="12.95" customHeight="1">
      <c r="B297" s="3" t="s">
        <v>472</v>
      </c>
      <c r="C297" s="3"/>
      <c r="D297" s="3"/>
      <c r="E297" s="3"/>
      <c r="F297" s="3"/>
      <c r="H297" s="1377" t="s">
        <v>2649</v>
      </c>
      <c r="I297" s="1377"/>
      <c r="J297" s="1377"/>
      <c r="K297" s="1377"/>
      <c r="L297" s="1377"/>
      <c r="M297" s="1377"/>
      <c r="N297" s="1377"/>
      <c r="O297" s="1377"/>
      <c r="P297" s="1377"/>
      <c r="Q297" s="1377"/>
      <c r="R297" s="1377"/>
      <c r="T297" s="3" t="s">
        <v>75</v>
      </c>
      <c r="V297" s="3"/>
      <c r="W297" s="3"/>
      <c r="X297" s="3"/>
      <c r="Y297" s="3"/>
      <c r="AA297" s="1377" t="s">
        <v>2653</v>
      </c>
      <c r="AB297" s="1377"/>
      <c r="AC297" s="1377"/>
      <c r="AD297" s="1377"/>
      <c r="AE297" s="1377"/>
      <c r="AF297" s="1377"/>
      <c r="AG297" s="1377"/>
      <c r="AH297" s="1377"/>
      <c r="AI297" s="1377"/>
      <c r="AJ297" s="1377"/>
      <c r="AK297" s="1377"/>
    </row>
    <row r="298" spans="2:37" ht="12.95" customHeight="1">
      <c r="B298" s="3" t="s">
        <v>87</v>
      </c>
      <c r="C298" s="3"/>
      <c r="D298" s="3"/>
      <c r="E298" s="3"/>
      <c r="F298" s="3"/>
      <c r="H298" s="1377" t="s">
        <v>2650</v>
      </c>
      <c r="I298" s="1377"/>
      <c r="J298" s="1377"/>
      <c r="K298" s="1377"/>
      <c r="L298" s="1377"/>
      <c r="M298" s="1377"/>
      <c r="N298" s="1377"/>
      <c r="O298" s="1377"/>
      <c r="P298" s="1377"/>
      <c r="Q298" s="1377"/>
      <c r="R298" s="1377"/>
      <c r="T298" s="3" t="s">
        <v>87</v>
      </c>
      <c r="V298" s="3"/>
      <c r="W298" s="3"/>
      <c r="X298" s="3"/>
      <c r="Y298" s="3"/>
      <c r="AA298" s="1377" t="s">
        <v>2654</v>
      </c>
      <c r="AB298" s="1377"/>
      <c r="AC298" s="1377"/>
      <c r="AD298" s="1377"/>
      <c r="AE298" s="1377"/>
      <c r="AF298" s="1377"/>
      <c r="AG298" s="1377"/>
      <c r="AH298" s="1377"/>
      <c r="AI298" s="1377"/>
      <c r="AJ298" s="1377"/>
      <c r="AK298" s="1377"/>
    </row>
    <row r="299" spans="2:37" ht="12.95" customHeight="1">
      <c r="B299" s="3" t="s">
        <v>88</v>
      </c>
      <c r="C299" s="3"/>
      <c r="D299" s="3"/>
      <c r="E299" s="3"/>
      <c r="F299" s="3"/>
      <c r="G299" s="3"/>
      <c r="H299" s="1586" t="s">
        <v>2665</v>
      </c>
      <c r="I299" s="1586"/>
      <c r="J299" s="1586"/>
      <c r="K299" s="1586"/>
      <c r="L299" s="1586"/>
      <c r="M299" s="1586"/>
      <c r="N299" s="4" t="s">
        <v>206</v>
      </c>
      <c r="O299" s="4"/>
      <c r="P299" s="1535"/>
      <c r="Q299" s="1535"/>
      <c r="R299" s="1535"/>
      <c r="S299" s="3"/>
      <c r="T299" s="3" t="s">
        <v>88</v>
      </c>
      <c r="V299" s="3"/>
      <c r="W299" s="3"/>
      <c r="X299" s="3"/>
      <c r="Y299" s="3"/>
      <c r="AA299" s="1586">
        <v>3234960407</v>
      </c>
      <c r="AB299" s="1586"/>
      <c r="AC299" s="1586"/>
      <c r="AD299" s="1586"/>
      <c r="AE299" s="1586"/>
      <c r="AF299" s="1586"/>
      <c r="AG299" s="4" t="s">
        <v>206</v>
      </c>
      <c r="AH299" s="4"/>
      <c r="AI299" s="1535"/>
      <c r="AJ299" s="1535"/>
      <c r="AK299" s="1535"/>
    </row>
    <row r="300" spans="2:37" ht="12.95" customHeight="1">
      <c r="B300" s="3" t="s">
        <v>89</v>
      </c>
      <c r="C300" s="3"/>
      <c r="D300" s="3"/>
      <c r="E300" s="3"/>
      <c r="F300" s="3"/>
      <c r="G300" s="3"/>
      <c r="H300" s="1492"/>
      <c r="I300" s="1492"/>
      <c r="J300" s="1492"/>
      <c r="K300" s="1492"/>
      <c r="L300" s="1492"/>
      <c r="M300" s="1492"/>
      <c r="N300" s="4"/>
      <c r="O300" s="4"/>
      <c r="P300" s="35"/>
      <c r="Q300" s="35"/>
      <c r="R300" s="35"/>
      <c r="S300" s="3"/>
      <c r="T300" s="3" t="s">
        <v>89</v>
      </c>
      <c r="V300" s="3"/>
      <c r="W300" s="3"/>
      <c r="X300" s="3"/>
      <c r="Y300" s="3"/>
      <c r="AA300" s="1492"/>
      <c r="AB300" s="1492"/>
      <c r="AC300" s="1492"/>
      <c r="AD300" s="1492"/>
      <c r="AE300" s="1492"/>
      <c r="AF300" s="1492"/>
      <c r="AG300" s="4"/>
      <c r="AH300" s="4"/>
      <c r="AI300" s="35"/>
      <c r="AJ300" s="35"/>
      <c r="AK300" s="35"/>
    </row>
    <row r="301" spans="2:37" ht="12.95" customHeight="1">
      <c r="B301" s="3" t="s">
        <v>76</v>
      </c>
      <c r="C301" s="3"/>
      <c r="D301" s="3"/>
      <c r="E301" s="3"/>
      <c r="F301" s="3"/>
      <c r="G301" s="3"/>
      <c r="H301" s="1377" t="s">
        <v>2668</v>
      </c>
      <c r="I301" s="1377"/>
      <c r="J301" s="1377"/>
      <c r="K301" s="1377"/>
      <c r="L301" s="1377"/>
      <c r="M301" s="1377"/>
      <c r="N301" s="1423"/>
      <c r="O301" s="1423"/>
      <c r="P301" s="1423"/>
      <c r="Q301" s="1423"/>
      <c r="R301" s="1423"/>
      <c r="S301" s="3"/>
      <c r="T301" s="3" t="s">
        <v>76</v>
      </c>
      <c r="V301" s="3"/>
      <c r="W301" s="3"/>
      <c r="X301" s="3"/>
      <c r="Y301" s="3"/>
      <c r="AA301" s="1377" t="s">
        <v>2669</v>
      </c>
      <c r="AB301" s="1377"/>
      <c r="AC301" s="1377"/>
      <c r="AD301" s="1377"/>
      <c r="AE301" s="1377"/>
      <c r="AF301" s="1377"/>
      <c r="AG301" s="1423"/>
      <c r="AH301" s="1423"/>
      <c r="AI301" s="1423"/>
      <c r="AJ301" s="1423"/>
      <c r="AK301" s="1423"/>
    </row>
    <row r="302" spans="2:37" ht="12.95" customHeight="1"/>
    <row r="303" spans="2:37" ht="12.95" customHeight="1">
      <c r="B303" s="3" t="s">
        <v>77</v>
      </c>
      <c r="C303" s="3"/>
      <c r="D303" s="3"/>
      <c r="E303" s="3"/>
      <c r="F303" s="3"/>
      <c r="H303" s="1423" t="s">
        <v>2655</v>
      </c>
      <c r="I303" s="1423"/>
      <c r="J303" s="1423"/>
      <c r="K303" s="1423"/>
      <c r="L303" s="1423"/>
      <c r="M303" s="1423"/>
      <c r="N303" s="1423"/>
      <c r="O303" s="1423"/>
      <c r="P303" s="1423"/>
      <c r="Q303" s="1423"/>
      <c r="R303" s="1423"/>
      <c r="T303" s="4" t="s">
        <v>877</v>
      </c>
      <c r="V303" s="3"/>
      <c r="W303" s="3"/>
      <c r="X303" s="3"/>
      <c r="Y303" s="3"/>
      <c r="AA303" s="1423" t="s">
        <v>2659</v>
      </c>
      <c r="AB303" s="1423"/>
      <c r="AC303" s="1423"/>
      <c r="AD303" s="1423"/>
      <c r="AE303" s="1423"/>
      <c r="AF303" s="1423"/>
      <c r="AG303" s="1423"/>
      <c r="AH303" s="1423"/>
      <c r="AI303" s="1423"/>
      <c r="AJ303" s="1423"/>
      <c r="AK303" s="1423"/>
    </row>
    <row r="304" spans="2:37" ht="12.95" customHeight="1">
      <c r="B304" s="3" t="s">
        <v>471</v>
      </c>
      <c r="C304" s="3"/>
      <c r="D304" s="3"/>
      <c r="E304" s="3"/>
      <c r="F304" s="3"/>
      <c r="H304" s="1377" t="s">
        <v>2656</v>
      </c>
      <c r="I304" s="1377"/>
      <c r="J304" s="1377"/>
      <c r="K304" s="1377"/>
      <c r="L304" s="1377"/>
      <c r="M304" s="1377"/>
      <c r="N304" s="1377"/>
      <c r="O304" s="1377"/>
      <c r="P304" s="1377"/>
      <c r="Q304" s="1377"/>
      <c r="R304" s="1377"/>
      <c r="T304" s="3" t="s">
        <v>471</v>
      </c>
      <c r="V304" s="3"/>
      <c r="W304" s="3"/>
      <c r="X304" s="3"/>
      <c r="Y304" s="3"/>
      <c r="AA304" s="1377" t="s">
        <v>2660</v>
      </c>
      <c r="AB304" s="1377"/>
      <c r="AC304" s="1377"/>
      <c r="AD304" s="1377"/>
      <c r="AE304" s="1377"/>
      <c r="AF304" s="1377"/>
      <c r="AG304" s="1377"/>
      <c r="AH304" s="1377"/>
      <c r="AI304" s="1377"/>
      <c r="AJ304" s="1377"/>
      <c r="AK304" s="1377"/>
    </row>
    <row r="305" spans="2:37" ht="12.95" customHeight="1">
      <c r="B305" s="3" t="s">
        <v>472</v>
      </c>
      <c r="C305" s="3"/>
      <c r="D305" s="3"/>
      <c r="E305" s="3"/>
      <c r="F305" s="3"/>
      <c r="H305" s="1377" t="s">
        <v>2657</v>
      </c>
      <c r="I305" s="1377"/>
      <c r="J305" s="1377"/>
      <c r="K305" s="1377"/>
      <c r="L305" s="1377"/>
      <c r="M305" s="1377"/>
      <c r="N305" s="1377"/>
      <c r="O305" s="1377"/>
      <c r="P305" s="1377"/>
      <c r="Q305" s="1377"/>
      <c r="R305" s="1377"/>
      <c r="T305" s="3" t="s">
        <v>75</v>
      </c>
      <c r="V305" s="3"/>
      <c r="W305" s="3"/>
      <c r="X305" s="3"/>
      <c r="Y305" s="3"/>
      <c r="AA305" s="1377" t="s">
        <v>2661</v>
      </c>
      <c r="AB305" s="1377"/>
      <c r="AC305" s="1377"/>
      <c r="AD305" s="1377"/>
      <c r="AE305" s="1377"/>
      <c r="AF305" s="1377"/>
      <c r="AG305" s="1377"/>
      <c r="AH305" s="1377"/>
      <c r="AI305" s="1377"/>
      <c r="AJ305" s="1377"/>
      <c r="AK305" s="1377"/>
    </row>
    <row r="306" spans="2:37" ht="12.95" customHeight="1">
      <c r="B306" s="3" t="s">
        <v>87</v>
      </c>
      <c r="C306" s="3"/>
      <c r="D306" s="3"/>
      <c r="E306" s="3"/>
      <c r="F306" s="3"/>
      <c r="H306" s="1377" t="s">
        <v>2658</v>
      </c>
      <c r="I306" s="1377"/>
      <c r="J306" s="1377"/>
      <c r="K306" s="1377"/>
      <c r="L306" s="1377"/>
      <c r="M306" s="1377"/>
      <c r="N306" s="1377"/>
      <c r="O306" s="1377"/>
      <c r="P306" s="1377"/>
      <c r="Q306" s="1377"/>
      <c r="R306" s="1377"/>
      <c r="T306" s="3" t="s">
        <v>87</v>
      </c>
      <c r="V306" s="3"/>
      <c r="W306" s="3"/>
      <c r="X306" s="3"/>
      <c r="Y306" s="3"/>
      <c r="AA306" s="1377" t="s">
        <v>2662</v>
      </c>
      <c r="AB306" s="1377"/>
      <c r="AC306" s="1377"/>
      <c r="AD306" s="1377"/>
      <c r="AE306" s="1377"/>
      <c r="AF306" s="1377"/>
      <c r="AG306" s="1377"/>
      <c r="AH306" s="1377"/>
      <c r="AI306" s="1377"/>
      <c r="AJ306" s="1377"/>
      <c r="AK306" s="1377"/>
    </row>
    <row r="307" spans="2:37" ht="12.95" customHeight="1">
      <c r="B307" s="3" t="s">
        <v>88</v>
      </c>
      <c r="C307" s="3"/>
      <c r="D307" s="3"/>
      <c r="E307" s="3"/>
      <c r="F307" s="3"/>
      <c r="G307" s="3"/>
      <c r="H307" s="1586" t="s">
        <v>2666</v>
      </c>
      <c r="I307" s="1586"/>
      <c r="J307" s="1586"/>
      <c r="K307" s="1586"/>
      <c r="L307" s="1586"/>
      <c r="M307" s="1586"/>
      <c r="N307" s="4" t="s">
        <v>206</v>
      </c>
      <c r="O307" s="4"/>
      <c r="P307" s="1535"/>
      <c r="Q307" s="1535"/>
      <c r="R307" s="1535"/>
      <c r="S307" s="3"/>
      <c r="T307" s="3" t="s">
        <v>88</v>
      </c>
      <c r="V307" s="3"/>
      <c r="W307" s="3"/>
      <c r="X307" s="3"/>
      <c r="Y307" s="3"/>
      <c r="AA307" s="1586" t="s">
        <v>2670</v>
      </c>
      <c r="AB307" s="1586"/>
      <c r="AC307" s="1586"/>
      <c r="AD307" s="1586"/>
      <c r="AE307" s="1586"/>
      <c r="AF307" s="1586"/>
      <c r="AG307" s="4" t="s">
        <v>206</v>
      </c>
      <c r="AH307" s="4"/>
      <c r="AI307" s="1535"/>
      <c r="AJ307" s="1535"/>
      <c r="AK307" s="1535"/>
    </row>
    <row r="308" spans="2:37" ht="12.95" customHeight="1">
      <c r="B308" s="3" t="s">
        <v>89</v>
      </c>
      <c r="C308" s="3"/>
      <c r="D308" s="3"/>
      <c r="E308" s="3"/>
      <c r="F308" s="3"/>
      <c r="G308" s="3"/>
      <c r="H308" s="1492"/>
      <c r="I308" s="1492"/>
      <c r="J308" s="1492"/>
      <c r="K308" s="1492"/>
      <c r="L308" s="1492"/>
      <c r="M308" s="1492"/>
      <c r="N308" s="4"/>
      <c r="O308" s="4"/>
      <c r="P308" s="35"/>
      <c r="Q308" s="35"/>
      <c r="R308" s="35"/>
      <c r="S308" s="3"/>
      <c r="T308" s="3" t="s">
        <v>89</v>
      </c>
      <c r="V308" s="3"/>
      <c r="W308" s="3"/>
      <c r="X308" s="3"/>
      <c r="Y308" s="3"/>
      <c r="AA308" s="1492"/>
      <c r="AB308" s="1492"/>
      <c r="AC308" s="1492"/>
      <c r="AD308" s="1492"/>
      <c r="AE308" s="1492"/>
      <c r="AF308" s="1492"/>
      <c r="AG308" s="4"/>
      <c r="AH308" s="4"/>
      <c r="AI308" s="35"/>
      <c r="AJ308" s="35"/>
      <c r="AK308" s="35"/>
    </row>
    <row r="309" spans="2:37" ht="12.95" customHeight="1">
      <c r="B309" s="3" t="s">
        <v>76</v>
      </c>
      <c r="C309" s="3"/>
      <c r="D309" s="3"/>
      <c r="E309" s="3"/>
      <c r="F309" s="3"/>
      <c r="G309" s="3"/>
      <c r="H309" s="1377" t="s">
        <v>2667</v>
      </c>
      <c r="I309" s="1377"/>
      <c r="J309" s="1377"/>
      <c r="K309" s="1377"/>
      <c r="L309" s="1377"/>
      <c r="M309" s="1377"/>
      <c r="N309" s="1423"/>
      <c r="O309" s="1423"/>
      <c r="P309" s="1423"/>
      <c r="Q309" s="1423"/>
      <c r="R309" s="1423"/>
      <c r="S309" s="3"/>
      <c r="T309" s="3" t="s">
        <v>76</v>
      </c>
      <c r="V309" s="3"/>
      <c r="W309" s="3"/>
      <c r="X309" s="3"/>
      <c r="Y309" s="3"/>
      <c r="AA309" s="1377" t="s">
        <v>2671</v>
      </c>
      <c r="AB309" s="1377"/>
      <c r="AC309" s="1377"/>
      <c r="AD309" s="1377"/>
      <c r="AE309" s="1377"/>
      <c r="AF309" s="1377"/>
      <c r="AG309" s="1423"/>
      <c r="AH309" s="1423"/>
      <c r="AI309" s="1423"/>
      <c r="AJ309" s="1423"/>
      <c r="AK309" s="1423"/>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423" t="s">
        <v>2655</v>
      </c>
      <c r="I311" s="1423"/>
      <c r="J311" s="1423"/>
      <c r="K311" s="1423"/>
      <c r="L311" s="1423"/>
      <c r="M311" s="1423"/>
      <c r="N311" s="1423"/>
      <c r="O311" s="1423"/>
      <c r="P311" s="1423"/>
      <c r="Q311" s="1423"/>
      <c r="R311" s="1423"/>
      <c r="S311" s="3"/>
      <c r="T311" s="3" t="s">
        <v>364</v>
      </c>
      <c r="V311" s="3"/>
      <c r="W311" s="3"/>
      <c r="X311" s="3"/>
      <c r="Y311" s="3"/>
      <c r="AA311" s="1423" t="s">
        <v>2672</v>
      </c>
      <c r="AB311" s="1423"/>
      <c r="AC311" s="1423"/>
      <c r="AD311" s="1423"/>
      <c r="AE311" s="1423"/>
      <c r="AF311" s="1423"/>
      <c r="AG311" s="1423"/>
      <c r="AH311" s="1423"/>
      <c r="AI311" s="1423"/>
      <c r="AJ311" s="1423"/>
      <c r="AK311" s="1423"/>
    </row>
    <row r="312" spans="2:37" ht="12.95" customHeight="1">
      <c r="B312" s="3" t="s">
        <v>471</v>
      </c>
      <c r="C312" s="3"/>
      <c r="D312" s="3"/>
      <c r="E312" s="3"/>
      <c r="F312" s="3"/>
      <c r="H312" s="1377" t="s">
        <v>2656</v>
      </c>
      <c r="I312" s="1377"/>
      <c r="J312" s="1377"/>
      <c r="K312" s="1377"/>
      <c r="L312" s="1377"/>
      <c r="M312" s="1377"/>
      <c r="N312" s="1377"/>
      <c r="O312" s="1377"/>
      <c r="P312" s="1377"/>
      <c r="Q312" s="1377"/>
      <c r="R312" s="1377"/>
      <c r="S312" s="3"/>
      <c r="T312" s="3" t="s">
        <v>471</v>
      </c>
      <c r="V312" s="3"/>
      <c r="W312" s="3"/>
      <c r="X312" s="3"/>
      <c r="Y312" s="3"/>
      <c r="AA312" s="1377" t="s">
        <v>2673</v>
      </c>
      <c r="AB312" s="1377"/>
      <c r="AC312" s="1377"/>
      <c r="AD312" s="1377"/>
      <c r="AE312" s="1377"/>
      <c r="AF312" s="1377"/>
      <c r="AG312" s="1377"/>
      <c r="AH312" s="1377"/>
      <c r="AI312" s="1377"/>
      <c r="AJ312" s="1377"/>
      <c r="AK312" s="1377"/>
    </row>
    <row r="313" spans="2:37" ht="12.95" customHeight="1">
      <c r="B313" s="3" t="s">
        <v>472</v>
      </c>
      <c r="C313" s="3"/>
      <c r="D313" s="3"/>
      <c r="E313" s="3"/>
      <c r="F313" s="3"/>
      <c r="H313" s="1377" t="s">
        <v>2657</v>
      </c>
      <c r="I313" s="1377"/>
      <c r="J313" s="1377"/>
      <c r="K313" s="1377"/>
      <c r="L313" s="1377"/>
      <c r="M313" s="1377"/>
      <c r="N313" s="1377"/>
      <c r="O313" s="1377"/>
      <c r="P313" s="1377"/>
      <c r="Q313" s="1377"/>
      <c r="R313" s="1377"/>
      <c r="S313" s="3"/>
      <c r="T313" s="3" t="s">
        <v>75</v>
      </c>
      <c r="V313" s="3"/>
      <c r="W313" s="3"/>
      <c r="X313" s="3"/>
      <c r="Y313" s="3"/>
      <c r="AA313" s="1377" t="s">
        <v>2674</v>
      </c>
      <c r="AB313" s="1377"/>
      <c r="AC313" s="1377"/>
      <c r="AD313" s="1377"/>
      <c r="AE313" s="1377"/>
      <c r="AF313" s="1377"/>
      <c r="AG313" s="1377"/>
      <c r="AH313" s="1377"/>
      <c r="AI313" s="1377"/>
      <c r="AJ313" s="1377"/>
      <c r="AK313" s="1377"/>
    </row>
    <row r="314" spans="2:37" ht="12.95" customHeight="1">
      <c r="B314" s="3" t="s">
        <v>87</v>
      </c>
      <c r="C314" s="3"/>
      <c r="D314" s="3"/>
      <c r="E314" s="3"/>
      <c r="F314" s="3"/>
      <c r="H314" s="1377" t="s">
        <v>2658</v>
      </c>
      <c r="I314" s="1377"/>
      <c r="J314" s="1377"/>
      <c r="K314" s="1377"/>
      <c r="L314" s="1377"/>
      <c r="M314" s="1377"/>
      <c r="N314" s="1377"/>
      <c r="O314" s="1377"/>
      <c r="P314" s="1377"/>
      <c r="Q314" s="1377"/>
      <c r="R314" s="1377"/>
      <c r="S314" s="3"/>
      <c r="T314" s="3" t="s">
        <v>87</v>
      </c>
      <c r="V314" s="3"/>
      <c r="W314" s="3"/>
      <c r="X314" s="3"/>
      <c r="Y314" s="3"/>
      <c r="AA314" s="1377" t="s">
        <v>2675</v>
      </c>
      <c r="AB314" s="1377"/>
      <c r="AC314" s="1377"/>
      <c r="AD314" s="1377"/>
      <c r="AE314" s="1377"/>
      <c r="AF314" s="1377"/>
      <c r="AG314" s="1377"/>
      <c r="AH314" s="1377"/>
      <c r="AI314" s="1377"/>
      <c r="AJ314" s="1377"/>
      <c r="AK314" s="1377"/>
    </row>
    <row r="315" spans="2:37" ht="12.95" customHeight="1">
      <c r="B315" s="3" t="s">
        <v>88</v>
      </c>
      <c r="C315" s="3"/>
      <c r="D315" s="3"/>
      <c r="E315" s="3"/>
      <c r="F315" s="3"/>
      <c r="G315" s="3"/>
      <c r="H315" s="1586" t="s">
        <v>2666</v>
      </c>
      <c r="I315" s="1586"/>
      <c r="J315" s="1586"/>
      <c r="K315" s="1586"/>
      <c r="L315" s="1586"/>
      <c r="M315" s="1586"/>
      <c r="N315" s="4" t="s">
        <v>206</v>
      </c>
      <c r="O315" s="4"/>
      <c r="P315" s="1535"/>
      <c r="Q315" s="1535"/>
      <c r="R315" s="1535"/>
      <c r="S315" s="3"/>
      <c r="T315" s="3" t="s">
        <v>88</v>
      </c>
      <c r="V315" s="3"/>
      <c r="W315" s="3"/>
      <c r="X315" s="3"/>
      <c r="Y315" s="3"/>
      <c r="AA315" s="1586" t="s">
        <v>2676</v>
      </c>
      <c r="AB315" s="1586"/>
      <c r="AC315" s="1586"/>
      <c r="AD315" s="1586"/>
      <c r="AE315" s="1586"/>
      <c r="AF315" s="1586"/>
      <c r="AG315" s="4" t="s">
        <v>206</v>
      </c>
      <c r="AH315" s="4"/>
      <c r="AI315" s="1535"/>
      <c r="AJ315" s="1535"/>
      <c r="AK315" s="1535"/>
    </row>
    <row r="316" spans="2:37" ht="12.95" customHeight="1">
      <c r="B316" s="3" t="s">
        <v>89</v>
      </c>
      <c r="C316" s="3"/>
      <c r="D316" s="3"/>
      <c r="E316" s="3"/>
      <c r="F316" s="3"/>
      <c r="G316" s="3"/>
      <c r="H316" s="1492"/>
      <c r="I316" s="1492"/>
      <c r="J316" s="1492"/>
      <c r="K316" s="1492"/>
      <c r="L316" s="1492"/>
      <c r="M316" s="1492"/>
      <c r="N316" s="4"/>
      <c r="O316" s="4"/>
      <c r="P316" s="35"/>
      <c r="Q316" s="35"/>
      <c r="R316" s="35"/>
      <c r="S316" s="3"/>
      <c r="T316" s="3" t="s">
        <v>89</v>
      </c>
      <c r="V316" s="3"/>
      <c r="W316" s="3"/>
      <c r="X316" s="3"/>
      <c r="Y316" s="3"/>
      <c r="AA316" s="1492"/>
      <c r="AB316" s="1492"/>
      <c r="AC316" s="1492"/>
      <c r="AD316" s="1492"/>
      <c r="AE316" s="1492"/>
      <c r="AF316" s="1492"/>
      <c r="AG316" s="4"/>
      <c r="AH316" s="4"/>
      <c r="AI316" s="35"/>
      <c r="AJ316" s="35"/>
      <c r="AK316" s="35"/>
    </row>
    <row r="317" spans="2:37" ht="12.95" customHeight="1">
      <c r="B317" s="3" t="s">
        <v>76</v>
      </c>
      <c r="C317" s="3"/>
      <c r="D317" s="3"/>
      <c r="E317" s="3"/>
      <c r="F317" s="3"/>
      <c r="G317" s="3"/>
      <c r="H317" s="1377" t="s">
        <v>2667</v>
      </c>
      <c r="I317" s="1377"/>
      <c r="J317" s="1377"/>
      <c r="K317" s="1377"/>
      <c r="L317" s="1377"/>
      <c r="M317" s="1377"/>
      <c r="N317" s="1423"/>
      <c r="O317" s="1423"/>
      <c r="P317" s="1423"/>
      <c r="Q317" s="1423"/>
      <c r="R317" s="1423"/>
      <c r="S317" s="3"/>
      <c r="T317" s="3" t="s">
        <v>76</v>
      </c>
      <c r="V317" s="3"/>
      <c r="W317" s="3"/>
      <c r="X317" s="3"/>
      <c r="Y317" s="3"/>
      <c r="AA317" s="251" t="s">
        <v>2677</v>
      </c>
      <c r="AB317" s="251"/>
      <c r="AC317" s="251"/>
      <c r="AD317" s="251"/>
      <c r="AE317" s="251"/>
      <c r="AF317" s="251"/>
      <c r="AG317" s="1261"/>
      <c r="AH317" s="1261"/>
      <c r="AI317" s="1261"/>
      <c r="AJ317" s="1261"/>
      <c r="AK317" s="1261"/>
    </row>
    <row r="318" spans="2:37" ht="12.95" customHeight="1"/>
    <row r="319" spans="2:37" ht="12.95" customHeight="1">
      <c r="B319" s="4" t="s">
        <v>907</v>
      </c>
      <c r="C319" s="3"/>
      <c r="D319" s="3"/>
      <c r="E319" s="3"/>
      <c r="F319" s="3"/>
      <c r="H319" s="1423"/>
      <c r="I319" s="1423"/>
      <c r="J319" s="1423"/>
      <c r="K319" s="1423"/>
      <c r="L319" s="1423"/>
      <c r="M319" s="1423"/>
      <c r="N319" s="1423"/>
      <c r="O319" s="1423"/>
      <c r="P319" s="1423"/>
      <c r="Q319" s="1423"/>
      <c r="R319" s="1423"/>
      <c r="T319" s="3" t="s">
        <v>365</v>
      </c>
      <c r="V319" s="3"/>
      <c r="W319" s="3"/>
      <c r="X319" s="3"/>
      <c r="Y319" s="3"/>
      <c r="AA319" s="1261" t="s">
        <v>2683</v>
      </c>
      <c r="AB319" s="1261"/>
      <c r="AC319" s="1261"/>
      <c r="AD319" s="1261"/>
      <c r="AE319" s="1261"/>
      <c r="AF319" s="1261"/>
      <c r="AG319" s="1261"/>
      <c r="AH319" s="1261"/>
      <c r="AI319" s="1261"/>
      <c r="AJ319" s="1261"/>
      <c r="AK319" s="1261"/>
    </row>
    <row r="320" spans="2:37" ht="12.95" customHeight="1">
      <c r="B320" s="3" t="s">
        <v>471</v>
      </c>
      <c r="C320" s="3"/>
      <c r="D320" s="3"/>
      <c r="E320" s="3"/>
      <c r="F320" s="3"/>
      <c r="H320" s="1377"/>
      <c r="I320" s="1377"/>
      <c r="J320" s="1377"/>
      <c r="K320" s="1377"/>
      <c r="L320" s="1377"/>
      <c r="M320" s="1377"/>
      <c r="N320" s="1377"/>
      <c r="O320" s="1377"/>
      <c r="P320" s="1377"/>
      <c r="Q320" s="1377"/>
      <c r="R320" s="1377"/>
      <c r="T320" s="3" t="s">
        <v>471</v>
      </c>
      <c r="V320" s="3"/>
      <c r="W320" s="3"/>
      <c r="X320" s="3"/>
      <c r="Y320" s="3"/>
      <c r="AA320" s="251" t="s">
        <v>2684</v>
      </c>
      <c r="AB320" s="251"/>
      <c r="AC320" s="251"/>
      <c r="AD320" s="251"/>
      <c r="AE320" s="251"/>
      <c r="AF320" s="251"/>
      <c r="AG320" s="251"/>
      <c r="AH320" s="251"/>
      <c r="AI320" s="251"/>
      <c r="AJ320" s="251"/>
      <c r="AK320" s="251"/>
    </row>
    <row r="321" spans="2:37" ht="12.95" customHeight="1">
      <c r="B321" s="3" t="s">
        <v>472</v>
      </c>
      <c r="C321" s="3"/>
      <c r="D321" s="3"/>
      <c r="E321" s="3"/>
      <c r="F321" s="3"/>
      <c r="H321" s="1377"/>
      <c r="I321" s="1377"/>
      <c r="J321" s="1377"/>
      <c r="K321" s="1377"/>
      <c r="L321" s="1377"/>
      <c r="M321" s="1377"/>
      <c r="N321" s="1377"/>
      <c r="O321" s="1377"/>
      <c r="P321" s="1377"/>
      <c r="Q321" s="1377"/>
      <c r="R321" s="1377"/>
      <c r="T321" s="3" t="s">
        <v>75</v>
      </c>
      <c r="V321" s="3"/>
      <c r="W321" s="3"/>
      <c r="X321" s="3"/>
      <c r="Y321" s="3"/>
      <c r="AA321" s="251" t="s">
        <v>2685</v>
      </c>
      <c r="AB321" s="251"/>
      <c r="AC321" s="251"/>
      <c r="AD321" s="251"/>
      <c r="AE321" s="251"/>
      <c r="AF321" s="251"/>
      <c r="AG321" s="251"/>
      <c r="AH321" s="251"/>
      <c r="AI321" s="251"/>
      <c r="AJ321" s="251"/>
      <c r="AK321" s="251"/>
    </row>
    <row r="322" spans="2:37" ht="12.95" customHeight="1">
      <c r="B322" s="3" t="s">
        <v>87</v>
      </c>
      <c r="C322" s="3"/>
      <c r="D322" s="3"/>
      <c r="E322" s="3"/>
      <c r="F322" s="3"/>
      <c r="H322" s="1377"/>
      <c r="I322" s="1377"/>
      <c r="J322" s="1377"/>
      <c r="K322" s="1377"/>
      <c r="L322" s="1377"/>
      <c r="M322" s="1377"/>
      <c r="N322" s="1377"/>
      <c r="O322" s="1377"/>
      <c r="P322" s="1377"/>
      <c r="Q322" s="1377"/>
      <c r="R322" s="1377"/>
      <c r="T322" s="3" t="s">
        <v>87</v>
      </c>
      <c r="V322" s="3"/>
      <c r="W322" s="3"/>
      <c r="X322" s="3"/>
      <c r="Y322" s="3"/>
      <c r="AA322" s="251" t="s">
        <v>2686</v>
      </c>
      <c r="AB322" s="251"/>
      <c r="AC322" s="251"/>
      <c r="AD322" s="251"/>
      <c r="AE322" s="251"/>
      <c r="AF322" s="251"/>
      <c r="AG322" s="251"/>
      <c r="AH322" s="251"/>
      <c r="AI322" s="251"/>
      <c r="AJ322" s="251"/>
      <c r="AK322" s="251"/>
    </row>
    <row r="323" spans="2:37" ht="12.95" customHeight="1">
      <c r="B323" s="3" t="s">
        <v>88</v>
      </c>
      <c r="C323" s="3"/>
      <c r="D323" s="3"/>
      <c r="E323" s="3"/>
      <c r="F323" s="3"/>
      <c r="G323" s="3"/>
      <c r="H323" s="1587"/>
      <c r="I323" s="1587"/>
      <c r="J323" s="1587"/>
      <c r="K323" s="1587"/>
      <c r="L323" s="1587"/>
      <c r="M323" s="1587"/>
      <c r="N323" s="4" t="s">
        <v>206</v>
      </c>
      <c r="O323" s="4"/>
      <c r="P323" s="1535"/>
      <c r="Q323" s="1535"/>
      <c r="R323" s="1535"/>
      <c r="S323" s="3"/>
      <c r="T323" s="3" t="s">
        <v>88</v>
      </c>
      <c r="V323" s="3"/>
      <c r="W323" s="3"/>
      <c r="X323" s="3"/>
      <c r="Y323" s="3"/>
      <c r="AA323" s="1587">
        <v>4022020771</v>
      </c>
      <c r="AB323" s="1587"/>
      <c r="AC323" s="1587"/>
      <c r="AD323" s="1587"/>
      <c r="AE323" s="1587"/>
      <c r="AF323" s="1587"/>
      <c r="AG323" s="4" t="s">
        <v>206</v>
      </c>
      <c r="AH323" s="4"/>
      <c r="AI323" s="1535"/>
      <c r="AJ323" s="1535"/>
      <c r="AK323" s="1535"/>
    </row>
    <row r="324" spans="2:37" ht="12.95" customHeight="1">
      <c r="B324" s="3" t="s">
        <v>89</v>
      </c>
      <c r="C324" s="3"/>
      <c r="D324" s="3"/>
      <c r="E324" s="3"/>
      <c r="F324" s="3"/>
      <c r="G324" s="3"/>
      <c r="H324" s="1492"/>
      <c r="I324" s="1492"/>
      <c r="J324" s="1492"/>
      <c r="K324" s="1492"/>
      <c r="L324" s="1492"/>
      <c r="M324" s="1492"/>
      <c r="N324" s="4"/>
      <c r="O324" s="4"/>
      <c r="P324" s="35"/>
      <c r="Q324" s="35"/>
      <c r="R324" s="35"/>
      <c r="S324" s="3"/>
      <c r="T324" s="3" t="s">
        <v>89</v>
      </c>
      <c r="V324" s="3"/>
      <c r="W324" s="3"/>
      <c r="X324" s="3"/>
      <c r="Y324" s="3"/>
      <c r="AA324" s="1492"/>
      <c r="AB324" s="1492"/>
      <c r="AC324" s="1492"/>
      <c r="AD324" s="1492"/>
      <c r="AE324" s="1492"/>
      <c r="AF324" s="1492"/>
      <c r="AG324" s="4"/>
      <c r="AH324" s="4"/>
      <c r="AI324" s="35"/>
      <c r="AJ324" s="35"/>
      <c r="AK324" s="35"/>
    </row>
    <row r="325" spans="2:37" ht="12.95" customHeight="1">
      <c r="B325" s="3" t="s">
        <v>76</v>
      </c>
      <c r="C325" s="3"/>
      <c r="D325" s="3"/>
      <c r="E325" s="3"/>
      <c r="F325" s="3"/>
      <c r="G325" s="3"/>
      <c r="H325" s="1377"/>
      <c r="I325" s="1377"/>
      <c r="J325" s="1377"/>
      <c r="K325" s="1377"/>
      <c r="L325" s="1377"/>
      <c r="M325" s="1377"/>
      <c r="N325" s="1423"/>
      <c r="O325" s="1423"/>
      <c r="P325" s="1423"/>
      <c r="Q325" s="1423"/>
      <c r="R325" s="1423"/>
      <c r="S325" s="3"/>
      <c r="T325" s="3" t="s">
        <v>76</v>
      </c>
      <c r="V325" s="3"/>
      <c r="W325" s="3"/>
      <c r="X325" s="3"/>
      <c r="Y325" s="3"/>
      <c r="AA325" s="1377" t="s">
        <v>2687</v>
      </c>
      <c r="AB325" s="1377"/>
      <c r="AC325" s="1377"/>
      <c r="AD325" s="1377"/>
      <c r="AE325" s="1377"/>
      <c r="AF325" s="1377"/>
      <c r="AG325" s="1423"/>
      <c r="AH325" s="1423"/>
      <c r="AI325" s="1423"/>
      <c r="AJ325" s="1423"/>
      <c r="AK325" s="1423"/>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261" t="s">
        <v>2678</v>
      </c>
      <c r="I327" s="1261"/>
      <c r="J327" s="1261"/>
      <c r="K327" s="1261"/>
      <c r="L327" s="1261"/>
      <c r="M327" s="1261"/>
      <c r="N327" s="1261"/>
      <c r="O327" s="1261"/>
      <c r="P327" s="1261"/>
      <c r="Q327" s="1261"/>
      <c r="R327" s="1261"/>
      <c r="T327" s="3" t="s">
        <v>367</v>
      </c>
      <c r="V327" s="3"/>
      <c r="W327" s="3"/>
      <c r="X327" s="3"/>
      <c r="Y327" s="3"/>
      <c r="AA327" s="1423" t="s">
        <v>2692</v>
      </c>
      <c r="AB327" s="1423"/>
      <c r="AC327" s="1423"/>
      <c r="AD327" s="1423"/>
      <c r="AE327" s="1423"/>
      <c r="AF327" s="1423"/>
      <c r="AG327" s="1423"/>
      <c r="AH327" s="1423"/>
      <c r="AI327" s="1423"/>
      <c r="AJ327" s="1423"/>
      <c r="AK327" s="1423"/>
    </row>
    <row r="328" spans="2:37" ht="12.95" customHeight="1">
      <c r="B328" s="3" t="s">
        <v>471</v>
      </c>
      <c r="C328" s="3"/>
      <c r="D328" s="3"/>
      <c r="E328" s="3"/>
      <c r="F328" s="3"/>
      <c r="H328" s="251" t="s">
        <v>2679</v>
      </c>
      <c r="I328" s="251"/>
      <c r="J328" s="251"/>
      <c r="K328" s="251"/>
      <c r="L328" s="251"/>
      <c r="M328" s="251"/>
      <c r="N328" s="251"/>
      <c r="O328" s="251"/>
      <c r="P328" s="251"/>
      <c r="Q328" s="251"/>
      <c r="R328" s="251"/>
      <c r="T328" s="3" t="s">
        <v>471</v>
      </c>
      <c r="V328" s="3"/>
      <c r="W328" s="3"/>
      <c r="X328" s="3"/>
      <c r="Y328" s="3"/>
      <c r="AA328" s="1377" t="s">
        <v>2693</v>
      </c>
      <c r="AB328" s="1377"/>
      <c r="AC328" s="1377"/>
      <c r="AD328" s="1377"/>
      <c r="AE328" s="1377"/>
      <c r="AF328" s="1377"/>
      <c r="AG328" s="1377"/>
      <c r="AH328" s="1377"/>
      <c r="AI328" s="1377"/>
      <c r="AJ328" s="1377"/>
      <c r="AK328" s="1377"/>
    </row>
    <row r="329" spans="2:37" ht="12.95" customHeight="1">
      <c r="B329" s="3" t="s">
        <v>472</v>
      </c>
      <c r="C329" s="3"/>
      <c r="D329" s="3"/>
      <c r="E329" s="3"/>
      <c r="F329" s="3"/>
      <c r="H329" s="251" t="s">
        <v>2680</v>
      </c>
      <c r="I329" s="251"/>
      <c r="J329" s="251"/>
      <c r="K329" s="251"/>
      <c r="L329" s="251"/>
      <c r="M329" s="251"/>
      <c r="N329" s="251"/>
      <c r="O329" s="251"/>
      <c r="P329" s="251"/>
      <c r="Q329" s="251"/>
      <c r="R329" s="251"/>
      <c r="T329" s="3" t="s">
        <v>75</v>
      </c>
      <c r="V329" s="3"/>
      <c r="W329" s="3"/>
      <c r="X329" s="3"/>
      <c r="Y329" s="3"/>
      <c r="AA329" s="1377" t="s">
        <v>2694</v>
      </c>
      <c r="AB329" s="1377"/>
      <c r="AC329" s="1377"/>
      <c r="AD329" s="1377"/>
      <c r="AE329" s="1377"/>
      <c r="AF329" s="1377"/>
      <c r="AG329" s="1377"/>
      <c r="AH329" s="1377"/>
      <c r="AI329" s="1377"/>
      <c r="AJ329" s="1377"/>
      <c r="AK329" s="1377"/>
    </row>
    <row r="330" spans="2:37" ht="12.95" customHeight="1">
      <c r="B330" s="3" t="s">
        <v>87</v>
      </c>
      <c r="C330" s="3"/>
      <c r="D330" s="3"/>
      <c r="E330" s="3"/>
      <c r="F330" s="3"/>
      <c r="H330" s="251" t="s">
        <v>2681</v>
      </c>
      <c r="I330" s="251"/>
      <c r="J330" s="251"/>
      <c r="K330" s="251"/>
      <c r="L330" s="251"/>
      <c r="M330" s="251"/>
      <c r="N330" s="251"/>
      <c r="O330" s="251"/>
      <c r="P330" s="251"/>
      <c r="Q330" s="251"/>
      <c r="R330" s="251"/>
      <c r="T330" s="3" t="s">
        <v>87</v>
      </c>
      <c r="V330" s="3"/>
      <c r="W330" s="3"/>
      <c r="X330" s="3"/>
      <c r="Y330" s="3"/>
      <c r="AA330" s="1377" t="s">
        <v>2695</v>
      </c>
      <c r="AB330" s="1377"/>
      <c r="AC330" s="1377"/>
      <c r="AD330" s="1377"/>
      <c r="AE330" s="1377"/>
      <c r="AF330" s="1377"/>
      <c r="AG330" s="1377"/>
      <c r="AH330" s="1377"/>
      <c r="AI330" s="1377"/>
      <c r="AJ330" s="1377"/>
      <c r="AK330" s="1377"/>
    </row>
    <row r="331" spans="2:37" ht="12.95" customHeight="1">
      <c r="B331" s="3" t="s">
        <v>88</v>
      </c>
      <c r="C331" s="3"/>
      <c r="D331" s="3"/>
      <c r="E331" s="3"/>
      <c r="F331" s="3"/>
      <c r="G331" s="3"/>
      <c r="H331" s="1587">
        <v>8583693081</v>
      </c>
      <c r="I331" s="1587"/>
      <c r="J331" s="1587"/>
      <c r="K331" s="1587"/>
      <c r="L331" s="1587"/>
      <c r="M331" s="1587"/>
      <c r="N331" s="4" t="s">
        <v>206</v>
      </c>
      <c r="O331" s="4"/>
      <c r="P331" s="1535"/>
      <c r="Q331" s="1535"/>
      <c r="R331" s="1535"/>
      <c r="S331" s="3"/>
      <c r="T331" s="3" t="s">
        <v>88</v>
      </c>
      <c r="V331" s="3"/>
      <c r="W331" s="3"/>
      <c r="X331" s="3"/>
      <c r="Y331" s="3"/>
      <c r="AA331" s="1587">
        <v>8042377645</v>
      </c>
      <c r="AB331" s="1587"/>
      <c r="AC331" s="1587"/>
      <c r="AD331" s="1587"/>
      <c r="AE331" s="1587"/>
      <c r="AF331" s="1587"/>
      <c r="AG331" s="4" t="s">
        <v>206</v>
      </c>
      <c r="AH331" s="4"/>
      <c r="AI331" s="1535"/>
      <c r="AJ331" s="1535"/>
      <c r="AK331" s="1535"/>
    </row>
    <row r="332" spans="2:37" ht="12.95" customHeight="1">
      <c r="B332" s="3" t="s">
        <v>89</v>
      </c>
      <c r="C332" s="3"/>
      <c r="D332" s="3"/>
      <c r="E332" s="3"/>
      <c r="F332" s="3"/>
      <c r="G332" s="3"/>
      <c r="H332" s="1492"/>
      <c r="I332" s="1492"/>
      <c r="J332" s="1492"/>
      <c r="K332" s="1492"/>
      <c r="L332" s="1492"/>
      <c r="M332" s="1492"/>
      <c r="N332" s="4"/>
      <c r="O332" s="4"/>
      <c r="P332" s="35"/>
      <c r="Q332" s="35"/>
      <c r="R332" s="35"/>
      <c r="S332" s="3"/>
      <c r="T332" s="3" t="s">
        <v>89</v>
      </c>
      <c r="V332" s="3"/>
      <c r="W332" s="3"/>
      <c r="X332" s="3"/>
      <c r="Y332" s="3"/>
      <c r="AA332" s="1492"/>
      <c r="AB332" s="1492"/>
      <c r="AC332" s="1492"/>
      <c r="AD332" s="1492"/>
      <c r="AE332" s="1492"/>
      <c r="AF332" s="1492"/>
      <c r="AG332" s="4"/>
      <c r="AH332" s="4"/>
      <c r="AI332" s="35"/>
      <c r="AJ332" s="35"/>
      <c r="AK332" s="35"/>
    </row>
    <row r="333" spans="2:37" ht="12.95" customHeight="1">
      <c r="B333" s="3" t="s">
        <v>76</v>
      </c>
      <c r="C333" s="3"/>
      <c r="D333" s="3"/>
      <c r="E333" s="3"/>
      <c r="F333" s="3"/>
      <c r="G333" s="3"/>
      <c r="H333" s="1377" t="s">
        <v>2682</v>
      </c>
      <c r="I333" s="1377"/>
      <c r="J333" s="1377"/>
      <c r="K333" s="1377"/>
      <c r="L333" s="1377"/>
      <c r="M333" s="1377"/>
      <c r="N333" s="1423"/>
      <c r="O333" s="1423"/>
      <c r="P333" s="1423"/>
      <c r="Q333" s="1423"/>
      <c r="R333" s="1423"/>
      <c r="S333" s="3"/>
      <c r="T333" s="3" t="s">
        <v>76</v>
      </c>
      <c r="V333" s="3"/>
      <c r="W333" s="3"/>
      <c r="X333" s="3"/>
      <c r="Y333" s="3"/>
      <c r="AA333" s="1377" t="s">
        <v>2696</v>
      </c>
      <c r="AB333" s="1377"/>
      <c r="AC333" s="1377"/>
      <c r="AD333" s="1377"/>
      <c r="AE333" s="1377"/>
      <c r="AF333" s="1377"/>
      <c r="AG333" s="1423"/>
      <c r="AH333" s="1423"/>
      <c r="AI333" s="1423"/>
      <c r="AJ333" s="1423"/>
      <c r="AK333" s="1423"/>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23" t="s">
        <v>2688</v>
      </c>
      <c r="I335" s="1423"/>
      <c r="J335" s="1423"/>
      <c r="K335" s="1423"/>
      <c r="L335" s="1423"/>
      <c r="M335" s="1423"/>
      <c r="N335" s="1423"/>
      <c r="O335" s="1423"/>
      <c r="P335" s="1423"/>
      <c r="Q335" s="1423"/>
      <c r="R335" s="1423"/>
      <c r="T335" s="204" t="s">
        <v>885</v>
      </c>
      <c r="V335" s="3"/>
      <c r="W335" s="3"/>
      <c r="X335" s="3"/>
      <c r="Y335" s="3"/>
      <c r="AA335" s="1423" t="s">
        <v>2614</v>
      </c>
      <c r="AB335" s="1423"/>
      <c r="AC335" s="1423"/>
      <c r="AD335" s="1423"/>
      <c r="AE335" s="1423"/>
      <c r="AF335" s="1423"/>
      <c r="AG335" s="1423"/>
      <c r="AH335" s="1423"/>
      <c r="AI335" s="1423"/>
      <c r="AJ335" s="1423"/>
      <c r="AK335" s="1423"/>
    </row>
    <row r="336" spans="2:37" ht="12.95" customHeight="1">
      <c r="B336" s="3" t="s">
        <v>471</v>
      </c>
      <c r="C336" s="3"/>
      <c r="D336" s="3"/>
      <c r="E336" s="3"/>
      <c r="F336" s="3"/>
      <c r="H336" s="1377" t="s">
        <v>2689</v>
      </c>
      <c r="I336" s="1377"/>
      <c r="J336" s="1377"/>
      <c r="K336" s="1377"/>
      <c r="L336" s="1377"/>
      <c r="M336" s="1377"/>
      <c r="N336" s="1377"/>
      <c r="O336" s="1377"/>
      <c r="P336" s="1377"/>
      <c r="Q336" s="1377"/>
      <c r="R336" s="1377"/>
      <c r="T336" s="3" t="s">
        <v>471</v>
      </c>
      <c r="V336" s="3"/>
      <c r="W336" s="3"/>
      <c r="X336" s="3"/>
      <c r="Y336" s="3"/>
      <c r="AA336" s="1377" t="s">
        <v>2699</v>
      </c>
      <c r="AB336" s="1377"/>
      <c r="AC336" s="1377"/>
      <c r="AD336" s="1377"/>
      <c r="AE336" s="1377"/>
      <c r="AF336" s="1377"/>
      <c r="AG336" s="1377"/>
      <c r="AH336" s="1377"/>
      <c r="AI336" s="1377"/>
      <c r="AJ336" s="1377"/>
      <c r="AK336" s="1377"/>
    </row>
    <row r="337" spans="1:66" ht="12.95" customHeight="1">
      <c r="B337" s="3" t="s">
        <v>75</v>
      </c>
      <c r="C337" s="3"/>
      <c r="D337" s="3"/>
      <c r="E337" s="3"/>
      <c r="F337" s="3"/>
      <c r="H337" s="1377" t="s">
        <v>2690</v>
      </c>
      <c r="I337" s="1377"/>
      <c r="J337" s="1377"/>
      <c r="K337" s="1377"/>
      <c r="L337" s="1377"/>
      <c r="M337" s="1377"/>
      <c r="N337" s="1377"/>
      <c r="O337" s="1377"/>
      <c r="P337" s="1377"/>
      <c r="Q337" s="1377"/>
      <c r="R337" s="1377"/>
      <c r="T337" s="3" t="s">
        <v>75</v>
      </c>
      <c r="V337" s="3"/>
      <c r="W337" s="3"/>
      <c r="X337" s="3"/>
      <c r="Y337" s="3"/>
      <c r="AA337" s="1377" t="s">
        <v>2700</v>
      </c>
      <c r="AB337" s="1377"/>
      <c r="AC337" s="1377"/>
      <c r="AD337" s="1377"/>
      <c r="AE337" s="1377"/>
      <c r="AF337" s="1377"/>
      <c r="AG337" s="1377"/>
      <c r="AH337" s="1377"/>
      <c r="AI337" s="1377"/>
      <c r="AJ337" s="1377"/>
      <c r="AK337" s="1377"/>
    </row>
    <row r="338" spans="1:66" ht="12.95" customHeight="1">
      <c r="B338" s="3" t="s">
        <v>87</v>
      </c>
      <c r="C338" s="3"/>
      <c r="D338" s="3"/>
      <c r="E338" s="3"/>
      <c r="F338" s="3"/>
      <c r="G338" s="3"/>
      <c r="H338" s="1377" t="s">
        <v>2691</v>
      </c>
      <c r="I338" s="1377"/>
      <c r="J338" s="1377"/>
      <c r="K338" s="1377"/>
      <c r="L338" s="1377"/>
      <c r="M338" s="1377"/>
      <c r="N338" s="1377"/>
      <c r="O338" s="1377"/>
      <c r="P338" s="1377"/>
      <c r="Q338" s="1377"/>
      <c r="R338" s="1377"/>
      <c r="T338" s="3" t="s">
        <v>87</v>
      </c>
      <c r="V338" s="3"/>
      <c r="W338" s="3"/>
      <c r="X338" s="3"/>
      <c r="Y338" s="3"/>
      <c r="AA338" s="1377" t="s">
        <v>2701</v>
      </c>
      <c r="AB338" s="1377"/>
      <c r="AC338" s="1377"/>
      <c r="AD338" s="1377"/>
      <c r="AE338" s="1377"/>
      <c r="AF338" s="1377"/>
      <c r="AG338" s="1377"/>
      <c r="AH338" s="1377"/>
      <c r="AI338" s="1377"/>
      <c r="AJ338" s="1377"/>
      <c r="AK338" s="1377"/>
    </row>
    <row r="339" spans="1:66" ht="12.95" customHeight="1">
      <c r="B339" s="3" t="s">
        <v>88</v>
      </c>
      <c r="C339" s="3"/>
      <c r="D339" s="3"/>
      <c r="E339" s="3"/>
      <c r="F339" s="3"/>
      <c r="G339" s="3"/>
      <c r="H339" s="1587" t="s">
        <v>2697</v>
      </c>
      <c r="I339" s="1587"/>
      <c r="J339" s="1587"/>
      <c r="K339" s="1587"/>
      <c r="L339" s="1587"/>
      <c r="M339" s="1587"/>
      <c r="N339" s="4" t="s">
        <v>206</v>
      </c>
      <c r="O339" s="4"/>
      <c r="P339" s="1535"/>
      <c r="Q339" s="1535"/>
      <c r="R339" s="1535"/>
      <c r="S339" s="3"/>
      <c r="T339" s="3" t="s">
        <v>88</v>
      </c>
      <c r="V339" s="3"/>
      <c r="W339" s="3"/>
      <c r="X339" s="3"/>
      <c r="Y339" s="3"/>
      <c r="AA339" s="1587" t="s">
        <v>2702</v>
      </c>
      <c r="AB339" s="1587"/>
      <c r="AC339" s="1587"/>
      <c r="AD339" s="1587"/>
      <c r="AE339" s="1587"/>
      <c r="AF339" s="1587"/>
      <c r="AG339" s="4" t="s">
        <v>206</v>
      </c>
      <c r="AH339" s="4"/>
      <c r="AI339" s="1535"/>
      <c r="AJ339" s="1535"/>
      <c r="AK339" s="1535"/>
    </row>
    <row r="340" spans="1:66" ht="12.95" customHeight="1">
      <c r="B340" s="3" t="s">
        <v>89</v>
      </c>
      <c r="C340" s="3"/>
      <c r="D340" s="3"/>
      <c r="E340" s="3"/>
      <c r="F340" s="3"/>
      <c r="G340" s="3"/>
      <c r="H340" s="1492"/>
      <c r="I340" s="1492"/>
      <c r="J340" s="1492"/>
      <c r="K340" s="1492"/>
      <c r="L340" s="1492"/>
      <c r="M340" s="1492"/>
      <c r="N340" s="4"/>
      <c r="O340" s="4"/>
      <c r="P340" s="35"/>
      <c r="Q340" s="35"/>
      <c r="R340" s="35"/>
      <c r="S340" s="3"/>
      <c r="T340" s="3" t="s">
        <v>89</v>
      </c>
      <c r="V340" s="3"/>
      <c r="W340" s="3"/>
      <c r="X340" s="3"/>
      <c r="Y340" s="3"/>
      <c r="AA340" s="1492"/>
      <c r="AB340" s="1492"/>
      <c r="AC340" s="1492"/>
      <c r="AD340" s="1492"/>
      <c r="AE340" s="1492"/>
      <c r="AF340" s="1492"/>
      <c r="AG340" s="4"/>
      <c r="AH340" s="4"/>
      <c r="AI340" s="35"/>
      <c r="AJ340" s="35"/>
      <c r="AK340" s="35"/>
    </row>
    <row r="341" spans="1:66" ht="12.95" customHeight="1">
      <c r="B341" s="3" t="s">
        <v>76</v>
      </c>
      <c r="C341" s="3"/>
      <c r="D341" s="3"/>
      <c r="E341" s="3"/>
      <c r="F341" s="3"/>
      <c r="G341" s="3"/>
      <c r="H341" s="1377" t="s">
        <v>2698</v>
      </c>
      <c r="I341" s="1377"/>
      <c r="J341" s="1377"/>
      <c r="K341" s="1377"/>
      <c r="L341" s="1377"/>
      <c r="M341" s="1377"/>
      <c r="N341" s="1423"/>
      <c r="O341" s="1423"/>
      <c r="P341" s="1423"/>
      <c r="Q341" s="1423"/>
      <c r="R341" s="1423"/>
      <c r="S341" s="3"/>
      <c r="T341" s="3" t="s">
        <v>76</v>
      </c>
      <c r="V341" s="3"/>
      <c r="W341" s="3"/>
      <c r="X341" s="3"/>
      <c r="Y341" s="3"/>
      <c r="AA341" s="1377" t="s">
        <v>2703</v>
      </c>
      <c r="AB341" s="1377"/>
      <c r="AC341" s="1377"/>
      <c r="AD341" s="1377"/>
      <c r="AE341" s="1377"/>
      <c r="AF341" s="1377"/>
      <c r="AG341" s="1423"/>
      <c r="AH341" s="1423"/>
      <c r="AI341" s="1423"/>
      <c r="AJ341" s="1423"/>
      <c r="AK341" s="142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886</v>
      </c>
      <c r="P343" s="1423" t="s">
        <v>2704</v>
      </c>
      <c r="Q343" s="1423"/>
      <c r="R343" s="1423"/>
      <c r="S343" s="1423"/>
      <c r="T343" s="1423"/>
      <c r="U343" s="1423"/>
      <c r="V343" s="1423"/>
      <c r="W343" s="1423"/>
      <c r="X343" s="1423"/>
      <c r="Y343" s="1423"/>
      <c r="Z343" s="1423"/>
      <c r="AA343" s="1423"/>
      <c r="AB343" s="1423"/>
      <c r="AC343" s="1423"/>
      <c r="AD343" s="1423"/>
      <c r="AE343" s="1423"/>
      <c r="BN343" t="s">
        <v>668</v>
      </c>
    </row>
    <row r="344" spans="1:66" ht="12.95" customHeight="1">
      <c r="B344" s="4"/>
      <c r="C344" s="4"/>
      <c r="D344" s="4"/>
      <c r="E344" s="4"/>
      <c r="F344" s="4"/>
      <c r="I344" s="4" t="s">
        <v>471</v>
      </c>
      <c r="P344" s="1377" t="s">
        <v>2705</v>
      </c>
      <c r="Q344" s="1377"/>
      <c r="R344" s="1377"/>
      <c r="S344" s="1377"/>
      <c r="T344" s="1377"/>
      <c r="U344" s="1377"/>
      <c r="V344" s="1377"/>
      <c r="W344" s="1377"/>
      <c r="X344" s="1377"/>
      <c r="Y344" s="1377"/>
      <c r="Z344" s="1377"/>
      <c r="AA344" s="1377"/>
      <c r="AB344" s="1377"/>
      <c r="AC344" s="1377"/>
      <c r="AD344" s="1377"/>
      <c r="AE344" s="1377"/>
      <c r="BN344" t="s">
        <v>545</v>
      </c>
    </row>
    <row r="345" spans="1:66" ht="12.95" customHeight="1">
      <c r="B345" s="4"/>
      <c r="C345" s="4"/>
      <c r="D345" s="4"/>
      <c r="E345" s="4"/>
      <c r="F345" s="4"/>
      <c r="I345" s="4" t="s">
        <v>75</v>
      </c>
      <c r="P345" s="1377" t="s">
        <v>2706</v>
      </c>
      <c r="Q345" s="1377"/>
      <c r="R345" s="1377"/>
      <c r="S345" s="1377"/>
      <c r="T345" s="1377"/>
      <c r="U345" s="1377"/>
      <c r="V345" s="1377"/>
      <c r="W345" s="1377"/>
      <c r="X345" s="1377"/>
      <c r="Y345" s="1377"/>
      <c r="Z345" s="1377"/>
      <c r="AA345" s="1377"/>
      <c r="AB345" s="1377"/>
      <c r="AC345" s="1377"/>
      <c r="AD345" s="1377"/>
      <c r="AE345" s="1377"/>
    </row>
    <row r="346" spans="1:66" ht="12.95" customHeight="1">
      <c r="B346" s="4"/>
      <c r="C346" s="4"/>
      <c r="D346" s="4"/>
      <c r="E346" s="4"/>
      <c r="F346" s="4"/>
      <c r="G346" s="4"/>
      <c r="I346" s="4" t="s">
        <v>87</v>
      </c>
      <c r="P346" s="1377" t="s">
        <v>2707</v>
      </c>
      <c r="Q346" s="1377"/>
      <c r="R346" s="1377"/>
      <c r="S346" s="1377"/>
      <c r="T346" s="1377"/>
      <c r="U346" s="1377"/>
      <c r="V346" s="1377"/>
      <c r="W346" s="1377"/>
      <c r="X346" s="1377"/>
      <c r="Y346" s="1377"/>
      <c r="Z346" s="1377"/>
      <c r="AA346" s="1377"/>
      <c r="AB346" s="1377"/>
      <c r="AC346" s="1377"/>
      <c r="AD346" s="1377"/>
      <c r="AE346" s="1377"/>
    </row>
    <row r="347" spans="1:66" ht="12.95" customHeight="1">
      <c r="B347" s="4"/>
      <c r="C347" s="4"/>
      <c r="D347" s="4"/>
      <c r="E347" s="4"/>
      <c r="F347" s="4"/>
      <c r="G347" s="4"/>
      <c r="H347" s="302"/>
      <c r="I347" s="4" t="s">
        <v>88</v>
      </c>
      <c r="P347" s="1492" t="s">
        <v>2708</v>
      </c>
      <c r="Q347" s="1492"/>
      <c r="R347" s="1492"/>
      <c r="S347" s="1492"/>
      <c r="T347" s="1492"/>
      <c r="U347" s="1492"/>
      <c r="V347" s="1492"/>
      <c r="W347" s="1492"/>
      <c r="X347" s="1492"/>
      <c r="Y347" s="1492"/>
      <c r="Z347" s="1492"/>
      <c r="AA347" s="4" t="s">
        <v>206</v>
      </c>
      <c r="AB347" s="4"/>
      <c r="AC347" s="1472"/>
      <c r="AD347" s="1472"/>
      <c r="AE347" s="1472"/>
      <c r="AF347" s="302"/>
      <c r="AG347" s="4"/>
      <c r="AH347" s="4"/>
      <c r="AI347" s="4"/>
      <c r="AJ347" s="4"/>
      <c r="AK347" s="4"/>
    </row>
    <row r="348" spans="1:66" ht="12.95" customHeight="1">
      <c r="B348" s="4"/>
      <c r="C348" s="4"/>
      <c r="D348" s="4"/>
      <c r="E348" s="4"/>
      <c r="F348" s="4"/>
      <c r="G348" s="4"/>
      <c r="H348" s="302"/>
      <c r="I348" s="4" t="s">
        <v>89</v>
      </c>
      <c r="P348" s="1492"/>
      <c r="Q348" s="1492"/>
      <c r="R348" s="1492"/>
      <c r="S348" s="1492"/>
      <c r="T348" s="1492"/>
      <c r="U348" s="1492"/>
      <c r="V348" s="1492"/>
      <c r="W348" s="1492"/>
      <c r="X348" s="1492"/>
      <c r="Y348" s="1492"/>
      <c r="Z348" s="1492"/>
      <c r="AF348" s="302"/>
      <c r="AG348" s="4"/>
      <c r="AH348" s="4"/>
      <c r="AI348" s="35"/>
      <c r="AJ348" s="35"/>
      <c r="AK348" s="35"/>
    </row>
    <row r="349" spans="1:66" ht="12.95" customHeight="1">
      <c r="B349" s="4"/>
      <c r="C349" s="4"/>
      <c r="D349" s="4"/>
      <c r="E349" s="4"/>
      <c r="F349" s="4"/>
      <c r="G349" s="4"/>
      <c r="I349" s="4" t="s">
        <v>76</v>
      </c>
      <c r="P349" s="1423" t="s">
        <v>2709</v>
      </c>
      <c r="Q349" s="1423"/>
      <c r="R349" s="1423"/>
      <c r="S349" s="1423"/>
      <c r="T349" s="1423"/>
      <c r="U349" s="1423"/>
      <c r="V349" s="1423"/>
      <c r="W349" s="1423"/>
      <c r="X349" s="1423"/>
      <c r="Y349" s="1423"/>
      <c r="Z349" s="1423"/>
      <c r="AA349" s="1423"/>
      <c r="AB349" s="1423"/>
      <c r="AC349" s="1423"/>
      <c r="AD349" s="1423"/>
      <c r="AE349" s="1423"/>
    </row>
    <row r="350" spans="1:66" ht="12.95" customHeight="1">
      <c r="T350" s="8"/>
      <c r="U350" s="8"/>
      <c r="V350" s="8"/>
      <c r="W350" s="8"/>
      <c r="X350" s="8"/>
      <c r="Y350" s="8"/>
      <c r="Z350" s="8"/>
      <c r="AU350" s="95"/>
      <c r="AV350" s="95"/>
      <c r="AW350" s="95"/>
      <c r="AX350" s="95"/>
      <c r="AY350" s="95"/>
    </row>
    <row r="351" spans="1:66" ht="12.95" customHeight="1">
      <c r="A351" s="1560" t="s">
        <v>542</v>
      </c>
      <c r="B351" s="1560"/>
      <c r="C351" s="1560"/>
      <c r="D351" s="1560"/>
      <c r="E351" s="1560"/>
      <c r="F351" s="1560"/>
      <c r="G351" s="1560"/>
      <c r="H351" s="1560"/>
      <c r="I351" s="1560"/>
      <c r="J351" s="1560"/>
      <c r="K351" s="1560"/>
      <c r="L351" s="1560"/>
      <c r="M351" s="1560"/>
      <c r="N351" s="1560"/>
      <c r="O351" s="1560"/>
      <c r="P351" s="1560"/>
      <c r="Q351" s="1560"/>
      <c r="R351" s="1560"/>
      <c r="S351" s="1560"/>
      <c r="T351" s="1560"/>
      <c r="U351" s="1560"/>
      <c r="V351" s="1560"/>
      <c r="W351" s="1560"/>
      <c r="X351" s="1560"/>
      <c r="Y351" s="1560"/>
      <c r="Z351" s="1560"/>
      <c r="AA351" s="1560"/>
      <c r="AB351" s="1560"/>
      <c r="AC351" s="1560"/>
      <c r="AD351" s="1560"/>
      <c r="AE351" s="1560"/>
      <c r="AF351" s="1560"/>
      <c r="AG351" s="1560"/>
      <c r="AH351" s="1560"/>
      <c r="AI351" s="1560"/>
      <c r="AJ351" s="1560"/>
      <c r="AK351" s="1560"/>
      <c r="AL351" s="1560"/>
      <c r="AM351" s="1560"/>
      <c r="AN351" s="1560"/>
      <c r="AO351" s="1560"/>
      <c r="AP351" s="1560"/>
      <c r="AQ351" s="1560"/>
      <c r="AR351" s="1560"/>
      <c r="AS351" s="1560"/>
      <c r="AT351" s="1560"/>
      <c r="AU351" s="95"/>
      <c r="AV351" s="95"/>
      <c r="AW351" s="95"/>
      <c r="AX351" s="95"/>
      <c r="AY351" s="95"/>
    </row>
    <row r="352" spans="1:66" ht="12.95" customHeight="1">
      <c r="A352" s="1560"/>
      <c r="B352" s="1560"/>
      <c r="C352" s="1560"/>
      <c r="D352" s="1560"/>
      <c r="E352" s="1560"/>
      <c r="F352" s="1560"/>
      <c r="G352" s="1560"/>
      <c r="H352" s="1560"/>
      <c r="I352" s="1560"/>
      <c r="J352" s="1560"/>
      <c r="K352" s="1560"/>
      <c r="L352" s="1560"/>
      <c r="M352" s="1560"/>
      <c r="N352" s="1560"/>
      <c r="O352" s="1560"/>
      <c r="P352" s="1560"/>
      <c r="Q352" s="1560"/>
      <c r="R352" s="1560"/>
      <c r="S352" s="1560"/>
      <c r="T352" s="1560"/>
      <c r="U352" s="1560"/>
      <c r="V352" s="1560"/>
      <c r="W352" s="1560"/>
      <c r="X352" s="1560"/>
      <c r="Y352" s="1560"/>
      <c r="Z352" s="1560"/>
      <c r="AA352" s="1560"/>
      <c r="AB352" s="1560"/>
      <c r="AC352" s="1560"/>
      <c r="AD352" s="1560"/>
      <c r="AE352" s="1560"/>
      <c r="AF352" s="1560"/>
      <c r="AG352" s="1560"/>
      <c r="AH352" s="1560"/>
      <c r="AI352" s="1560"/>
      <c r="AJ352" s="1560"/>
      <c r="AK352" s="1560"/>
      <c r="AL352" s="1560"/>
      <c r="AM352" s="1560"/>
      <c r="AN352" s="1560"/>
      <c r="AO352" s="1560"/>
      <c r="AP352" s="1560"/>
      <c r="AQ352" s="1560"/>
      <c r="AR352" s="1560"/>
      <c r="AS352" s="1560"/>
      <c r="AT352" s="156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508" t="s">
        <v>591</v>
      </c>
      <c r="N355" s="1508"/>
      <c r="P355" t="s">
        <v>1648</v>
      </c>
      <c r="AJ355" s="1508" t="s">
        <v>591</v>
      </c>
      <c r="AK355" s="1508"/>
    </row>
    <row r="356" spans="1:46" ht="12.95" customHeight="1">
      <c r="D356" s="3" t="s">
        <v>1637</v>
      </c>
      <c r="M356" s="1508" t="s">
        <v>591</v>
      </c>
      <c r="N356" s="1508"/>
      <c r="P356" s="3" t="s">
        <v>1717</v>
      </c>
      <c r="AJ356" s="1388"/>
      <c r="AK356" s="1388"/>
    </row>
    <row r="357" spans="1:46" ht="12.95" customHeight="1">
      <c r="D357" s="3" t="s">
        <v>703</v>
      </c>
      <c r="M357" s="1508" t="s">
        <v>591</v>
      </c>
      <c r="N357" s="1508"/>
      <c r="P357" t="s">
        <v>1647</v>
      </c>
      <c r="AJ357" s="1508" t="s">
        <v>545</v>
      </c>
      <c r="AK357" s="1508"/>
    </row>
    <row r="358" spans="1:46" ht="12.95" customHeight="1">
      <c r="D358" s="3" t="s">
        <v>704</v>
      </c>
      <c r="M358" s="1508" t="s">
        <v>545</v>
      </c>
      <c r="N358" s="150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508" t="s">
        <v>545</v>
      </c>
      <c r="O363" s="1508"/>
      <c r="P363" s="40"/>
      <c r="Q363" s="40"/>
      <c r="R363" s="40"/>
      <c r="S363" s="40"/>
      <c r="T363" s="40"/>
      <c r="U363" s="40"/>
      <c r="V363" s="40"/>
      <c r="W363" s="40"/>
      <c r="X363" s="40"/>
      <c r="Y363" s="40"/>
      <c r="Z363" s="40"/>
      <c r="AC363" s="40"/>
      <c r="AD363" s="40"/>
      <c r="AE363" s="40"/>
    </row>
    <row r="364" spans="1:46" ht="12.95" customHeight="1">
      <c r="E364" t="s">
        <v>369</v>
      </c>
      <c r="Y364" s="1508" t="s">
        <v>591</v>
      </c>
      <c r="Z364" s="1508"/>
    </row>
    <row r="365" spans="1:46" ht="12.95" customHeight="1">
      <c r="D365" s="4" t="s">
        <v>976</v>
      </c>
      <c r="Q365" s="1423" t="s">
        <v>2710</v>
      </c>
      <c r="R365" s="1423"/>
      <c r="S365" s="1423"/>
      <c r="T365" s="1423"/>
      <c r="U365" s="1423"/>
      <c r="V365" s="1423"/>
      <c r="W365" s="1423"/>
      <c r="X365" s="1423"/>
      <c r="Y365" s="1423"/>
      <c r="Z365" s="1423"/>
      <c r="AA365" s="1423"/>
      <c r="AB365" s="1423"/>
      <c r="AC365" s="1423"/>
      <c r="AD365" s="1423"/>
      <c r="AE365" s="1423"/>
      <c r="AF365" s="1423"/>
      <c r="AG365" s="1423"/>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508" t="s">
        <v>545</v>
      </c>
      <c r="K367" s="1508"/>
      <c r="L367" s="40"/>
      <c r="M367" s="40"/>
      <c r="N367" s="40"/>
      <c r="O367" s="40"/>
      <c r="P367" s="40"/>
      <c r="Q367" s="40"/>
      <c r="R367" s="40"/>
      <c r="S367" s="40"/>
      <c r="T367" s="40"/>
      <c r="U367" s="40"/>
      <c r="V367" s="40"/>
      <c r="W367" s="40"/>
      <c r="X367" s="40"/>
      <c r="Y367" s="40"/>
      <c r="Z367" s="40"/>
      <c r="AC367" s="40"/>
      <c r="AD367" s="40"/>
      <c r="AE367" s="40"/>
    </row>
    <row r="368" spans="1:46" ht="12.95" customHeight="1">
      <c r="E368" s="1574" t="s">
        <v>705</v>
      </c>
      <c r="F368" s="1574"/>
      <c r="G368" s="1574"/>
      <c r="H368" s="1574"/>
      <c r="I368" s="1574"/>
      <c r="J368" s="1574"/>
      <c r="K368" s="1574"/>
      <c r="L368" s="1574"/>
      <c r="M368" s="1574"/>
      <c r="N368" s="1574"/>
      <c r="O368" s="1574"/>
      <c r="P368" s="1574"/>
      <c r="Q368" s="1574"/>
      <c r="R368" s="1574"/>
      <c r="S368" s="1574"/>
      <c r="T368" s="1574"/>
      <c r="U368" s="1574"/>
      <c r="V368" s="1574"/>
      <c r="W368" s="1574"/>
      <c r="X368" s="1574"/>
      <c r="Y368" s="1574"/>
      <c r="Z368" s="1574"/>
      <c r="AA368" s="1574"/>
      <c r="AB368" s="1574"/>
      <c r="AC368" s="1574"/>
      <c r="AD368" s="1574"/>
      <c r="AE368" s="1574"/>
      <c r="AF368" s="1574"/>
      <c r="AG368" s="1574"/>
      <c r="AH368" s="1574"/>
    </row>
    <row r="369" spans="1:34" ht="12.95" customHeight="1">
      <c r="E369" s="1574"/>
      <c r="F369" s="1574"/>
      <c r="G369" s="1574"/>
      <c r="H369" s="1574"/>
      <c r="I369" s="1574"/>
      <c r="J369" s="1574"/>
      <c r="K369" s="1574"/>
      <c r="L369" s="1574"/>
      <c r="M369" s="1574"/>
      <c r="N369" s="1574"/>
      <c r="O369" s="1574"/>
      <c r="P369" s="1574"/>
      <c r="Q369" s="1574"/>
      <c r="R369" s="1574"/>
      <c r="S369" s="1574"/>
      <c r="T369" s="1574"/>
      <c r="U369" s="1574"/>
      <c r="V369" s="1574"/>
      <c r="W369" s="1574"/>
      <c r="X369" s="1574"/>
      <c r="Y369" s="1574"/>
      <c r="Z369" s="1574"/>
      <c r="AA369" s="1574"/>
      <c r="AB369" s="1574"/>
      <c r="AC369" s="1574"/>
      <c r="AD369" s="1574"/>
      <c r="AE369" s="1574"/>
      <c r="AF369" s="1574"/>
      <c r="AG369" s="1574"/>
      <c r="AH369" s="1574"/>
    </row>
    <row r="370" spans="1:34" ht="12.95" customHeight="1">
      <c r="E370" s="4" t="s">
        <v>448</v>
      </c>
      <c r="F370" s="4"/>
      <c r="G370" s="4"/>
      <c r="H370" s="4"/>
      <c r="I370" s="4"/>
      <c r="J370" s="4"/>
      <c r="K370" s="4"/>
      <c r="L370" s="4"/>
      <c r="N370" s="1396" t="s">
        <v>2711</v>
      </c>
      <c r="O370" s="1396"/>
      <c r="P370" s="1396"/>
      <c r="Q370" s="1396"/>
      <c r="R370" s="4"/>
      <c r="U370" s="4" t="s">
        <v>449</v>
      </c>
      <c r="V370" s="4"/>
      <c r="W370" s="4"/>
      <c r="X370" s="4"/>
      <c r="Y370" s="4"/>
      <c r="Z370" s="4"/>
      <c r="AA370" s="4"/>
      <c r="AB370" s="4"/>
      <c r="AC370" s="1396">
        <v>2</v>
      </c>
      <c r="AD370" s="1396"/>
      <c r="AE370" s="1396"/>
      <c r="AF370" s="1396"/>
    </row>
    <row r="371" spans="1:34" ht="12.95" customHeight="1">
      <c r="E371" s="4" t="s">
        <v>450</v>
      </c>
      <c r="F371" s="4"/>
      <c r="G371" s="4"/>
      <c r="H371" s="4"/>
      <c r="I371" s="4"/>
      <c r="J371" s="4"/>
      <c r="K371" s="4"/>
      <c r="L371" s="4"/>
      <c r="N371" s="1396">
        <v>2</v>
      </c>
      <c r="O371" s="1396"/>
      <c r="P371" s="1396"/>
      <c r="Q371" s="1396"/>
      <c r="R371" s="4"/>
      <c r="U371" s="4" t="s">
        <v>0</v>
      </c>
      <c r="V371" s="4"/>
      <c r="W371" s="4"/>
      <c r="X371" s="4"/>
      <c r="Y371" s="4"/>
      <c r="Z371" s="4"/>
      <c r="AA371" s="4"/>
      <c r="AB371" s="4"/>
      <c r="AC371" s="1396">
        <v>159</v>
      </c>
      <c r="AD371" s="1396"/>
      <c r="AE371" s="1396"/>
      <c r="AF371" s="1396"/>
    </row>
    <row r="372" spans="1:34" ht="12.95" customHeight="1">
      <c r="E372" s="4" t="s">
        <v>1</v>
      </c>
      <c r="F372" s="4"/>
      <c r="G372" s="4"/>
      <c r="H372" s="4"/>
      <c r="I372" s="4"/>
      <c r="J372" s="4"/>
      <c r="K372" s="4"/>
      <c r="L372" s="4"/>
      <c r="N372" s="1396" t="s">
        <v>2712</v>
      </c>
      <c r="O372" s="1396"/>
      <c r="P372" s="1396"/>
      <c r="Q372" s="1396"/>
      <c r="R372" s="4"/>
      <c r="V372" s="4"/>
      <c r="W372" s="4"/>
      <c r="X372" s="4"/>
      <c r="Y372" s="4"/>
      <c r="Z372" s="4"/>
      <c r="AA372" s="4"/>
      <c r="AB372" s="4"/>
    </row>
    <row r="373" spans="1:34" ht="12.95" customHeight="1">
      <c r="E373" s="4" t="s">
        <v>2</v>
      </c>
      <c r="F373" s="4"/>
      <c r="G373" s="4"/>
      <c r="H373" s="4"/>
      <c r="I373" s="4"/>
      <c r="J373" s="4"/>
      <c r="K373" s="4"/>
      <c r="L373" s="4"/>
      <c r="N373" s="1598" t="s">
        <v>2713</v>
      </c>
      <c r="O373" s="1598"/>
      <c r="P373" s="1598"/>
      <c r="Q373" s="1598"/>
      <c r="R373" s="1598"/>
      <c r="S373" s="1598"/>
      <c r="T373" s="1598"/>
      <c r="U373" s="1598"/>
      <c r="V373" s="1598"/>
      <c r="W373" s="1598"/>
      <c r="X373" s="1598"/>
      <c r="Y373" s="1598"/>
      <c r="Z373" s="1598"/>
      <c r="AA373" s="1598"/>
      <c r="AB373" s="1598"/>
      <c r="AC373" s="1598"/>
      <c r="AD373" s="1598"/>
      <c r="AE373" s="1598"/>
      <c r="AF373" s="1598"/>
    </row>
    <row r="374" spans="1:34" ht="12.95" customHeight="1">
      <c r="E374" s="4"/>
      <c r="F374" s="4"/>
      <c r="G374" s="4"/>
      <c r="H374" s="4"/>
      <c r="I374" s="4"/>
      <c r="J374" s="4"/>
      <c r="K374" s="4"/>
      <c r="L374" s="4"/>
      <c r="N374" s="1599"/>
      <c r="O374" s="1599"/>
      <c r="P374" s="1599"/>
      <c r="Q374" s="1599"/>
      <c r="R374" s="1599"/>
      <c r="S374" s="1599"/>
      <c r="T374" s="1599"/>
      <c r="U374" s="1599"/>
      <c r="V374" s="1599"/>
      <c r="W374" s="1599"/>
      <c r="X374" s="1599"/>
      <c r="Y374" s="1599"/>
      <c r="Z374" s="1599"/>
      <c r="AA374" s="1599"/>
      <c r="AB374" s="1599"/>
      <c r="AC374" s="1599"/>
      <c r="AD374" s="1599"/>
      <c r="AE374" s="1599"/>
      <c r="AF374" s="159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536" t="s">
        <v>591</v>
      </c>
      <c r="T377" s="1536"/>
      <c r="U377" s="1" t="s">
        <v>306</v>
      </c>
      <c r="V377" s="1536"/>
      <c r="W377" s="1536"/>
      <c r="Y377" t="s">
        <v>2077</v>
      </c>
      <c r="AC377" s="27" t="s">
        <v>305</v>
      </c>
      <c r="AD377" s="1536" t="s">
        <v>591</v>
      </c>
      <c r="AE377" s="1536"/>
      <c r="AF377" s="1" t="s">
        <v>306</v>
      </c>
      <c r="AG377" s="1536"/>
      <c r="AH377" s="1536"/>
    </row>
    <row r="378" spans="1:34" ht="12.95" customHeight="1">
      <c r="E378" s="4" t="s">
        <v>985</v>
      </c>
      <c r="F378" s="4"/>
      <c r="G378" s="4"/>
      <c r="H378" s="4"/>
      <c r="I378" s="4"/>
      <c r="J378" s="4"/>
      <c r="K378" s="4"/>
      <c r="L378" s="4"/>
      <c r="N378" s="1536" t="s">
        <v>591</v>
      </c>
      <c r="O378" s="1536"/>
      <c r="P378" s="1536"/>
    </row>
    <row r="379" spans="1:34" ht="12.95" customHeight="1">
      <c r="E379" s="204" t="s">
        <v>2083</v>
      </c>
      <c r="F379" s="4"/>
      <c r="G379" s="4"/>
      <c r="H379" s="4"/>
      <c r="I379" s="4"/>
      <c r="J379" s="4"/>
      <c r="K379" s="4"/>
      <c r="L379" s="4"/>
      <c r="AG379" s="1534" t="s">
        <v>591</v>
      </c>
      <c r="AH379" s="1534"/>
    </row>
    <row r="380" spans="1:34" ht="12.95" customHeight="1">
      <c r="E380" s="4"/>
      <c r="F380" s="4"/>
      <c r="G380" s="4" t="s">
        <v>2084</v>
      </c>
      <c r="H380" s="4"/>
      <c r="I380" s="4"/>
      <c r="J380" s="4"/>
      <c r="K380" s="4"/>
      <c r="L380" s="4"/>
      <c r="AG380" s="1534" t="s">
        <v>591</v>
      </c>
      <c r="AH380" s="1534"/>
    </row>
    <row r="381" spans="1:34" ht="12.95" customHeight="1">
      <c r="E381" s="4"/>
      <c r="F381" s="4"/>
      <c r="G381" s="320" t="s">
        <v>986</v>
      </c>
      <c r="H381" s="4"/>
      <c r="I381" s="4"/>
      <c r="J381" s="4"/>
      <c r="K381" s="4"/>
      <c r="L381" s="4"/>
      <c r="V381" s="1508" t="s">
        <v>591</v>
      </c>
      <c r="W381" s="1508"/>
      <c r="Y381" s="22" t="s">
        <v>978</v>
      </c>
    </row>
    <row r="382" spans="1:34" ht="12.95" customHeight="1">
      <c r="E382" s="4" t="s">
        <v>979</v>
      </c>
      <c r="F382" s="4"/>
      <c r="G382" s="4"/>
      <c r="H382" s="4"/>
      <c r="I382" s="4"/>
      <c r="J382" s="4"/>
      <c r="K382" s="4"/>
      <c r="L382" s="4"/>
      <c r="V382" s="1508" t="s">
        <v>591</v>
      </c>
      <c r="W382" s="1508"/>
      <c r="Y382" s="4" t="s">
        <v>980</v>
      </c>
    </row>
    <row r="383" spans="1:34" ht="12.95" customHeight="1"/>
    <row r="384" spans="1:34" ht="12.95" customHeight="1">
      <c r="A384" s="2" t="s">
        <v>78</v>
      </c>
      <c r="B384" s="2"/>
    </row>
    <row r="385" spans="4:36" ht="12.95" customHeight="1">
      <c r="D385" t="s">
        <v>427</v>
      </c>
      <c r="J385" s="1423" t="s">
        <v>2716</v>
      </c>
      <c r="K385" s="1423"/>
      <c r="L385" s="1423"/>
      <c r="M385" s="1423"/>
      <c r="N385" s="1423"/>
      <c r="O385" s="1423"/>
      <c r="P385" s="1423"/>
      <c r="Q385" s="1423"/>
      <c r="R385" s="1423"/>
      <c r="S385" s="1423"/>
      <c r="T385" s="1423"/>
      <c r="U385" s="1423"/>
      <c r="V385" s="8" t="s">
        <v>83</v>
      </c>
      <c r="W385" s="8"/>
      <c r="X385" s="8"/>
      <c r="Y385" s="8"/>
      <c r="Z385" s="8"/>
      <c r="AA385" s="8"/>
      <c r="AB385" s="8"/>
      <c r="AC385" s="1423" t="s">
        <v>2714</v>
      </c>
      <c r="AD385" s="1423"/>
      <c r="AE385" s="1423"/>
      <c r="AF385" s="1423"/>
      <c r="AG385" s="1423"/>
      <c r="AH385" s="1423"/>
      <c r="AI385" s="1423"/>
      <c r="AJ385" s="1423"/>
    </row>
    <row r="386" spans="4:36" ht="12.95" customHeight="1">
      <c r="D386" s="3" t="s">
        <v>1180</v>
      </c>
      <c r="J386" s="1377"/>
      <c r="K386" s="1377"/>
      <c r="L386" s="1377"/>
      <c r="M386" s="1377"/>
      <c r="N386" s="1377"/>
      <c r="O386" s="1377"/>
      <c r="P386" s="1377"/>
      <c r="Q386" s="1377"/>
      <c r="R386" s="1377"/>
      <c r="S386" s="1377"/>
      <c r="T386" s="1377"/>
      <c r="U386" s="1377"/>
      <c r="V386" s="3" t="s">
        <v>1180</v>
      </c>
      <c r="W386" s="8"/>
      <c r="X386" s="8"/>
      <c r="Y386" s="8"/>
      <c r="Z386" s="8"/>
      <c r="AA386" s="8"/>
      <c r="AB386" s="8"/>
      <c r="AC386" s="1423" t="s">
        <v>2714</v>
      </c>
      <c r="AD386" s="1423"/>
      <c r="AE386" s="1423"/>
      <c r="AF386" s="1423"/>
      <c r="AG386" s="1423"/>
      <c r="AH386" s="1423"/>
      <c r="AI386" s="1423"/>
      <c r="AJ386" s="1423"/>
    </row>
    <row r="387" spans="4:36" ht="12.95" customHeight="1">
      <c r="D387" s="3" t="s">
        <v>441</v>
      </c>
      <c r="J387" s="1377"/>
      <c r="K387" s="1377"/>
      <c r="L387" s="1377"/>
      <c r="M387" s="1377"/>
      <c r="N387" s="1377"/>
      <c r="O387" s="1377"/>
      <c r="P387" s="1377"/>
      <c r="Q387" s="1377"/>
      <c r="R387" s="1377"/>
      <c r="S387" s="1377"/>
      <c r="T387" s="1377"/>
      <c r="U387" s="1377"/>
      <c r="V387" s="3" t="s">
        <v>441</v>
      </c>
      <c r="W387" s="8"/>
      <c r="X387" s="8"/>
      <c r="Y387" s="8"/>
      <c r="Z387" s="8"/>
      <c r="AA387" s="8"/>
      <c r="AB387" s="8"/>
      <c r="AC387" s="1423" t="s">
        <v>2715</v>
      </c>
      <c r="AD387" s="1423"/>
      <c r="AE387" s="1423"/>
      <c r="AF387" s="1423"/>
      <c r="AG387" s="1423"/>
      <c r="AH387" s="1423"/>
      <c r="AI387" s="1423"/>
      <c r="AJ387" s="1423"/>
    </row>
    <row r="388" spans="4:36" ht="12.95" customHeight="1">
      <c r="D388" t="s">
        <v>1176</v>
      </c>
      <c r="J388" s="1428" t="s">
        <v>2717</v>
      </c>
      <c r="K388" s="1428"/>
      <c r="L388" s="1428"/>
      <c r="M388" s="1428"/>
      <c r="N388" s="1428"/>
      <c r="O388" s="1428"/>
      <c r="P388" s="1428"/>
      <c r="Q388" s="1428"/>
      <c r="R388" s="1428"/>
      <c r="S388" s="1428"/>
      <c r="T388" s="1428"/>
      <c r="U388" s="1428"/>
      <c r="V388" s="1423" t="s">
        <v>2706</v>
      </c>
      <c r="W388" s="1423"/>
      <c r="X388" s="1423"/>
      <c r="Y388" s="1423"/>
      <c r="Z388" s="1423"/>
      <c r="AA388" s="1423"/>
      <c r="AB388" s="1423"/>
      <c r="AC388" s="1423"/>
      <c r="AD388" s="1423"/>
      <c r="AE388" s="1423"/>
      <c r="AF388" s="1423"/>
      <c r="AG388" s="1423"/>
      <c r="AH388" s="1423"/>
      <c r="AI388" s="1423"/>
      <c r="AJ388" s="1423"/>
    </row>
    <row r="389" spans="4:36" ht="12.95" customHeight="1">
      <c r="D389" t="s">
        <v>4</v>
      </c>
      <c r="Q389" s="2696" t="s">
        <v>2798</v>
      </c>
      <c r="R389" s="1542"/>
      <c r="S389" s="1542"/>
      <c r="T389" s="1542"/>
      <c r="U389" s="1542"/>
      <c r="V389" t="s">
        <v>309</v>
      </c>
      <c r="AI389" s="1508" t="s">
        <v>668</v>
      </c>
      <c r="AJ389" s="1508"/>
    </row>
    <row r="390" spans="4:36" ht="12.95" customHeight="1">
      <c r="D390" t="s">
        <v>5</v>
      </c>
      <c r="Q390" s="1547">
        <v>46752</v>
      </c>
      <c r="R390" s="1548"/>
      <c r="S390" s="1548"/>
      <c r="T390" s="1548"/>
      <c r="U390" s="1548"/>
      <c r="W390" s="21" t="s">
        <v>74</v>
      </c>
      <c r="AG390" s="1439"/>
      <c r="AH390" s="1439"/>
      <c r="AI390" s="1439"/>
      <c r="AJ390" s="1439"/>
    </row>
    <row r="391" spans="4:36" ht="12.95" customHeight="1">
      <c r="D391" t="s">
        <v>426</v>
      </c>
      <c r="Q391" s="1440">
        <f>+'Sources and Uses Budget'!C12</f>
        <v>25800000</v>
      </c>
      <c r="R391" s="1440"/>
      <c r="S391" s="1440"/>
      <c r="T391" s="1440"/>
      <c r="U391" s="1440"/>
      <c r="V391" s="3" t="s">
        <v>1179</v>
      </c>
      <c r="AG391" s="1545">
        <v>46143</v>
      </c>
      <c r="AH391" s="1545"/>
      <c r="AI391" s="1545"/>
      <c r="AJ391" s="1545"/>
    </row>
    <row r="392" spans="4:36" ht="12.95" customHeight="1">
      <c r="D392" t="s">
        <v>88</v>
      </c>
      <c r="I392" s="1263" t="s">
        <v>2718</v>
      </c>
      <c r="J392" s="1260"/>
      <c r="K392" s="1260"/>
      <c r="L392" s="1260"/>
      <c r="M392" s="1260"/>
      <c r="N392" s="1260"/>
      <c r="Q392" s="4" t="s">
        <v>206</v>
      </c>
      <c r="S392" s="1438"/>
      <c r="T392" s="1438"/>
      <c r="U392" s="1438"/>
      <c r="V392" t="s">
        <v>73</v>
      </c>
      <c r="AI392" s="1508" t="s">
        <v>668</v>
      </c>
      <c r="AJ392" s="1508"/>
    </row>
    <row r="393" spans="4:36" ht="12.95" customHeight="1">
      <c r="D393" t="s">
        <v>310</v>
      </c>
      <c r="Q393" s="1533" t="s">
        <v>2719</v>
      </c>
      <c r="R393" s="1533"/>
      <c r="S393" s="1533"/>
      <c r="T393" s="1533"/>
      <c r="U393" s="1533"/>
      <c r="V393" t="s">
        <v>311</v>
      </c>
      <c r="AG393" s="1439" t="s">
        <v>2719</v>
      </c>
      <c r="AH393" s="1439"/>
      <c r="AI393" s="1439"/>
      <c r="AJ393" s="1439"/>
    </row>
    <row r="394" spans="4:36" ht="12.95" customHeight="1">
      <c r="D394" t="s">
        <v>312</v>
      </c>
      <c r="Q394" s="1595" t="s">
        <v>2720</v>
      </c>
      <c r="R394" s="1595"/>
      <c r="S394" s="1595"/>
      <c r="T394" s="1595"/>
      <c r="U394" s="1595"/>
      <c r="V394" t="s">
        <v>1161</v>
      </c>
      <c r="AG394" s="1439"/>
      <c r="AH394" s="1439"/>
      <c r="AI394" s="1439"/>
      <c r="AJ394" s="1439"/>
    </row>
    <row r="395" spans="4:36" ht="12.95" customHeight="1">
      <c r="D395" t="s">
        <v>1160</v>
      </c>
      <c r="AG395" s="1439"/>
      <c r="AH395" s="1439"/>
      <c r="AI395" s="1439"/>
      <c r="AJ395" s="1439"/>
    </row>
    <row r="396" spans="4:36" ht="12.95" customHeight="1">
      <c r="AG396" s="456"/>
      <c r="AH396" s="456"/>
      <c r="AI396" s="456"/>
      <c r="AJ396" s="456"/>
    </row>
    <row r="397" spans="4:36" ht="12.95" customHeight="1">
      <c r="D397" s="3" t="s">
        <v>2140</v>
      </c>
      <c r="AG397" s="456"/>
      <c r="AH397" s="456"/>
      <c r="AI397" s="1508" t="s">
        <v>668</v>
      </c>
      <c r="AJ397" s="1508"/>
    </row>
    <row r="398" spans="4:36" ht="12.95" customHeight="1">
      <c r="D398" s="3" t="s">
        <v>1665</v>
      </c>
      <c r="T398" s="1262" t="s">
        <v>2638</v>
      </c>
      <c r="U398" s="1262"/>
      <c r="V398" s="1262"/>
      <c r="W398" s="1262"/>
      <c r="X398" s="1262"/>
      <c r="Y398" s="1262"/>
      <c r="Z398" s="1262"/>
      <c r="AA398" s="1262"/>
      <c r="AB398" s="1262"/>
      <c r="AC398" s="1262"/>
      <c r="AD398" s="1262"/>
      <c r="AE398" s="1262"/>
      <c r="AF398" s="1262"/>
      <c r="AG398" s="1262"/>
      <c r="AH398" s="1262"/>
      <c r="AI398" s="1262"/>
      <c r="AJ398" s="1262"/>
    </row>
    <row r="399" spans="4:36" ht="12.95" customHeight="1">
      <c r="D399" s="3" t="s">
        <v>1664</v>
      </c>
      <c r="T399" s="1262" t="s">
        <v>591</v>
      </c>
      <c r="U399" s="1262"/>
      <c r="V399" s="1262"/>
      <c r="W399" s="1262"/>
      <c r="X399" s="1262"/>
      <c r="Y399" s="1262"/>
      <c r="Z399" s="1262"/>
      <c r="AA399" s="1262"/>
      <c r="AB399" s="1262"/>
      <c r="AC399" s="1262"/>
      <c r="AD399" s="1262"/>
      <c r="AE399" s="1262"/>
      <c r="AF399" s="1262"/>
      <c r="AG399" s="1262"/>
      <c r="AH399" s="1262"/>
      <c r="AI399" s="1262"/>
      <c r="AJ399" s="1262"/>
    </row>
    <row r="400" spans="4:36" ht="12.95" customHeight="1">
      <c r="AG400" s="456"/>
      <c r="AH400" s="456"/>
      <c r="AI400" s="456"/>
      <c r="AJ400" s="456"/>
    </row>
    <row r="401" spans="1:36" ht="12.95" customHeight="1">
      <c r="D401" s="3" t="s">
        <v>1658</v>
      </c>
      <c r="S401" s="1434" t="s">
        <v>668</v>
      </c>
      <c r="T401" s="1434"/>
      <c r="U401" s="1434"/>
      <c r="V401" t="s">
        <v>1659</v>
      </c>
      <c r="AG401" s="1532"/>
      <c r="AH401" s="1532"/>
      <c r="AI401" s="1532"/>
      <c r="AJ401" s="1532"/>
    </row>
    <row r="402" spans="1:36" ht="12.95" customHeight="1">
      <c r="D402" s="3" t="s">
        <v>1656</v>
      </c>
      <c r="S402" s="1434" t="s">
        <v>591</v>
      </c>
      <c r="T402" s="1434"/>
      <c r="U402" s="1434"/>
      <c r="V402" t="s">
        <v>1661</v>
      </c>
      <c r="AE402" s="1527"/>
      <c r="AF402" s="1527"/>
      <c r="AG402" s="1527"/>
      <c r="AH402" s="1527"/>
      <c r="AI402" s="1527"/>
      <c r="AJ402" s="1527"/>
    </row>
    <row r="403" spans="1:36" ht="12.95" customHeight="1">
      <c r="D403" s="3" t="s">
        <v>1657</v>
      </c>
      <c r="K403" s="1546"/>
      <c r="L403" s="1546"/>
      <c r="M403" s="1546"/>
      <c r="N403" s="1546"/>
      <c r="O403" s="1546"/>
      <c r="P403" s="1546"/>
      <c r="Q403" s="1546"/>
      <c r="R403" s="1546"/>
      <c r="S403" s="1546"/>
      <c r="T403" s="1546"/>
      <c r="U403" s="1546"/>
      <c r="V403" s="1546"/>
      <c r="W403" s="1546"/>
      <c r="X403" s="1546"/>
      <c r="Y403" s="1546"/>
      <c r="Z403" s="1546"/>
      <c r="AA403" s="1546"/>
      <c r="AB403" s="1546"/>
      <c r="AC403" s="1546"/>
      <c r="AD403" s="1546"/>
      <c r="AE403" s="1546"/>
      <c r="AF403" s="1546"/>
      <c r="AG403" s="1546"/>
      <c r="AH403" s="1546"/>
      <c r="AI403" s="1546"/>
      <c r="AJ403" s="1546"/>
    </row>
    <row r="404" spans="1:36" ht="12.95" customHeight="1">
      <c r="D404" s="3" t="s">
        <v>1660</v>
      </c>
      <c r="K404" s="1546"/>
      <c r="L404" s="1546"/>
      <c r="M404" s="1546"/>
      <c r="N404" s="1546"/>
      <c r="O404" s="1546"/>
      <c r="P404" s="1546"/>
      <c r="Q404" s="1546"/>
      <c r="R404" s="1546"/>
      <c r="S404" s="1546"/>
      <c r="T404" s="1546"/>
      <c r="U404" s="1546"/>
      <c r="V404" s="1546"/>
      <c r="W404" s="1546"/>
      <c r="X404" s="1546"/>
      <c r="Y404" s="1546"/>
      <c r="Z404" s="1546"/>
      <c r="AA404" s="1546"/>
      <c r="AB404" s="1546"/>
      <c r="AC404" s="1546"/>
      <c r="AD404" s="1546"/>
      <c r="AE404" s="1546"/>
      <c r="AF404" s="1546"/>
      <c r="AG404" s="1546"/>
      <c r="AH404" s="1546"/>
      <c r="AI404" s="1546"/>
      <c r="AJ404" s="1546"/>
    </row>
    <row r="405" spans="1:36" ht="12.95" customHeight="1">
      <c r="D405" s="3" t="s">
        <v>1663</v>
      </c>
      <c r="E405" s="477"/>
      <c r="F405" s="477"/>
      <c r="G405" s="477"/>
      <c r="H405" s="477"/>
      <c r="I405" s="477"/>
      <c r="J405" s="477"/>
      <c r="K405" s="477"/>
      <c r="L405" s="477"/>
      <c r="M405" s="477"/>
      <c r="N405" s="477"/>
      <c r="O405" s="477"/>
      <c r="P405" s="477"/>
      <c r="Q405" s="477"/>
      <c r="R405" s="477"/>
      <c r="S405" s="1550" t="s">
        <v>2721</v>
      </c>
      <c r="T405" s="1550"/>
      <c r="U405" s="1550"/>
      <c r="V405" s="1550"/>
      <c r="W405" s="1550"/>
      <c r="X405" s="1550"/>
      <c r="Y405" s="1550"/>
      <c r="Z405" s="1550"/>
      <c r="AA405" s="1550"/>
      <c r="AB405" s="1550"/>
      <c r="AC405" s="1550"/>
      <c r="AD405" s="1550"/>
      <c r="AE405" s="1550"/>
      <c r="AF405" s="1550"/>
      <c r="AG405" s="1550"/>
      <c r="AH405" s="1550"/>
      <c r="AI405" s="1550"/>
      <c r="AJ405" s="1550"/>
    </row>
    <row r="406" spans="1:36" ht="12.95" customHeight="1">
      <c r="D406" s="1272" t="s">
        <v>1662</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1202</v>
      </c>
      <c r="I410" s="1549" t="s">
        <v>2722</v>
      </c>
      <c r="J410" s="1549"/>
      <c r="K410" s="1549"/>
      <c r="L410" s="1549"/>
      <c r="M410" s="1549"/>
      <c r="N410" s="1549"/>
      <c r="O410" s="1549"/>
      <c r="P410" s="1549"/>
      <c r="Q410" s="1549"/>
      <c r="R410" s="1549"/>
      <c r="S410" s="1549"/>
      <c r="T410" s="1549"/>
      <c r="U410" s="1549"/>
      <c r="V410" s="1549"/>
      <c r="W410" s="1549"/>
      <c r="X410" s="1549"/>
      <c r="Y410" s="1549"/>
      <c r="Z410" s="1549"/>
      <c r="AA410" s="1549"/>
      <c r="AB410" s="1549"/>
      <c r="AC410" s="1549"/>
      <c r="AD410" s="1549"/>
      <c r="AE410" s="1549"/>
    </row>
    <row r="411" spans="1:36" ht="12.95" customHeight="1">
      <c r="E411" t="s">
        <v>106</v>
      </c>
      <c r="R411" s="1508" t="s">
        <v>545</v>
      </c>
      <c r="S411" s="1508"/>
      <c r="AC411" s="27" t="s">
        <v>570</v>
      </c>
      <c r="AD411" s="1396" t="s">
        <v>2712</v>
      </c>
      <c r="AE411" s="1396"/>
    </row>
    <row r="412" spans="1:36" ht="12.95" customHeight="1">
      <c r="E412" t="s">
        <v>107</v>
      </c>
      <c r="R412" s="1508" t="s">
        <v>591</v>
      </c>
      <c r="S412" s="1508"/>
      <c r="AC412" s="27" t="s">
        <v>570</v>
      </c>
      <c r="AD412" s="1396" t="s">
        <v>250</v>
      </c>
      <c r="AE412" s="1396"/>
    </row>
    <row r="413" spans="1:36" ht="12.95" customHeight="1">
      <c r="E413" t="s">
        <v>108</v>
      </c>
      <c r="S413" s="1508" t="s">
        <v>591</v>
      </c>
      <c r="T413" s="1508"/>
    </row>
    <row r="414" spans="1:36" ht="12.95" customHeight="1">
      <c r="E414" t="s">
        <v>170</v>
      </c>
      <c r="H414" s="1596" t="s">
        <v>2723</v>
      </c>
      <c r="I414" s="1596"/>
      <c r="J414" s="1596"/>
      <c r="K414" s="1596"/>
      <c r="L414" s="1596"/>
      <c r="M414" s="1596"/>
      <c r="N414" s="1596"/>
      <c r="O414" s="1596"/>
      <c r="P414" s="1596"/>
      <c r="Q414" s="1596"/>
      <c r="R414" s="1596"/>
      <c r="S414" s="1596"/>
      <c r="T414" s="1596"/>
      <c r="U414" s="1596"/>
      <c r="V414" s="1596"/>
      <c r="W414" s="1596"/>
      <c r="X414" s="1596"/>
      <c r="Y414" s="1596"/>
      <c r="Z414" s="1596"/>
      <c r="AA414" s="1596"/>
      <c r="AB414" s="1596"/>
      <c r="AC414" s="1596"/>
      <c r="AD414" s="1596"/>
      <c r="AE414" s="1596"/>
    </row>
    <row r="415" spans="1:36" ht="12.95" customHeight="1">
      <c r="H415" s="1597"/>
      <c r="I415" s="1597"/>
      <c r="J415" s="1597"/>
      <c r="K415" s="1597"/>
      <c r="L415" s="1597"/>
      <c r="M415" s="1597"/>
      <c r="N415" s="1597"/>
      <c r="O415" s="1597"/>
      <c r="P415" s="1597"/>
      <c r="Q415" s="1597"/>
      <c r="R415" s="1597"/>
      <c r="S415" s="1597"/>
      <c r="T415" s="1597"/>
      <c r="U415" s="1597"/>
      <c r="V415" s="1597"/>
      <c r="W415" s="1597"/>
      <c r="X415" s="1597"/>
      <c r="Y415" s="1597"/>
      <c r="Z415" s="1597"/>
      <c r="AA415" s="1597"/>
      <c r="AB415" s="1597"/>
      <c r="AC415" s="1597"/>
      <c r="AD415" s="1597"/>
      <c r="AE415" s="1597"/>
    </row>
    <row r="416" spans="1:36" ht="12.95" customHeight="1"/>
    <row r="417" spans="1:39" ht="12.95" customHeight="1">
      <c r="A417" s="2" t="s">
        <v>590</v>
      </c>
      <c r="B417" s="2"/>
      <c r="C417" s="2"/>
      <c r="D417" s="2" t="s">
        <v>114</v>
      </c>
      <c r="AF417" s="2" t="s">
        <v>956</v>
      </c>
    </row>
    <row r="418" spans="1:39" ht="12.95" customHeight="1">
      <c r="E418" s="1536"/>
      <c r="F418" s="1536"/>
      <c r="G418" s="1536"/>
      <c r="H418" s="13" t="s">
        <v>115</v>
      </c>
      <c r="I418" s="1536"/>
      <c r="J418" s="1536"/>
      <c r="K418" s="1536"/>
      <c r="L418" t="s">
        <v>116</v>
      </c>
      <c r="N418" s="27" t="s">
        <v>575</v>
      </c>
      <c r="P418" s="1541">
        <v>2.41</v>
      </c>
      <c r="Q418" s="1541"/>
      <c r="R418" s="1541"/>
      <c r="S418" t="s">
        <v>117</v>
      </c>
      <c r="W418" s="1544">
        <f>IF(E418&gt;0,(E418*I418),(P418*43560))</f>
        <v>104979.6</v>
      </c>
      <c r="X418" s="1544"/>
      <c r="Y418" s="1544"/>
      <c r="Z418" t="s">
        <v>118</v>
      </c>
      <c r="AF418" s="1600">
        <f>IFERROR(IF(P418&gt;0,(AG437/P418),(AG437/(W418/43560))),0)</f>
        <v>65.975103734439827</v>
      </c>
      <c r="AG418" s="1600"/>
      <c r="AH418" s="1600"/>
      <c r="AM418" s="3"/>
    </row>
    <row r="419" spans="1:39" ht="12.95" customHeight="1">
      <c r="E419" t="s">
        <v>51</v>
      </c>
    </row>
    <row r="420" spans="1:39" ht="12.95" customHeight="1">
      <c r="E420" s="1529"/>
      <c r="F420" s="1529"/>
      <c r="G420" s="1529"/>
      <c r="H420" s="1529"/>
      <c r="I420" s="1529"/>
      <c r="J420" s="1529"/>
      <c r="K420" s="1529"/>
      <c r="L420" s="1529"/>
      <c r="M420" s="1529"/>
      <c r="N420" s="1529"/>
      <c r="O420" s="1529"/>
      <c r="P420" s="1529"/>
      <c r="Q420" s="1529"/>
      <c r="R420" s="1529"/>
      <c r="S420" s="1529"/>
      <c r="T420" s="1529"/>
      <c r="U420" s="1529"/>
      <c r="V420" s="1529"/>
      <c r="W420" s="1529"/>
      <c r="X420" s="1529"/>
      <c r="Y420" s="1529"/>
      <c r="Z420" s="1529"/>
      <c r="AA420" s="1529"/>
      <c r="AB420" s="1529"/>
      <c r="AC420" s="1529"/>
      <c r="AD420" s="1529"/>
      <c r="AE420" s="1529"/>
      <c r="AF420" s="1529"/>
      <c r="AG420" s="1529"/>
      <c r="AH420" s="1529"/>
      <c r="AI420" s="1529"/>
      <c r="AJ420" s="1529"/>
    </row>
    <row r="421" spans="1:39" ht="12.95" customHeight="1">
      <c r="E421" s="118" t="s">
        <v>1734</v>
      </c>
      <c r="F421" s="1013"/>
      <c r="G421" s="1013"/>
      <c r="H421" s="1013"/>
      <c r="I421" s="1540">
        <v>2.41</v>
      </c>
      <c r="J421" s="1540"/>
      <c r="K421" s="1540"/>
      <c r="L421" s="1013"/>
      <c r="M421" s="118"/>
      <c r="N421" s="1013"/>
      <c r="O421" s="1013"/>
      <c r="P421" s="1843">
        <f>(DU755+DU778+DU800)/I421</f>
        <v>66.390041493775925</v>
      </c>
      <c r="Q421" s="1843"/>
      <c r="R421" s="1843"/>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508">
        <v>2</v>
      </c>
      <c r="Q424" s="1508"/>
      <c r="S424" t="s">
        <v>189</v>
      </c>
      <c r="AE424" s="1508">
        <v>2</v>
      </c>
      <c r="AF424" s="1508"/>
    </row>
    <row r="425" spans="1:39" ht="12.95" customHeight="1">
      <c r="E425" t="s">
        <v>190</v>
      </c>
      <c r="P425" s="1508">
        <v>0</v>
      </c>
      <c r="Q425" s="1508"/>
      <c r="S425" t="s">
        <v>131</v>
      </c>
      <c r="AE425" s="1508" t="s">
        <v>591</v>
      </c>
      <c r="AF425" s="1508"/>
    </row>
    <row r="426" spans="1:39" ht="12.95" customHeight="1">
      <c r="F426" s="28" t="s">
        <v>132</v>
      </c>
    </row>
    <row r="427" spans="1:39" ht="12.95" customHeight="1">
      <c r="F427" s="1537"/>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2.95" customHeight="1">
      <c r="F428" s="1538"/>
      <c r="G428" s="1538"/>
      <c r="H428" s="1538"/>
      <c r="I428" s="1538"/>
      <c r="J428" s="1538"/>
      <c r="K428" s="1538"/>
      <c r="L428" s="1538"/>
      <c r="M428" s="1538"/>
      <c r="N428" s="1538"/>
      <c r="O428" s="1538"/>
      <c r="P428" s="1538"/>
      <c r="Q428" s="1538"/>
      <c r="R428" s="1538"/>
      <c r="S428" s="1538"/>
      <c r="T428" s="1538"/>
      <c r="U428" s="1538"/>
      <c r="V428" s="1538"/>
      <c r="W428" s="1538"/>
      <c r="X428" s="1538"/>
      <c r="Y428" s="1538"/>
      <c r="Z428" s="1538"/>
      <c r="AA428" s="1538"/>
      <c r="AB428" s="1538"/>
      <c r="AC428" s="1538"/>
      <c r="AD428" s="1538"/>
      <c r="AE428" s="1538"/>
      <c r="AF428" s="1538"/>
      <c r="AG428" s="1538"/>
      <c r="AH428" s="1538"/>
    </row>
    <row r="429" spans="1:39" ht="12.95" customHeight="1">
      <c r="E429" t="s">
        <v>608</v>
      </c>
      <c r="P429" s="1"/>
      <c r="Q429" s="1508" t="s">
        <v>545</v>
      </c>
      <c r="R429" s="1508"/>
    </row>
    <row r="430" spans="1:39" ht="12.95" customHeight="1">
      <c r="F430" t="s">
        <v>609</v>
      </c>
      <c r="P430" s="1"/>
      <c r="Q430" s="1"/>
      <c r="AF430" s="1508" t="s">
        <v>591</v>
      </c>
      <c r="AG430" s="1539"/>
    </row>
    <row r="431" spans="1:39" ht="12.95" customHeight="1"/>
    <row r="432" spans="1:39" ht="12.95" customHeight="1">
      <c r="A432" s="2"/>
      <c r="B432" s="2"/>
      <c r="C432" s="2"/>
      <c r="E432" s="4" t="s">
        <v>308</v>
      </c>
      <c r="Z432" s="1508" t="s">
        <v>668</v>
      </c>
      <c r="AA432" s="150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508" t="s">
        <v>591</v>
      </c>
      <c r="AA434" s="1508"/>
    </row>
    <row r="435" spans="1:55" ht="12.95" customHeight="1"/>
    <row r="436" spans="1:55" ht="12.95" customHeight="1">
      <c r="A436" s="2" t="s">
        <v>467</v>
      </c>
      <c r="B436" s="2"/>
      <c r="C436" s="2"/>
      <c r="D436" s="2" t="s">
        <v>763</v>
      </c>
      <c r="AF436" s="48"/>
    </row>
    <row r="437" spans="1:55" ht="12.95" customHeight="1">
      <c r="D437" s="1543" t="s">
        <v>43</v>
      </c>
      <c r="E437" s="1530"/>
      <c r="F437" s="1530"/>
      <c r="G437" s="1530"/>
      <c r="H437" s="1530"/>
      <c r="I437" s="1530"/>
      <c r="J437" s="1530"/>
      <c r="K437" s="1530"/>
      <c r="L437" s="1530"/>
      <c r="M437" s="1530"/>
      <c r="N437" s="1530"/>
      <c r="O437" s="1530"/>
      <c r="P437" s="1530"/>
      <c r="Q437" s="1530"/>
      <c r="R437" s="1530"/>
      <c r="S437" s="1530"/>
      <c r="T437" s="1530"/>
      <c r="U437" s="1530"/>
      <c r="V437" s="1530"/>
      <c r="W437" s="1530"/>
      <c r="X437" s="1530"/>
      <c r="Y437" s="1530"/>
      <c r="Z437" s="1530"/>
      <c r="AA437" s="1530"/>
      <c r="AB437" s="1530"/>
      <c r="AC437" s="1530"/>
      <c r="AD437" s="1530"/>
      <c r="AE437" s="1530"/>
      <c r="AF437" s="1531"/>
      <c r="AG437" s="1391">
        <v>159</v>
      </c>
      <c r="AH437" s="1391"/>
      <c r="AI437" s="1391"/>
      <c r="AJ437" s="1391"/>
    </row>
    <row r="438" spans="1:55" ht="12.95" customHeight="1">
      <c r="D438" s="1457" t="s">
        <v>1220</v>
      </c>
      <c r="E438" s="1458"/>
      <c r="F438" s="1458"/>
      <c r="G438" s="1458"/>
      <c r="H438" s="1458"/>
      <c r="I438" s="1458"/>
      <c r="J438" s="1458"/>
      <c r="K438" s="1458"/>
      <c r="L438" s="1458"/>
      <c r="M438" s="1458"/>
      <c r="N438" s="1458"/>
      <c r="O438" s="1458"/>
      <c r="P438" s="1458"/>
      <c r="Q438" s="1458"/>
      <c r="R438" s="1458"/>
      <c r="S438" s="1458"/>
      <c r="T438" s="1458"/>
      <c r="U438" s="1458"/>
      <c r="V438" s="1458"/>
      <c r="W438" s="1458"/>
      <c r="X438" s="1458"/>
      <c r="Y438" s="1458"/>
      <c r="Z438" s="1458"/>
      <c r="AA438" s="1458"/>
      <c r="AB438" s="1458"/>
      <c r="AC438" s="1458"/>
      <c r="AD438" s="1458"/>
      <c r="AE438" s="1458"/>
      <c r="AF438" s="1459"/>
      <c r="AG438" s="1454">
        <v>0</v>
      </c>
      <c r="AH438" s="1455"/>
      <c r="AI438" s="1455"/>
      <c r="AJ438" s="1455"/>
    </row>
    <row r="439" spans="1:55" ht="12.95" customHeight="1">
      <c r="D439" s="1457" t="s">
        <v>1029</v>
      </c>
      <c r="E439" s="1458"/>
      <c r="F439" s="1458"/>
      <c r="G439" s="1458"/>
      <c r="H439" s="1458"/>
      <c r="I439" s="1458"/>
      <c r="J439" s="1458"/>
      <c r="K439" s="1458"/>
      <c r="L439" s="1458"/>
      <c r="M439" s="1458"/>
      <c r="N439" s="1458"/>
      <c r="O439" s="1458"/>
      <c r="P439" s="1458"/>
      <c r="Q439" s="1458"/>
      <c r="R439" s="1458"/>
      <c r="S439" s="1458"/>
      <c r="T439" s="1458"/>
      <c r="U439" s="1458"/>
      <c r="V439" s="1458"/>
      <c r="W439" s="1458"/>
      <c r="X439" s="1458"/>
      <c r="Y439" s="1458"/>
      <c r="Z439" s="1458"/>
      <c r="AA439" s="1458"/>
      <c r="AB439" s="1458"/>
      <c r="AC439" s="1458"/>
      <c r="AD439" s="1458"/>
      <c r="AE439" s="1458"/>
      <c r="AF439" s="1459"/>
      <c r="AG439" s="1391">
        <v>157</v>
      </c>
      <c r="AH439" s="1391"/>
      <c r="AI439" s="1391"/>
      <c r="AJ439" s="1391"/>
    </row>
    <row r="440" spans="1:55" ht="12.95" customHeight="1">
      <c r="D440" s="1457" t="s">
        <v>1030</v>
      </c>
      <c r="E440" s="1458"/>
      <c r="F440" s="1458"/>
      <c r="G440" s="1458"/>
      <c r="H440" s="1458"/>
      <c r="I440" s="1458"/>
      <c r="J440" s="1458"/>
      <c r="K440" s="1458"/>
      <c r="L440" s="1458"/>
      <c r="M440" s="1458"/>
      <c r="N440" s="1458"/>
      <c r="O440" s="1458"/>
      <c r="P440" s="1458"/>
      <c r="Q440" s="1458"/>
      <c r="R440" s="1458"/>
      <c r="S440" s="1458"/>
      <c r="T440" s="1458"/>
      <c r="U440" s="1458"/>
      <c r="V440" s="1458"/>
      <c r="W440" s="1458"/>
      <c r="X440" s="1458"/>
      <c r="Y440" s="1458"/>
      <c r="Z440" s="1458"/>
      <c r="AA440" s="1458"/>
      <c r="AB440" s="1458"/>
      <c r="AC440" s="1458"/>
      <c r="AD440" s="1458"/>
      <c r="AE440" s="1458"/>
      <c r="AF440" s="1459"/>
      <c r="AG440" s="1391">
        <v>157</v>
      </c>
      <c r="AH440" s="1391"/>
      <c r="AI440" s="1391"/>
      <c r="AJ440" s="1391"/>
    </row>
    <row r="441" spans="1:55" ht="12.95" customHeight="1">
      <c r="D441" s="1457" t="s">
        <v>1032</v>
      </c>
      <c r="E441" s="1458"/>
      <c r="F441" s="1458"/>
      <c r="G441" s="1458"/>
      <c r="H441" s="1458"/>
      <c r="I441" s="1458"/>
      <c r="J441" s="1458"/>
      <c r="K441" s="1458"/>
      <c r="L441" s="1458"/>
      <c r="M441" s="1458"/>
      <c r="N441" s="1458"/>
      <c r="O441" s="1458"/>
      <c r="P441" s="1458"/>
      <c r="Q441" s="1458"/>
      <c r="R441" s="1458"/>
      <c r="S441" s="1458"/>
      <c r="T441" s="1458"/>
      <c r="U441" s="1458"/>
      <c r="V441" s="1458"/>
      <c r="W441" s="1458"/>
      <c r="X441" s="1458"/>
      <c r="Y441" s="1458"/>
      <c r="Z441" s="1458"/>
      <c r="AA441" s="1458"/>
      <c r="AB441" s="1458"/>
      <c r="AC441" s="1458"/>
      <c r="AD441" s="1458"/>
      <c r="AE441" s="1458"/>
      <c r="AF441" s="1459"/>
      <c r="AG441" s="1435">
        <f>IF(ISERROR(AG440/AG439),0,AG440/AG439)</f>
        <v>1</v>
      </c>
      <c r="AH441" s="1435"/>
      <c r="AI441" s="1435"/>
      <c r="AJ441" s="1435"/>
    </row>
    <row r="442" spans="1:55" ht="12.95" customHeight="1">
      <c r="D442" s="1457" t="s">
        <v>1031</v>
      </c>
      <c r="E442" s="1458"/>
      <c r="F442" s="1458"/>
      <c r="G442" s="1458"/>
      <c r="H442" s="1458"/>
      <c r="I442" s="1458"/>
      <c r="J442" s="1458"/>
      <c r="K442" s="1458"/>
      <c r="L442" s="1458"/>
      <c r="M442" s="1458"/>
      <c r="N442" s="1458"/>
      <c r="O442" s="1458"/>
      <c r="P442" s="1458"/>
      <c r="Q442" s="1458"/>
      <c r="R442" s="1458"/>
      <c r="S442" s="1458"/>
      <c r="T442" s="1458"/>
      <c r="U442" s="1458"/>
      <c r="V442" s="1458"/>
      <c r="W442" s="1458"/>
      <c r="X442" s="1458"/>
      <c r="Y442" s="1458"/>
      <c r="Z442" s="1458"/>
      <c r="AA442" s="1458"/>
      <c r="AB442" s="1458"/>
      <c r="AC442" s="1458"/>
      <c r="AD442" s="1458"/>
      <c r="AE442" s="1458"/>
      <c r="AF442" s="1459"/>
      <c r="AG442" s="1528">
        <f>36180+46800</f>
        <v>82980</v>
      </c>
      <c r="AH442" s="1528"/>
      <c r="AI442" s="1528"/>
      <c r="AJ442" s="1528"/>
    </row>
    <row r="443" spans="1:55" ht="12.95" customHeight="1">
      <c r="D443" s="1457" t="s">
        <v>1033</v>
      </c>
      <c r="E443" s="1458"/>
      <c r="F443" s="1458"/>
      <c r="G443" s="1458"/>
      <c r="H443" s="1458"/>
      <c r="I443" s="1458"/>
      <c r="J443" s="1458"/>
      <c r="K443" s="1458"/>
      <c r="L443" s="1458"/>
      <c r="M443" s="1458"/>
      <c r="N443" s="1458"/>
      <c r="O443" s="1458"/>
      <c r="P443" s="1458"/>
      <c r="Q443" s="1458"/>
      <c r="R443" s="1458"/>
      <c r="S443" s="1458"/>
      <c r="T443" s="1458"/>
      <c r="U443" s="1458"/>
      <c r="V443" s="1458"/>
      <c r="W443" s="1458"/>
      <c r="X443" s="1458"/>
      <c r="Y443" s="1458"/>
      <c r="Z443" s="1458"/>
      <c r="AA443" s="1458"/>
      <c r="AB443" s="1458"/>
      <c r="AC443" s="1458"/>
      <c r="AD443" s="1458"/>
      <c r="AE443" s="1458"/>
      <c r="AF443" s="1459"/>
      <c r="AG443" s="1528">
        <f>+AG442</f>
        <v>82980</v>
      </c>
      <c r="AH443" s="1528"/>
      <c r="AI443" s="1528"/>
      <c r="AJ443" s="1528"/>
    </row>
    <row r="444" spans="1:55" ht="12.95" customHeight="1">
      <c r="D444" s="1457" t="s">
        <v>1034</v>
      </c>
      <c r="E444" s="1458"/>
      <c r="F444" s="1458"/>
      <c r="G444" s="1458"/>
      <c r="H444" s="1458"/>
      <c r="I444" s="1458"/>
      <c r="J444" s="1458"/>
      <c r="K444" s="1458"/>
      <c r="L444" s="1458"/>
      <c r="M444" s="1458"/>
      <c r="N444" s="1458"/>
      <c r="O444" s="1458"/>
      <c r="P444" s="1458"/>
      <c r="Q444" s="1458"/>
      <c r="R444" s="1458"/>
      <c r="S444" s="1458"/>
      <c r="T444" s="1458"/>
      <c r="U444" s="1458"/>
      <c r="V444" s="1458"/>
      <c r="W444" s="1458"/>
      <c r="X444" s="1458"/>
      <c r="Y444" s="1458"/>
      <c r="Z444" s="1458"/>
      <c r="AA444" s="1458"/>
      <c r="AB444" s="1458"/>
      <c r="AC444" s="1458"/>
      <c r="AD444" s="1458"/>
      <c r="AE444" s="1458"/>
      <c r="AF444" s="1459"/>
      <c r="AG444" s="1435">
        <f>IF(ISERROR(AG443/AG442),0,AG443/AG442)</f>
        <v>1</v>
      </c>
      <c r="AH444" s="1435"/>
      <c r="AI444" s="1435"/>
      <c r="AJ444" s="1435"/>
    </row>
    <row r="445" spans="1:55" ht="12.95" customHeight="1">
      <c r="D445" s="1457" t="s">
        <v>1035</v>
      </c>
      <c r="E445" s="1458"/>
      <c r="F445" s="1458"/>
      <c r="G445" s="1458"/>
      <c r="H445" s="1458"/>
      <c r="I445" s="1458"/>
      <c r="J445" s="1458"/>
      <c r="K445" s="1458"/>
      <c r="L445" s="1458"/>
      <c r="M445" s="1458"/>
      <c r="N445" s="1458"/>
      <c r="O445" s="1458"/>
      <c r="P445" s="1458"/>
      <c r="Q445" s="1458"/>
      <c r="R445" s="1458"/>
      <c r="S445" s="1458"/>
      <c r="T445" s="1458"/>
      <c r="U445" s="1458"/>
      <c r="V445" s="1458"/>
      <c r="W445" s="1458"/>
      <c r="X445" s="1458"/>
      <c r="Y445" s="1458"/>
      <c r="Z445" s="1458"/>
      <c r="AA445" s="1458"/>
      <c r="AB445" s="1458"/>
      <c r="AC445" s="1458"/>
      <c r="AD445" s="1458"/>
      <c r="AE445" s="1458"/>
      <c r="AF445" s="1459"/>
      <c r="AG445" s="1435">
        <f>MIN(IF(AG441&gt;AG444,AG444,AG441),1)</f>
        <v>1</v>
      </c>
      <c r="AH445" s="1435"/>
      <c r="AI445" s="1435"/>
      <c r="AJ445" s="1435"/>
    </row>
    <row r="446" spans="1:55" ht="12.95" customHeight="1">
      <c r="D446" s="1457" t="s">
        <v>2085</v>
      </c>
      <c r="E446" s="1530"/>
      <c r="F446" s="1530"/>
      <c r="G446" s="1530"/>
      <c r="H446" s="1530"/>
      <c r="I446" s="1530"/>
      <c r="J446" s="1530"/>
      <c r="K446" s="1530"/>
      <c r="L446" s="1530"/>
      <c r="M446" s="1530"/>
      <c r="N446" s="1530"/>
      <c r="O446" s="1530"/>
      <c r="P446" s="1530"/>
      <c r="Q446" s="1530"/>
      <c r="R446" s="1530"/>
      <c r="S446" s="1530"/>
      <c r="T446" s="1530"/>
      <c r="U446" s="1530"/>
      <c r="V446" s="1530"/>
      <c r="W446" s="1530"/>
      <c r="X446" s="1530"/>
      <c r="Y446" s="1530"/>
      <c r="Z446" s="1530"/>
      <c r="AA446" s="1530"/>
      <c r="AB446" s="1530"/>
      <c r="AC446" s="1530"/>
      <c r="AD446" s="1530"/>
      <c r="AE446" s="1530"/>
      <c r="AF446" s="1531"/>
      <c r="AG446" s="1528">
        <f>1837+2642</f>
        <v>4479</v>
      </c>
      <c r="AH446" s="1528"/>
      <c r="AI446" s="1528"/>
      <c r="AJ446" s="1528"/>
      <c r="AZ446" s="34"/>
      <c r="BA446" s="34"/>
      <c r="BB446" s="34"/>
      <c r="BC446" s="34"/>
    </row>
    <row r="447" spans="1:55" ht="12.95" customHeight="1">
      <c r="D447" s="1543" t="s">
        <v>569</v>
      </c>
      <c r="E447" s="1530"/>
      <c r="F447" s="1530"/>
      <c r="G447" s="1530"/>
      <c r="H447" s="1530"/>
      <c r="I447" s="1530"/>
      <c r="J447" s="1530"/>
      <c r="K447" s="1530"/>
      <c r="L447" s="1530"/>
      <c r="M447" s="1530"/>
      <c r="N447" s="1530"/>
      <c r="O447" s="1530"/>
      <c r="P447" s="1530"/>
      <c r="Q447" s="1530"/>
      <c r="R447" s="1530"/>
      <c r="S447" s="1530"/>
      <c r="T447" s="1530"/>
      <c r="U447" s="1530"/>
      <c r="V447" s="1530"/>
      <c r="W447" s="1530"/>
      <c r="X447" s="1530"/>
      <c r="Y447" s="1530"/>
      <c r="Z447" s="1530"/>
      <c r="AA447" s="1530"/>
      <c r="AB447" s="1530"/>
      <c r="AC447" s="1530"/>
      <c r="AD447" s="1530"/>
      <c r="AE447" s="1530"/>
      <c r="AF447" s="1531"/>
      <c r="AG447" s="1528">
        <v>0</v>
      </c>
      <c r="AH447" s="1528"/>
      <c r="AI447" s="1528"/>
      <c r="AJ447" s="1528"/>
      <c r="AZ447" s="3"/>
      <c r="BA447" s="3"/>
      <c r="BB447" s="3"/>
      <c r="BC447" s="3"/>
    </row>
    <row r="448" spans="1:55" ht="12.95" customHeight="1">
      <c r="D448" s="1457" t="s">
        <v>1203</v>
      </c>
      <c r="E448" s="1530"/>
      <c r="F448" s="1530"/>
      <c r="G448" s="1530"/>
      <c r="H448" s="1530"/>
      <c r="I448" s="1530"/>
      <c r="J448" s="1530"/>
      <c r="K448" s="1530"/>
      <c r="L448" s="1530"/>
      <c r="M448" s="1530"/>
      <c r="N448" s="1530"/>
      <c r="O448" s="1530"/>
      <c r="P448" s="1530"/>
      <c r="Q448" s="1530"/>
      <c r="R448" s="1530"/>
      <c r="S448" s="1530"/>
      <c r="T448" s="1530"/>
      <c r="U448" s="1530"/>
      <c r="V448" s="1530"/>
      <c r="W448" s="1530"/>
      <c r="X448" s="1530"/>
      <c r="Y448" s="1530"/>
      <c r="Z448" s="1530"/>
      <c r="AA448" s="1530"/>
      <c r="AB448" s="1530"/>
      <c r="AC448" s="1530"/>
      <c r="AD448" s="1530"/>
      <c r="AE448" s="1530"/>
      <c r="AF448" s="1531"/>
      <c r="AG448" s="1528">
        <f>13973+3399+9823</f>
        <v>27195</v>
      </c>
      <c r="AH448" s="1528"/>
      <c r="AI448" s="1528"/>
      <c r="AJ448" s="1528"/>
      <c r="AZ448" s="3"/>
      <c r="BA448" s="3"/>
      <c r="BB448" s="3"/>
      <c r="BC448" s="3"/>
    </row>
    <row r="449" spans="1:55" ht="12.95" customHeight="1">
      <c r="D449" s="1457" t="s">
        <v>1036</v>
      </c>
      <c r="E449" s="1530"/>
      <c r="F449" s="1530"/>
      <c r="G449" s="1530"/>
      <c r="H449" s="1530"/>
      <c r="I449" s="1530"/>
      <c r="J449" s="1530"/>
      <c r="K449" s="1530"/>
      <c r="L449" s="1530"/>
      <c r="M449" s="1530"/>
      <c r="N449" s="1530"/>
      <c r="O449" s="1530"/>
      <c r="P449" s="1530"/>
      <c r="Q449" s="1530"/>
      <c r="R449" s="1530"/>
      <c r="S449" s="1530"/>
      <c r="T449" s="1530"/>
      <c r="U449" s="1530"/>
      <c r="V449" s="1530"/>
      <c r="W449" s="1530"/>
      <c r="X449" s="1530"/>
      <c r="Y449" s="1530"/>
      <c r="Z449" s="1530"/>
      <c r="AA449" s="1530"/>
      <c r="AB449" s="1530"/>
      <c r="AC449" s="1530"/>
      <c r="AD449" s="1530"/>
      <c r="AE449" s="1530"/>
      <c r="AF449" s="1531"/>
      <c r="AG449" s="1528">
        <v>0</v>
      </c>
      <c r="AH449" s="1528"/>
      <c r="AI449" s="1528"/>
      <c r="AJ449" s="1528"/>
      <c r="BB449" s="3"/>
      <c r="BC449" s="3"/>
    </row>
    <row r="450" spans="1:55" ht="12.95" customHeight="1">
      <c r="D450" s="1509" t="s">
        <v>1037</v>
      </c>
      <c r="E450" s="1510"/>
      <c r="F450" s="1510"/>
      <c r="G450" s="1510"/>
      <c r="H450" s="1510"/>
      <c r="I450" s="1510"/>
      <c r="J450" s="1510"/>
      <c r="K450" s="1510"/>
      <c r="L450" s="1510"/>
      <c r="M450" s="1510"/>
      <c r="N450" s="1510"/>
      <c r="O450" s="1510"/>
      <c r="P450" s="1510"/>
      <c r="Q450" s="1510"/>
      <c r="R450" s="1510"/>
      <c r="S450" s="1510"/>
      <c r="T450" s="1510"/>
      <c r="U450" s="1510"/>
      <c r="V450" s="1510"/>
      <c r="W450" s="1510"/>
      <c r="X450" s="1510"/>
      <c r="Y450" s="1510"/>
      <c r="Z450" s="1510"/>
      <c r="AA450" s="1510"/>
      <c r="AB450" s="1510"/>
      <c r="AC450" s="1510"/>
      <c r="AD450" s="1510"/>
      <c r="AE450" s="1510"/>
      <c r="AF450" s="1511"/>
      <c r="AG450" s="1462">
        <f>AG442+AG446+AG448+AG449</f>
        <v>114654</v>
      </c>
      <c r="AH450" s="1462"/>
      <c r="AI450" s="1462"/>
      <c r="AJ450" s="1462"/>
      <c r="AZ450" s="3"/>
      <c r="BA450" s="3"/>
      <c r="BB450" s="3"/>
      <c r="BC450" s="3"/>
    </row>
    <row r="451" spans="1:55" ht="12.95" customHeight="1">
      <c r="D451" s="1460" t="s">
        <v>1204</v>
      </c>
      <c r="E451" s="1460"/>
      <c r="F451" s="1460"/>
      <c r="G451" s="1460"/>
      <c r="H451" s="1460"/>
      <c r="I451" s="1460"/>
      <c r="J451" s="1460"/>
      <c r="K451" s="1460"/>
      <c r="L451" s="1460"/>
      <c r="M451" s="1460"/>
      <c r="N451" s="1460"/>
      <c r="O451" s="1460"/>
      <c r="P451" s="1460"/>
      <c r="Q451" s="1460"/>
      <c r="R451" s="1460"/>
      <c r="S451" s="1460"/>
      <c r="T451" s="1460"/>
      <c r="U451" s="1460"/>
      <c r="V451" s="1460"/>
      <c r="W451" s="1460"/>
      <c r="X451" s="1460"/>
      <c r="Y451" s="1460"/>
      <c r="Z451" s="1460"/>
      <c r="AA451" s="1460"/>
      <c r="AB451" s="1460"/>
      <c r="AC451" s="1460"/>
      <c r="AD451" s="1460"/>
      <c r="AE451" s="1460"/>
      <c r="AF451" s="1460"/>
      <c r="AG451" s="1460"/>
      <c r="AH451" s="1460"/>
      <c r="AI451" s="1460"/>
      <c r="AJ451" s="1460"/>
      <c r="AZ451" s="3"/>
      <c r="BA451" s="3"/>
      <c r="BB451" s="3"/>
      <c r="BC451" s="3"/>
    </row>
    <row r="452" spans="1:55" ht="12.95" customHeight="1">
      <c r="D452" s="1461"/>
      <c r="E452" s="1461"/>
      <c r="F452" s="1461"/>
      <c r="G452" s="1461"/>
      <c r="H452" s="1461"/>
      <c r="I452" s="1461"/>
      <c r="J452" s="1461"/>
      <c r="K452" s="1461"/>
      <c r="L452" s="1461"/>
      <c r="M452" s="1461"/>
      <c r="N452" s="1461"/>
      <c r="O452" s="1461"/>
      <c r="P452" s="1461"/>
      <c r="Q452" s="1461"/>
      <c r="R452" s="1461"/>
      <c r="S452" s="1461"/>
      <c r="T452" s="1461"/>
      <c r="U452" s="1461"/>
      <c r="V452" s="1461"/>
      <c r="W452" s="1461"/>
      <c r="X452" s="1461"/>
      <c r="Y452" s="1461"/>
      <c r="Z452" s="1461"/>
      <c r="AA452" s="1461"/>
      <c r="AB452" s="1461"/>
      <c r="AC452" s="1461"/>
      <c r="AD452" s="1461"/>
      <c r="AE452" s="1461"/>
      <c r="AF452" s="1461"/>
      <c r="AG452" s="1461"/>
      <c r="AH452" s="1461"/>
      <c r="AI452" s="1461"/>
      <c r="AJ452" s="1461"/>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9">
        <f>IF(AG437=0,"",'Sources and Uses Budget'!B105/Application!AG437)</f>
        <v>458128.39622641512</v>
      </c>
      <c r="AD454" s="1379"/>
      <c r="AE454" s="1379"/>
      <c r="AF454" s="1379"/>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9">
        <f>IF(AG437=0,"",'Sources and Uses Budget'!C105/Application!AG437)</f>
        <v>458128.39622641512</v>
      </c>
      <c r="AD455" s="1379"/>
      <c r="AE455" s="1379"/>
      <c r="AF455" s="1379"/>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9">
        <f>IF(AG437=0,"",('Sources and Uses Budget'!$S$107+'Sources and Uses Budget'!$T$107)/Application!AG437)</f>
        <v>429244.25786163524</v>
      </c>
      <c r="AD456" s="1379"/>
      <c r="AE456" s="1379"/>
      <c r="AF456" s="1379"/>
      <c r="AG456" s="177"/>
      <c r="AH456" s="177"/>
      <c r="AI456" s="177"/>
      <c r="AJ456" s="183"/>
      <c r="AZ456" s="3"/>
      <c r="BA456" s="3"/>
      <c r="BB456" s="3"/>
      <c r="BC456" s="3"/>
    </row>
    <row r="457" spans="1:55" ht="12.95" customHeight="1">
      <c r="D457" s="177"/>
      <c r="E457" s="177"/>
      <c r="F457" s="1380" t="str">
        <f>IFERROR(IF(AC454&gt;650000,"Please provide a justification of cost per unit in Tab 12 for all projects with per unit costs of greater than $650,000.",""),"")</f>
        <v/>
      </c>
      <c r="G457" s="1380"/>
      <c r="H457" s="1380"/>
      <c r="I457" s="1380"/>
      <c r="J457" s="1380"/>
      <c r="K457" s="1380"/>
      <c r="L457" s="1380"/>
      <c r="M457" s="1380"/>
      <c r="N457" s="1380"/>
      <c r="O457" s="1380"/>
      <c r="P457" s="1380"/>
      <c r="Q457" s="1380"/>
      <c r="R457" s="1380"/>
      <c r="S457" s="1380"/>
      <c r="T457" s="1380"/>
      <c r="U457" s="1380"/>
      <c r="V457" s="1380"/>
      <c r="W457" s="1380"/>
      <c r="X457" s="1380"/>
      <c r="Y457" s="1380"/>
      <c r="Z457" s="1380"/>
      <c r="AA457" s="1380"/>
      <c r="AB457" s="1380"/>
      <c r="AC457" s="515"/>
      <c r="AD457" s="177"/>
      <c r="AE457" s="177"/>
      <c r="AF457" s="177"/>
      <c r="AG457" s="177"/>
      <c r="AH457" s="177"/>
      <c r="AI457" s="177"/>
      <c r="AJ457" s="183"/>
      <c r="AZ457" s="3"/>
      <c r="BA457" s="3"/>
      <c r="BB457" s="3"/>
      <c r="BC457" s="3"/>
    </row>
    <row r="458" spans="1:55" ht="12.95" customHeight="1">
      <c r="A458" s="2"/>
      <c r="D458" s="2"/>
      <c r="E458" s="177"/>
      <c r="F458" s="1380"/>
      <c r="G458" s="1380"/>
      <c r="H458" s="1380"/>
      <c r="I458" s="1380"/>
      <c r="J458" s="1380"/>
      <c r="K458" s="1380"/>
      <c r="L458" s="1380"/>
      <c r="M458" s="1380"/>
      <c r="N458" s="1380"/>
      <c r="O458" s="1380"/>
      <c r="P458" s="1380"/>
      <c r="Q458" s="1380"/>
      <c r="R458" s="1380"/>
      <c r="S458" s="1380"/>
      <c r="T458" s="1380"/>
      <c r="U458" s="1380"/>
      <c r="V458" s="1380"/>
      <c r="W458" s="1380"/>
      <c r="X458" s="1380"/>
      <c r="Y458" s="1380"/>
      <c r="Z458" s="1380"/>
      <c r="AA458" s="1380"/>
      <c r="AB458" s="1380"/>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90" t="s">
        <v>2097</v>
      </c>
      <c r="E465" s="1382"/>
      <c r="F465" s="1382"/>
      <c r="G465" s="1382"/>
      <c r="H465" s="1382"/>
      <c r="I465" s="1382"/>
      <c r="J465" s="1382"/>
      <c r="K465" s="1382"/>
      <c r="L465" s="1382"/>
      <c r="M465" s="1382"/>
      <c r="N465" s="1382"/>
      <c r="O465" s="1382"/>
      <c r="P465" s="1382"/>
      <c r="Q465" s="1382"/>
      <c r="R465" s="1382"/>
      <c r="S465" s="1382"/>
      <c r="T465" s="1382"/>
      <c r="U465" s="1382"/>
      <c r="V465" s="1383"/>
      <c r="W465" s="1397" t="s">
        <v>2724</v>
      </c>
      <c r="X465" s="1398"/>
      <c r="Y465" s="139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81" t="s">
        <v>692</v>
      </c>
      <c r="E466" s="1382"/>
      <c r="F466" s="1382"/>
      <c r="G466" s="1382"/>
      <c r="H466" s="1382"/>
      <c r="I466" s="1382"/>
      <c r="J466" s="1382"/>
      <c r="K466" s="1382"/>
      <c r="L466" s="1382"/>
      <c r="M466" s="1382"/>
      <c r="N466" s="1382"/>
      <c r="O466" s="1382"/>
      <c r="P466" s="1382"/>
      <c r="Q466" s="1382"/>
      <c r="R466" s="1382"/>
      <c r="S466" s="1382"/>
      <c r="T466" s="1382"/>
      <c r="U466" s="1382"/>
      <c r="V466" s="1383"/>
      <c r="W466" s="1397" t="s">
        <v>2724</v>
      </c>
      <c r="X466" s="1398"/>
      <c r="Y466" s="139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81" t="s">
        <v>693</v>
      </c>
      <c r="E467" s="1382"/>
      <c r="F467" s="1382"/>
      <c r="G467" s="1382"/>
      <c r="H467" s="1382"/>
      <c r="I467" s="1382"/>
      <c r="J467" s="1382"/>
      <c r="K467" s="1382"/>
      <c r="L467" s="1382"/>
      <c r="M467" s="1382"/>
      <c r="N467" s="1382"/>
      <c r="O467" s="1382"/>
      <c r="P467" s="1382"/>
      <c r="Q467" s="1382"/>
      <c r="R467" s="1382"/>
      <c r="S467" s="1382"/>
      <c r="T467" s="1382"/>
      <c r="U467" s="1382"/>
      <c r="V467" s="1383"/>
      <c r="W467" s="1397" t="s">
        <v>2724</v>
      </c>
      <c r="X467" s="1398"/>
      <c r="Y467" s="139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81" t="s">
        <v>694</v>
      </c>
      <c r="E468" s="1382"/>
      <c r="F468" s="1382"/>
      <c r="G468" s="1382"/>
      <c r="H468" s="1382"/>
      <c r="I468" s="1382"/>
      <c r="J468" s="1382"/>
      <c r="K468" s="1382"/>
      <c r="L468" s="1382"/>
      <c r="M468" s="1382"/>
      <c r="N468" s="1382"/>
      <c r="O468" s="1382"/>
      <c r="P468" s="1382"/>
      <c r="Q468" s="1382"/>
      <c r="R468" s="1382"/>
      <c r="S468" s="1382"/>
      <c r="T468" s="1382"/>
      <c r="U468" s="1382"/>
      <c r="V468" s="1383"/>
      <c r="W468" s="1397" t="s">
        <v>2724</v>
      </c>
      <c r="X468" s="1398"/>
      <c r="Y468" s="139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81" t="s">
        <v>880</v>
      </c>
      <c r="E469" s="1382"/>
      <c r="F469" s="1382"/>
      <c r="G469" s="1382"/>
      <c r="H469" s="1382"/>
      <c r="I469" s="1382"/>
      <c r="J469" s="1382"/>
      <c r="K469" s="1382"/>
      <c r="L469" s="1382"/>
      <c r="M469" s="1382"/>
      <c r="N469" s="1382"/>
      <c r="O469" s="1382"/>
      <c r="P469" s="1382"/>
      <c r="Q469" s="1382"/>
      <c r="R469" s="1382"/>
      <c r="S469" s="1382"/>
      <c r="T469" s="1382"/>
      <c r="U469" s="1382"/>
      <c r="V469" s="1383"/>
      <c r="W469" s="1397" t="s">
        <v>2724</v>
      </c>
      <c r="X469" s="1398"/>
      <c r="Y469" s="139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81" t="s">
        <v>695</v>
      </c>
      <c r="E470" s="1382"/>
      <c r="F470" s="1382"/>
      <c r="G470" s="1382"/>
      <c r="H470" s="1382"/>
      <c r="I470" s="1382"/>
      <c r="J470" s="1382"/>
      <c r="K470" s="1382"/>
      <c r="L470" s="1382"/>
      <c r="M470" s="1382"/>
      <c r="N470" s="1382"/>
      <c r="O470" s="1382"/>
      <c r="P470" s="1382"/>
      <c r="Q470" s="1382"/>
      <c r="R470" s="1382"/>
      <c r="S470" s="1382"/>
      <c r="T470" s="1382"/>
      <c r="U470" s="1382"/>
      <c r="V470" s="1383"/>
      <c r="W470" s="1397" t="s">
        <v>2724</v>
      </c>
      <c r="X470" s="1398"/>
      <c r="Y470" s="139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81" t="s">
        <v>1010</v>
      </c>
      <c r="E471" s="1382"/>
      <c r="F471" s="1382"/>
      <c r="G471" s="1382"/>
      <c r="H471" s="1382"/>
      <c r="I471" s="1382"/>
      <c r="J471" s="1382"/>
      <c r="K471" s="1382"/>
      <c r="L471" s="1382"/>
      <c r="M471" s="1382"/>
      <c r="N471" s="1382"/>
      <c r="O471" s="1382"/>
      <c r="P471" s="1382"/>
      <c r="Q471" s="1382"/>
      <c r="R471" s="1382"/>
      <c r="S471" s="1382"/>
      <c r="T471" s="1382"/>
      <c r="U471" s="1382"/>
      <c r="V471" s="1383"/>
      <c r="W471" s="1397" t="s">
        <v>2724</v>
      </c>
      <c r="X471" s="1398"/>
      <c r="Y471" s="139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90" t="s">
        <v>2188</v>
      </c>
      <c r="E472" s="1400"/>
      <c r="F472" s="1400"/>
      <c r="G472" s="1400"/>
      <c r="H472" s="1400"/>
      <c r="I472" s="1400"/>
      <c r="J472" s="1400"/>
      <c r="K472" s="1400"/>
      <c r="L472" s="1400"/>
      <c r="M472" s="1400"/>
      <c r="N472" s="1400"/>
      <c r="O472" s="1400"/>
      <c r="P472" s="1400"/>
      <c r="Q472" s="1400"/>
      <c r="R472" s="1400"/>
      <c r="S472" s="1400"/>
      <c r="T472" s="1400"/>
      <c r="U472" s="1400"/>
      <c r="V472" s="1401"/>
      <c r="W472" s="1397" t="s">
        <v>2724</v>
      </c>
      <c r="X472" s="1398"/>
      <c r="Y472" s="139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90" t="s">
        <v>1652</v>
      </c>
      <c r="E473" s="1382"/>
      <c r="F473" s="1382"/>
      <c r="G473" s="1382"/>
      <c r="H473" s="1382"/>
      <c r="I473" s="1382"/>
      <c r="J473" s="1382"/>
      <c r="K473" s="1382"/>
      <c r="L473" s="1382"/>
      <c r="M473" s="1382"/>
      <c r="N473" s="1382"/>
      <c r="O473" s="1382"/>
      <c r="P473" s="1382"/>
      <c r="Q473" s="1382"/>
      <c r="R473" s="1382"/>
      <c r="S473" s="1382"/>
      <c r="T473" s="1382"/>
      <c r="U473" s="1382"/>
      <c r="V473" s="1383"/>
      <c r="W473" s="1397">
        <v>18</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01"/>
      <c r="H474" s="1602"/>
      <c r="I474" s="1602"/>
      <c r="J474" s="1602"/>
      <c r="K474" s="1602"/>
      <c r="L474" s="1602"/>
      <c r="M474" s="1602"/>
      <c r="N474" s="1602"/>
      <c r="O474" s="1602"/>
      <c r="P474" s="1602"/>
      <c r="Q474" s="1602"/>
      <c r="R474" s="1602"/>
      <c r="S474" s="1602"/>
      <c r="T474" s="1602"/>
      <c r="U474" s="1602"/>
      <c r="V474" s="1603"/>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2725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t="s">
        <v>2726</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t="s">
        <v>2727</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60" t="s">
        <v>809</v>
      </c>
      <c r="B480" s="1560"/>
      <c r="C480" s="1560"/>
      <c r="D480" s="1560"/>
      <c r="E480" s="1560"/>
      <c r="F480" s="1560"/>
      <c r="G480" s="1560"/>
      <c r="H480" s="1560"/>
      <c r="I480" s="1560"/>
      <c r="J480" s="1560"/>
      <c r="K480" s="1560"/>
      <c r="L480" s="1560"/>
      <c r="M480" s="1560"/>
      <c r="N480" s="1560"/>
      <c r="O480" s="1560"/>
      <c r="P480" s="1560"/>
      <c r="Q480" s="1560"/>
      <c r="R480" s="1560"/>
      <c r="S480" s="1560"/>
      <c r="T480" s="1560"/>
      <c r="U480" s="1560"/>
      <c r="V480" s="1560"/>
      <c r="W480" s="1560"/>
      <c r="X480" s="1560"/>
      <c r="Y480" s="1560"/>
      <c r="Z480" s="1560"/>
      <c r="AA480" s="1560"/>
      <c r="AB480" s="1560"/>
      <c r="AC480" s="1560"/>
      <c r="AD480" s="1560"/>
      <c r="AE480" s="1560"/>
      <c r="AF480" s="1560"/>
      <c r="AG480" s="1560"/>
      <c r="AH480" s="1560"/>
      <c r="AI480" s="1560"/>
      <c r="AJ480" s="1560"/>
      <c r="AK480" s="1560"/>
      <c r="AL480" s="1560"/>
      <c r="AM480" s="1560"/>
      <c r="AN480" s="1560"/>
      <c r="AO480" s="1560"/>
      <c r="AP480" s="1560"/>
      <c r="AQ480" s="1560"/>
      <c r="AR480" s="1560"/>
      <c r="AS480" s="1560"/>
      <c r="AT480" s="1560"/>
      <c r="AU480" s="95"/>
      <c r="AV480" s="95"/>
      <c r="AW480" s="95"/>
      <c r="AX480" s="95"/>
      <c r="AY480" s="95"/>
      <c r="AZ480" s="3"/>
      <c r="BB480" s="3"/>
      <c r="BC480" s="3"/>
    </row>
    <row r="481" spans="1:55" ht="12.95" customHeight="1">
      <c r="A481" s="1560"/>
      <c r="B481" s="1560"/>
      <c r="C481" s="1560"/>
      <c r="D481" s="1560"/>
      <c r="E481" s="1560"/>
      <c r="F481" s="1560"/>
      <c r="G481" s="1560"/>
      <c r="H481" s="1560"/>
      <c r="I481" s="1560"/>
      <c r="J481" s="1560"/>
      <c r="K481" s="1560"/>
      <c r="L481" s="1560"/>
      <c r="M481" s="1560"/>
      <c r="N481" s="1560"/>
      <c r="O481" s="1560"/>
      <c r="P481" s="1560"/>
      <c r="Q481" s="1560"/>
      <c r="R481" s="1560"/>
      <c r="S481" s="1560"/>
      <c r="T481" s="1560"/>
      <c r="U481" s="1560"/>
      <c r="V481" s="1560"/>
      <c r="W481" s="1560"/>
      <c r="X481" s="1560"/>
      <c r="Y481" s="1560"/>
      <c r="Z481" s="1560"/>
      <c r="AA481" s="1560"/>
      <c r="AB481" s="1560"/>
      <c r="AC481" s="1560"/>
      <c r="AD481" s="1560"/>
      <c r="AE481" s="1560"/>
      <c r="AF481" s="1560"/>
      <c r="AG481" s="1560"/>
      <c r="AH481" s="1560"/>
      <c r="AI481" s="1560"/>
      <c r="AJ481" s="1560"/>
      <c r="AK481" s="1560"/>
      <c r="AL481" s="1560"/>
      <c r="AM481" s="1560"/>
      <c r="AN481" s="1560"/>
      <c r="AO481" s="1560"/>
      <c r="AP481" s="1560"/>
      <c r="AQ481" s="1560"/>
      <c r="AR481" s="1560"/>
      <c r="AS481" s="1560"/>
      <c r="AT481" s="1560"/>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92" t="s">
        <v>392</v>
      </c>
      <c r="R485" s="1393"/>
      <c r="S485" s="1393"/>
      <c r="T485" s="1393"/>
      <c r="U485" s="1393"/>
      <c r="V485" s="1393"/>
      <c r="W485" s="1393"/>
      <c r="X485" s="1393"/>
      <c r="Y485" s="1393"/>
      <c r="Z485" s="1393"/>
      <c r="AA485" s="1393"/>
      <c r="AB485" s="1393"/>
      <c r="AC485" s="1393"/>
      <c r="AD485" s="1393"/>
      <c r="AE485" s="1393"/>
      <c r="AF485" s="1393"/>
      <c r="AG485" s="1393"/>
      <c r="AH485" s="1393"/>
      <c r="AI485" s="1393"/>
      <c r="AJ485" s="1393"/>
      <c r="AK485" s="1394"/>
      <c r="AZ485" s="3"/>
      <c r="BB485" s="3"/>
      <c r="BC485" s="3"/>
    </row>
    <row r="486" spans="1:55" ht="12.95" customHeight="1">
      <c r="B486" s="45" t="s">
        <v>393</v>
      </c>
      <c r="C486" s="5"/>
      <c r="D486" s="5"/>
      <c r="E486" s="5"/>
      <c r="F486" s="5"/>
      <c r="G486" s="5"/>
      <c r="H486" s="5"/>
      <c r="I486" s="5"/>
      <c r="J486" s="5"/>
      <c r="K486" s="5"/>
      <c r="L486" s="5"/>
      <c r="M486" s="5"/>
      <c r="N486" s="5"/>
      <c r="O486" s="5"/>
      <c r="P486" s="5"/>
      <c r="Q486" s="1376" t="s">
        <v>2728</v>
      </c>
      <c r="R486" s="1377"/>
      <c r="S486" s="1377"/>
      <c r="T486" s="1377"/>
      <c r="U486" s="1377"/>
      <c r="V486" s="1377"/>
      <c r="W486" s="1377"/>
      <c r="X486" s="1377"/>
      <c r="Y486" s="1377"/>
      <c r="Z486" s="1377"/>
      <c r="AA486" s="1377"/>
      <c r="AB486" s="1377"/>
      <c r="AC486" s="1377"/>
      <c r="AD486" s="1377"/>
      <c r="AE486" s="1377"/>
      <c r="AF486" s="1377"/>
      <c r="AG486" s="1377"/>
      <c r="AH486" s="1377"/>
      <c r="AI486" s="1377"/>
      <c r="AJ486" s="1377"/>
      <c r="AK486" s="1378"/>
      <c r="AZ486" s="3"/>
      <c r="BB486" s="3"/>
      <c r="BC486" s="3"/>
    </row>
    <row r="487" spans="1:55" ht="12.95" customHeight="1">
      <c r="B487" s="45" t="s">
        <v>394</v>
      </c>
      <c r="C487" s="5"/>
      <c r="D487" s="5"/>
      <c r="E487" s="5"/>
      <c r="F487" s="5"/>
      <c r="G487" s="5"/>
      <c r="H487" s="5"/>
      <c r="I487" s="5"/>
      <c r="J487" s="5"/>
      <c r="K487" s="5"/>
      <c r="L487" s="5"/>
      <c r="M487" s="5"/>
      <c r="N487" s="5"/>
      <c r="O487" s="5"/>
      <c r="P487" s="5"/>
      <c r="Q487" s="1376" t="s">
        <v>2729</v>
      </c>
      <c r="R487" s="1377"/>
      <c r="S487" s="1377"/>
      <c r="T487" s="1377"/>
      <c r="U487" s="1377"/>
      <c r="V487" s="1377"/>
      <c r="W487" s="1377"/>
      <c r="X487" s="1377"/>
      <c r="Y487" s="1377"/>
      <c r="Z487" s="1377"/>
      <c r="AA487" s="1377"/>
      <c r="AB487" s="1377"/>
      <c r="AC487" s="1377"/>
      <c r="AD487" s="1377"/>
      <c r="AE487" s="1377"/>
      <c r="AF487" s="1377"/>
      <c r="AG487" s="1377"/>
      <c r="AH487" s="1377"/>
      <c r="AI487" s="1377"/>
      <c r="AJ487" s="1377"/>
      <c r="AK487" s="1378"/>
      <c r="AZ487" s="3"/>
      <c r="BB487" s="3"/>
      <c r="BC487" s="3"/>
    </row>
    <row r="488" spans="1:55" ht="12.95" customHeight="1">
      <c r="B488" s="45" t="s">
        <v>395</v>
      </c>
      <c r="C488" s="5"/>
      <c r="D488" s="5"/>
      <c r="E488" s="5"/>
      <c r="F488" s="5"/>
      <c r="G488" s="5"/>
      <c r="H488" s="5"/>
      <c r="I488" s="5"/>
      <c r="J488" s="5"/>
      <c r="K488" s="5"/>
      <c r="L488" s="5"/>
      <c r="M488" s="5"/>
      <c r="N488" s="5"/>
      <c r="O488" s="5"/>
      <c r="P488" s="5"/>
      <c r="Q488" s="1376" t="s">
        <v>591</v>
      </c>
      <c r="R488" s="1377"/>
      <c r="S488" s="1377"/>
      <c r="T488" s="1377"/>
      <c r="U488" s="1377"/>
      <c r="V488" s="1377"/>
      <c r="W488" s="1377"/>
      <c r="X488" s="1377"/>
      <c r="Y488" s="1377"/>
      <c r="Z488" s="1377"/>
      <c r="AA488" s="1377"/>
      <c r="AB488" s="1377"/>
      <c r="AC488" s="1377"/>
      <c r="AD488" s="1377"/>
      <c r="AE488" s="1377"/>
      <c r="AF488" s="1377"/>
      <c r="AG488" s="1377"/>
      <c r="AH488" s="1377"/>
      <c r="AI488" s="1377"/>
      <c r="AJ488" s="1377"/>
      <c r="AK488" s="1378"/>
      <c r="AZ488" s="3"/>
      <c r="BA488" s="3"/>
      <c r="BB488" s="3"/>
      <c r="BC488" s="3"/>
    </row>
    <row r="489" spans="1:55" ht="12.95" customHeight="1">
      <c r="B489" s="1444" t="s">
        <v>396</v>
      </c>
      <c r="C489" s="1445"/>
      <c r="D489" s="1445"/>
      <c r="E489" s="1445"/>
      <c r="F489" s="1445"/>
      <c r="G489" s="1445"/>
      <c r="H489" s="1445"/>
      <c r="I489" s="1445"/>
      <c r="J489" s="1445"/>
      <c r="K489" s="1445"/>
      <c r="L489" s="1445"/>
      <c r="M489" s="1445"/>
      <c r="N489" s="1445"/>
      <c r="O489" s="1445"/>
      <c r="P489" s="1446"/>
      <c r="Q489" s="1450" t="s">
        <v>668</v>
      </c>
      <c r="R489" s="1451"/>
      <c r="S489" s="1588" t="s">
        <v>166</v>
      </c>
      <c r="T489" s="1589"/>
      <c r="U489" s="1589"/>
      <c r="V489" s="1589"/>
      <c r="W489" s="1589"/>
      <c r="X489" s="1589"/>
      <c r="Y489" s="1589"/>
      <c r="Z489" s="1589"/>
      <c r="AA489" s="1589"/>
      <c r="AB489" s="1589"/>
      <c r="AC489" s="1589"/>
      <c r="AD489" s="1589"/>
      <c r="AE489" s="1589"/>
      <c r="AF489" s="1589"/>
      <c r="AG489" s="1589"/>
      <c r="AH489" s="1589"/>
      <c r="AI489" s="1589"/>
      <c r="AJ489" s="1589"/>
      <c r="AK489" s="1590"/>
      <c r="AZ489" s="3"/>
      <c r="BA489" s="3"/>
      <c r="BB489" s="3"/>
      <c r="BC489" s="3"/>
    </row>
    <row r="490" spans="1:55" ht="12.95" customHeight="1">
      <c r="B490" s="1447"/>
      <c r="C490" s="1448"/>
      <c r="D490" s="1448"/>
      <c r="E490" s="1448"/>
      <c r="F490" s="1448"/>
      <c r="G490" s="1448"/>
      <c r="H490" s="1448"/>
      <c r="I490" s="1448"/>
      <c r="J490" s="1448"/>
      <c r="K490" s="1448"/>
      <c r="L490" s="1448"/>
      <c r="M490" s="1448"/>
      <c r="N490" s="1448"/>
      <c r="O490" s="1448"/>
      <c r="P490" s="1449"/>
      <c r="Q490" s="1452"/>
      <c r="R490" s="1453"/>
      <c r="S490" s="1591"/>
      <c r="T490" s="1538"/>
      <c r="U490" s="1538"/>
      <c r="V490" s="1538"/>
      <c r="W490" s="1538"/>
      <c r="X490" s="1538"/>
      <c r="Y490" s="1538"/>
      <c r="Z490" s="1538"/>
      <c r="AA490" s="1538"/>
      <c r="AB490" s="1538"/>
      <c r="AC490" s="1538"/>
      <c r="AD490" s="1538"/>
      <c r="AE490" s="1538"/>
      <c r="AF490" s="1538"/>
      <c r="AG490" s="1538"/>
      <c r="AH490" s="1538"/>
      <c r="AI490" s="1538"/>
      <c r="AJ490" s="1538"/>
      <c r="AK490" s="1592"/>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384" t="s">
        <v>668</v>
      </c>
      <c r="R491" s="1385"/>
      <c r="S491" s="1385"/>
      <c r="T491" s="1385"/>
      <c r="U491" s="1385"/>
      <c r="V491" s="1385"/>
      <c r="W491" s="1385"/>
      <c r="X491" s="1385"/>
      <c r="Y491" s="1385"/>
      <c r="Z491" s="1385"/>
      <c r="AA491" s="1385"/>
      <c r="AB491" s="1385"/>
      <c r="AC491" s="1385"/>
      <c r="AD491" s="1385"/>
      <c r="AE491" s="1385"/>
      <c r="AF491" s="1385"/>
      <c r="AG491" s="1385"/>
      <c r="AH491" s="1385"/>
      <c r="AI491" s="1385"/>
      <c r="AJ491" s="1385"/>
      <c r="AK491" s="1386"/>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6" t="s">
        <v>2730</v>
      </c>
      <c r="R492" s="1377"/>
      <c r="S492" s="1377"/>
      <c r="T492" s="1377"/>
      <c r="U492" s="1377"/>
      <c r="V492" s="1377"/>
      <c r="W492" s="1377"/>
      <c r="X492" s="1377"/>
      <c r="Y492" s="1377"/>
      <c r="Z492" s="1377"/>
      <c r="AA492" s="1377"/>
      <c r="AB492" s="1377"/>
      <c r="AC492" s="1377"/>
      <c r="AD492" s="1377"/>
      <c r="AE492" s="1377"/>
      <c r="AF492" s="1377"/>
      <c r="AG492" s="1377"/>
      <c r="AH492" s="1377"/>
      <c r="AI492" s="1377"/>
      <c r="AJ492" s="1377"/>
      <c r="AK492" s="13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6" t="s">
        <v>2731</v>
      </c>
      <c r="R493" s="1377"/>
      <c r="S493" s="1377"/>
      <c r="T493" s="1377"/>
      <c r="U493" s="1377"/>
      <c r="V493" s="1377"/>
      <c r="W493" s="1377"/>
      <c r="X493" s="1377"/>
      <c r="Y493" s="1377"/>
      <c r="Z493" s="1377"/>
      <c r="AA493" s="1377"/>
      <c r="AB493" s="1377"/>
      <c r="AC493" s="1377"/>
      <c r="AD493" s="1377"/>
      <c r="AE493" s="1377"/>
      <c r="AF493" s="1377"/>
      <c r="AG493" s="1377"/>
      <c r="AH493" s="1377"/>
      <c r="AI493" s="1377"/>
      <c r="AJ493" s="1377"/>
      <c r="AK493" s="1378"/>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376">
        <v>91</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378"/>
      <c r="AZ494" s="3"/>
      <c r="BA494" s="3"/>
      <c r="BB494" s="3"/>
      <c r="BC494" s="3"/>
    </row>
    <row r="495" spans="1:55" ht="12.95" customHeight="1">
      <c r="B495" s="121" t="s">
        <v>1667</v>
      </c>
      <c r="C495" s="5"/>
      <c r="D495" s="5"/>
      <c r="E495" s="5"/>
      <c r="F495" s="5"/>
      <c r="G495" s="5"/>
      <c r="H495" s="5"/>
      <c r="I495" s="5"/>
      <c r="J495" s="5"/>
      <c r="K495" s="5"/>
      <c r="L495" s="5"/>
      <c r="M495" s="1387">
        <v>26</v>
      </c>
      <c r="N495" s="1388"/>
      <c r="O495" s="1388"/>
      <c r="P495" s="1389"/>
      <c r="Q495" s="121" t="s">
        <v>1668</v>
      </c>
      <c r="R495" s="5"/>
      <c r="S495" s="5"/>
      <c r="T495" s="5"/>
      <c r="U495" s="5"/>
      <c r="V495" s="5"/>
      <c r="W495" s="5"/>
      <c r="X495" s="5"/>
      <c r="Y495" s="5"/>
      <c r="Z495" s="5"/>
      <c r="AA495" s="5"/>
      <c r="AB495" s="5"/>
      <c r="AC495" s="5"/>
      <c r="AD495" s="5"/>
      <c r="AE495" s="5"/>
      <c r="AF495" s="5"/>
      <c r="AG495" s="5"/>
      <c r="AH495" s="1387">
        <v>65</v>
      </c>
      <c r="AI495" s="1388"/>
      <c r="AJ495" s="1388"/>
      <c r="AK495" s="138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2" t="s">
        <v>400</v>
      </c>
      <c r="AD499" s="1393"/>
      <c r="AE499" s="1393"/>
      <c r="AF499" s="1393"/>
      <c r="AG499" s="1393"/>
      <c r="AH499" s="1393"/>
      <c r="AI499" s="1393"/>
      <c r="AJ499" s="1393"/>
      <c r="AK499" s="1394"/>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2" t="s">
        <v>401</v>
      </c>
      <c r="AD500" s="1393"/>
      <c r="AE500" s="1393"/>
      <c r="AF500" s="1393"/>
      <c r="AG500" s="50" t="s">
        <v>402</v>
      </c>
      <c r="AH500" s="1393" t="s">
        <v>403</v>
      </c>
      <c r="AI500" s="1393"/>
      <c r="AJ500" s="1393"/>
      <c r="AK500" s="1394"/>
      <c r="AZ500" s="3"/>
      <c r="BA500" s="3"/>
      <c r="BB500" s="3"/>
      <c r="BC500" s="3"/>
      <c r="BD500" s="3"/>
      <c r="BE500" s="3"/>
      <c r="BF500" s="3"/>
      <c r="BG500" s="3"/>
      <c r="BH500" s="3"/>
      <c r="BI500" s="3"/>
      <c r="BJ500" s="3"/>
      <c r="BK500" s="3"/>
      <c r="BL500" s="3"/>
      <c r="BM500" s="3"/>
      <c r="BN500" s="3"/>
    </row>
    <row r="501" spans="1:66" ht="12.95" customHeight="1">
      <c r="B501" s="1402" t="s">
        <v>404</v>
      </c>
      <c r="C501" s="1403"/>
      <c r="D501" s="1403"/>
      <c r="E501" s="1403"/>
      <c r="F501" s="1403"/>
      <c r="G501" s="1403"/>
      <c r="H501" s="1404"/>
      <c r="I501" s="42" t="s">
        <v>405</v>
      </c>
      <c r="J501" s="42"/>
      <c r="K501" s="42"/>
      <c r="L501" s="42"/>
      <c r="M501" s="42"/>
      <c r="N501" s="42"/>
      <c r="O501" s="42"/>
      <c r="P501" s="42"/>
      <c r="Q501" s="42"/>
      <c r="R501" s="42"/>
      <c r="S501" s="42"/>
      <c r="T501" s="42"/>
      <c r="U501" s="42"/>
      <c r="V501" s="42"/>
      <c r="W501" s="42"/>
      <c r="AC501" s="1395" t="s">
        <v>591</v>
      </c>
      <c r="AD501" s="1396"/>
      <c r="AE501" s="1396"/>
      <c r="AF501" s="1396"/>
      <c r="AG501" s="13" t="s">
        <v>402</v>
      </c>
      <c r="AH501" s="1428">
        <v>0</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405"/>
      <c r="C502" s="1406"/>
      <c r="D502" s="1406"/>
      <c r="E502" s="1406"/>
      <c r="F502" s="1406"/>
      <c r="G502" s="1406"/>
      <c r="H502" s="1407"/>
      <c r="I502" s="48" t="s">
        <v>406</v>
      </c>
      <c r="J502" s="48"/>
      <c r="K502" s="48"/>
      <c r="L502" s="48"/>
      <c r="M502" s="48"/>
      <c r="N502" s="48"/>
      <c r="O502" s="48"/>
      <c r="P502" s="48"/>
      <c r="Q502" s="48"/>
      <c r="R502" s="48"/>
      <c r="S502" s="48"/>
      <c r="T502" s="48"/>
      <c r="U502" s="48"/>
      <c r="V502" s="48"/>
      <c r="W502" s="48"/>
      <c r="X502" s="48"/>
      <c r="Y502" s="48"/>
      <c r="Z502" s="48"/>
      <c r="AA502" s="48"/>
      <c r="AB502" s="48"/>
      <c r="AC502" s="1395">
        <v>5</v>
      </c>
      <c r="AD502" s="1396"/>
      <c r="AE502" s="1396"/>
      <c r="AF502" s="1396"/>
      <c r="AG502" s="38" t="s">
        <v>402</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402" t="s">
        <v>407</v>
      </c>
      <c r="C503" s="1403"/>
      <c r="D503" s="1403"/>
      <c r="E503" s="1403"/>
      <c r="F503" s="1403"/>
      <c r="G503" s="1403"/>
      <c r="H503" s="1404"/>
      <c r="I503" s="42" t="s">
        <v>408</v>
      </c>
      <c r="J503" s="42"/>
      <c r="K503" s="42"/>
      <c r="L503" s="42"/>
      <c r="M503" s="42"/>
      <c r="N503" s="42"/>
      <c r="O503" s="42"/>
      <c r="P503" s="42"/>
      <c r="Q503" s="42"/>
      <c r="R503" s="42"/>
      <c r="S503" s="42"/>
      <c r="T503" s="42"/>
      <c r="U503" s="42"/>
      <c r="V503" s="42"/>
      <c r="W503" s="42"/>
      <c r="AC503" s="1395" t="s">
        <v>591</v>
      </c>
      <c r="AD503" s="1396"/>
      <c r="AE503" s="1396"/>
      <c r="AF503" s="1396"/>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405"/>
      <c r="C504" s="1406"/>
      <c r="D504" s="1406"/>
      <c r="E504" s="1406"/>
      <c r="F504" s="1406"/>
      <c r="G504" s="1406"/>
      <c r="H504" s="1407"/>
      <c r="I504" t="s">
        <v>409</v>
      </c>
      <c r="AC504" s="1395" t="s">
        <v>591</v>
      </c>
      <c r="AD504" s="1396"/>
      <c r="AE504" s="1396"/>
      <c r="AF504" s="1396"/>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405"/>
      <c r="C505" s="1406"/>
      <c r="D505" s="1406"/>
      <c r="E505" s="1406"/>
      <c r="F505" s="1406"/>
      <c r="G505" s="1406"/>
      <c r="H505" s="1407"/>
      <c r="I505" t="s">
        <v>410</v>
      </c>
      <c r="AC505" s="1395" t="s">
        <v>591</v>
      </c>
      <c r="AD505" s="1396"/>
      <c r="AE505" s="1396"/>
      <c r="AF505" s="1396"/>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405"/>
      <c r="C506" s="1406"/>
      <c r="D506" s="1406"/>
      <c r="E506" s="1406"/>
      <c r="F506" s="1406"/>
      <c r="G506" s="1406"/>
      <c r="H506" s="1407"/>
      <c r="I506" t="s">
        <v>411</v>
      </c>
      <c r="AC506" s="1395" t="s">
        <v>591</v>
      </c>
      <c r="AD506" s="1396"/>
      <c r="AE506" s="1396"/>
      <c r="AF506" s="1396"/>
      <c r="AG506" s="13" t="s">
        <v>402</v>
      </c>
      <c r="AH506" s="1428"/>
      <c r="AI506" s="1428"/>
      <c r="AJ506" s="1428"/>
      <c r="AK506" s="1429"/>
      <c r="AZ506" s="3"/>
      <c r="BA506" s="3"/>
      <c r="BB506" s="3"/>
      <c r="BC506" s="3"/>
      <c r="BD506" s="3"/>
      <c r="BE506" s="3"/>
      <c r="BF506" s="3"/>
      <c r="BG506" s="3"/>
      <c r="BH506" s="3"/>
      <c r="BI506" s="3"/>
      <c r="BJ506" s="3"/>
      <c r="BK506" s="3"/>
      <c r="BL506" s="3"/>
      <c r="BM506" s="3"/>
      <c r="BN506" s="3"/>
    </row>
    <row r="507" spans="1:66" ht="12.95" customHeight="1">
      <c r="B507" s="1405"/>
      <c r="C507" s="1406"/>
      <c r="D507" s="1406"/>
      <c r="E507" s="1406"/>
      <c r="F507" s="1406"/>
      <c r="G507" s="1406"/>
      <c r="H507" s="1407"/>
      <c r="I507" s="3" t="s">
        <v>412</v>
      </c>
      <c r="AC507" s="1361">
        <v>4</v>
      </c>
      <c r="AD507" s="1362"/>
      <c r="AE507" s="1362"/>
      <c r="AF507" s="1362"/>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405"/>
      <c r="C508" s="1406"/>
      <c r="D508" s="1406"/>
      <c r="E508" s="1406"/>
      <c r="F508" s="1406"/>
      <c r="G508" s="1406"/>
      <c r="H508" s="1407"/>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56"/>
      <c r="AC508" s="1395" t="s">
        <v>591</v>
      </c>
      <c r="AD508" s="1396"/>
      <c r="AE508" s="1396"/>
      <c r="AF508" s="1396"/>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391" t="s">
        <v>1182</v>
      </c>
      <c r="AD509" s="1391"/>
      <c r="AE509" s="1391"/>
      <c r="AF509" s="1391"/>
      <c r="AG509" s="13"/>
      <c r="AH509" s="1426"/>
      <c r="AI509" s="1426"/>
      <c r="AJ509" s="1426"/>
      <c r="AK509" s="142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61"/>
      <c r="AD510" s="1362"/>
      <c r="AE510" s="1362"/>
      <c r="AF510" s="1363"/>
      <c r="AG510" s="13"/>
      <c r="AH510" s="1426"/>
      <c r="AI510" s="1426"/>
      <c r="AJ510" s="1426"/>
      <c r="AK510" s="142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41"/>
      <c r="AD512" s="1442"/>
      <c r="AE512" s="1442"/>
      <c r="AF512" s="1443"/>
      <c r="AG512" s="38"/>
      <c r="AH512" s="1431"/>
      <c r="AI512" s="1431"/>
      <c r="AJ512" s="1431"/>
      <c r="AK512" s="1432"/>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6"/>
      <c r="AE513" s="1436"/>
      <c r="AF513" s="1436"/>
      <c r="AG513" s="38" t="s">
        <v>402</v>
      </c>
      <c r="AH513" s="1436" t="s">
        <v>403</v>
      </c>
      <c r="AI513" s="1436"/>
      <c r="AJ513" s="1436"/>
      <c r="AK513" s="1437"/>
      <c r="AZ513" s="3"/>
      <c r="BA513" s="3"/>
      <c r="BB513" s="3"/>
      <c r="BC513" s="3"/>
      <c r="BD513" s="3"/>
      <c r="BE513" s="3"/>
      <c r="BF513" s="3"/>
      <c r="BG513" s="3"/>
      <c r="BH513" s="3"/>
      <c r="BI513" s="3"/>
      <c r="BJ513" s="3"/>
      <c r="BK513" s="3"/>
      <c r="BL513" s="3"/>
      <c r="BM513" s="3"/>
      <c r="BN513" s="3" t="s">
        <v>2102</v>
      </c>
    </row>
    <row r="514" spans="2:66" ht="12.95" customHeight="1">
      <c r="B514" s="1402" t="s">
        <v>413</v>
      </c>
      <c r="C514" s="1403"/>
      <c r="D514" s="1403"/>
      <c r="E514" s="1403"/>
      <c r="F514" s="1403"/>
      <c r="G514" s="1403"/>
      <c r="H514" s="1404"/>
      <c r="I514" s="42" t="s">
        <v>414</v>
      </c>
      <c r="J514" s="42"/>
      <c r="K514" s="42"/>
      <c r="L514" s="42"/>
      <c r="M514" s="42"/>
      <c r="N514" s="42"/>
      <c r="O514" s="42"/>
      <c r="P514" s="42"/>
      <c r="Q514" s="42"/>
      <c r="R514" s="42"/>
      <c r="S514" s="42"/>
      <c r="T514" s="42"/>
      <c r="U514" s="42"/>
      <c r="V514" s="42"/>
      <c r="W514" s="42"/>
      <c r="AC514" s="1395">
        <v>7</v>
      </c>
      <c r="AD514" s="1396"/>
      <c r="AE514" s="1396"/>
      <c r="AF514" s="1396"/>
      <c r="AG514" s="13" t="s">
        <v>402</v>
      </c>
      <c r="AH514" s="1428">
        <v>2024</v>
      </c>
      <c r="AI514" s="1428"/>
      <c r="AJ514" s="1428"/>
      <c r="AK514" s="1429"/>
      <c r="AZ514" s="3"/>
      <c r="BA514" s="3"/>
      <c r="BB514" s="3"/>
      <c r="BC514" s="3"/>
      <c r="BD514" s="3"/>
      <c r="BE514" s="3"/>
      <c r="BF514" s="3"/>
      <c r="BG514" s="3"/>
      <c r="BH514" s="3"/>
      <c r="BI514" s="3"/>
      <c r="BJ514" s="3"/>
      <c r="BK514" s="3"/>
      <c r="BL514" s="3"/>
      <c r="BM514" s="3"/>
      <c r="BN514" s="3" t="s">
        <v>2103</v>
      </c>
    </row>
    <row r="515" spans="2:66" ht="12.95" customHeight="1">
      <c r="B515" s="1405"/>
      <c r="C515" s="1406"/>
      <c r="D515" s="1406"/>
      <c r="E515" s="1406"/>
      <c r="F515" s="1406"/>
      <c r="G515" s="1406"/>
      <c r="H515" s="1407"/>
      <c r="I515" t="s">
        <v>415</v>
      </c>
      <c r="AC515" s="1395">
        <v>9</v>
      </c>
      <c r="AD515" s="1396"/>
      <c r="AE515" s="1396"/>
      <c r="AF515" s="1396"/>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2104</v>
      </c>
    </row>
    <row r="516" spans="2:66" ht="12.95" customHeight="1">
      <c r="B516" s="1405"/>
      <c r="C516" s="1406"/>
      <c r="D516" s="1406"/>
      <c r="E516" s="1406"/>
      <c r="F516" s="1406"/>
      <c r="G516" s="1406"/>
      <c r="H516" s="1407"/>
      <c r="I516" s="48" t="s">
        <v>416</v>
      </c>
      <c r="J516" s="48"/>
      <c r="K516" s="48"/>
      <c r="L516" s="48"/>
      <c r="M516" s="48"/>
      <c r="N516" s="48"/>
      <c r="O516" s="48"/>
      <c r="P516" s="48"/>
      <c r="Q516" s="48"/>
      <c r="R516" s="48"/>
      <c r="S516" s="48"/>
      <c r="T516" s="48"/>
      <c r="U516" s="48"/>
      <c r="V516" s="48"/>
      <c r="W516" s="48"/>
      <c r="X516" s="48"/>
      <c r="Y516" s="48"/>
      <c r="Z516" s="48"/>
      <c r="AA516" s="48"/>
      <c r="AB516" s="48"/>
      <c r="AC516" s="1395">
        <v>5</v>
      </c>
      <c r="AD516" s="1396"/>
      <c r="AE516" s="1396"/>
      <c r="AF516" s="1396"/>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2105</v>
      </c>
    </row>
    <row r="517" spans="2:66" ht="12.95" customHeight="1">
      <c r="B517" s="1402" t="s">
        <v>417</v>
      </c>
      <c r="C517" s="1403"/>
      <c r="D517" s="1403"/>
      <c r="E517" s="1403"/>
      <c r="F517" s="1403"/>
      <c r="G517" s="1403"/>
      <c r="H517" s="1404"/>
      <c r="I517" s="42" t="s">
        <v>414</v>
      </c>
      <c r="J517" s="42"/>
      <c r="K517" s="42"/>
      <c r="L517" s="42"/>
      <c r="M517" s="42"/>
      <c r="N517" s="42"/>
      <c r="O517" s="42"/>
      <c r="P517" s="42"/>
      <c r="Q517" s="42"/>
      <c r="R517" s="42"/>
      <c r="S517" s="42"/>
      <c r="T517" s="42"/>
      <c r="U517" s="42"/>
      <c r="V517" s="42"/>
      <c r="W517" s="42"/>
      <c r="X517" s="42"/>
      <c r="Y517" s="42"/>
      <c r="Z517" s="42"/>
      <c r="AA517" s="42"/>
      <c r="AB517" s="42"/>
      <c r="AC517" s="1361">
        <v>7</v>
      </c>
      <c r="AD517" s="1362"/>
      <c r="AE517" s="1362"/>
      <c r="AF517" s="1362"/>
      <c r="AG517" s="129" t="s">
        <v>402</v>
      </c>
      <c r="AH517" s="1428">
        <v>2024</v>
      </c>
      <c r="AI517" s="1428"/>
      <c r="AJ517" s="1428"/>
      <c r="AK517" s="1429"/>
      <c r="AZ517" s="3"/>
      <c r="BB517" s="3"/>
      <c r="BC517" s="3"/>
      <c r="BD517" s="3"/>
      <c r="BE517" s="3"/>
      <c r="BF517" s="3"/>
      <c r="BG517" s="3"/>
      <c r="BH517" s="3"/>
      <c r="BI517" s="3"/>
      <c r="BJ517" s="3"/>
      <c r="BK517" s="3"/>
      <c r="BL517" s="3"/>
      <c r="BM517" s="3"/>
      <c r="BN517" s="3" t="s">
        <v>2106</v>
      </c>
    </row>
    <row r="518" spans="2:66" ht="12.95" customHeight="1">
      <c r="B518" s="1405"/>
      <c r="C518" s="1406"/>
      <c r="D518" s="1406"/>
      <c r="E518" s="1406"/>
      <c r="F518" s="1406"/>
      <c r="G518" s="1406"/>
      <c r="H518" s="1407"/>
      <c r="I518" t="s">
        <v>415</v>
      </c>
      <c r="AC518" s="1395">
        <v>9</v>
      </c>
      <c r="AD518" s="1396"/>
      <c r="AE518" s="1396"/>
      <c r="AF518" s="1396"/>
      <c r="AG518" s="13" t="s">
        <v>402</v>
      </c>
      <c r="AH518" s="1428">
        <v>2025</v>
      </c>
      <c r="AI518" s="1428"/>
      <c r="AJ518" s="1428"/>
      <c r="AK518" s="1429"/>
      <c r="BB518" s="3"/>
      <c r="BC518" s="3"/>
      <c r="BD518" s="3"/>
      <c r="BE518" s="3"/>
      <c r="BF518" s="3"/>
      <c r="BG518" s="3"/>
      <c r="BH518" s="3"/>
      <c r="BI518" s="3"/>
      <c r="BJ518" s="3"/>
      <c r="BK518" s="3"/>
      <c r="BL518" s="3"/>
      <c r="BM518" s="3"/>
      <c r="BN518" s="3" t="s">
        <v>2107</v>
      </c>
    </row>
    <row r="519" spans="2:66" ht="12.95" customHeight="1">
      <c r="B519" s="1408"/>
      <c r="C519" s="1409"/>
      <c r="D519" s="1409"/>
      <c r="E519" s="1409"/>
      <c r="F519" s="1409"/>
      <c r="G519" s="1409"/>
      <c r="H519" s="1410"/>
      <c r="I519" s="48" t="s">
        <v>416</v>
      </c>
      <c r="J519" s="48"/>
      <c r="K519" s="48"/>
      <c r="L519" s="48"/>
      <c r="M519" s="48"/>
      <c r="N519" s="48"/>
      <c r="O519" s="48"/>
      <c r="P519" s="48"/>
      <c r="Q519" s="48"/>
      <c r="R519" s="48"/>
      <c r="S519" s="48"/>
      <c r="T519" s="48"/>
      <c r="U519" s="48"/>
      <c r="V519" s="48"/>
      <c r="W519" s="48"/>
      <c r="X519" s="48"/>
      <c r="Y519" s="48"/>
      <c r="Z519" s="48"/>
      <c r="AA519" s="48"/>
      <c r="AB519" s="48"/>
      <c r="AC519" s="1395">
        <v>5</v>
      </c>
      <c r="AD519" s="1396"/>
      <c r="AE519" s="1396"/>
      <c r="AF519" s="1396"/>
      <c r="AG519" s="38" t="s">
        <v>402</v>
      </c>
      <c r="AH519" s="1428">
        <v>2026</v>
      </c>
      <c r="AI519" s="1428"/>
      <c r="AJ519" s="1428"/>
      <c r="AK519" s="1429"/>
      <c r="BB519" s="3"/>
      <c r="BC519" s="3"/>
      <c r="BD519" s="3"/>
      <c r="BE519" s="3"/>
      <c r="BF519" s="3"/>
      <c r="BG519" s="3"/>
      <c r="BH519" s="3"/>
      <c r="BI519" s="3"/>
      <c r="BJ519" s="3"/>
      <c r="BK519" s="3"/>
      <c r="BL519" s="3"/>
      <c r="BM519" s="3"/>
      <c r="BN519" s="3" t="s">
        <v>2108</v>
      </c>
    </row>
    <row r="520" spans="2:66" ht="12.95" customHeight="1">
      <c r="B520" s="1402" t="s">
        <v>418</v>
      </c>
      <c r="C520" s="1403"/>
      <c r="D520" s="1403"/>
      <c r="E520" s="1403"/>
      <c r="F520" s="1403"/>
      <c r="G520" s="1403"/>
      <c r="H520" s="1404"/>
      <c r="I520" s="41" t="s">
        <v>419</v>
      </c>
      <c r="J520" s="42"/>
      <c r="K520" s="42"/>
      <c r="L520" s="42"/>
      <c r="M520" s="42"/>
      <c r="N520" s="42"/>
      <c r="O520" s="1433" t="s">
        <v>2732</v>
      </c>
      <c r="P520" s="1434"/>
      <c r="Q520" s="1434"/>
      <c r="R520" s="1434"/>
      <c r="S520" s="1434"/>
      <c r="T520" s="1434"/>
      <c r="U520" s="1434"/>
      <c r="V520" s="1434"/>
      <c r="W520" s="1434"/>
      <c r="X520" s="1434"/>
      <c r="Y520" s="1434"/>
      <c r="Z520" s="1434"/>
      <c r="AA520" s="1434"/>
      <c r="AB520" s="58"/>
      <c r="AC520" s="1361"/>
      <c r="AD520" s="1362"/>
      <c r="AE520" s="1362"/>
      <c r="AF520" s="1362"/>
      <c r="AG520" s="129" t="s">
        <v>402</v>
      </c>
      <c r="AH520" s="1428"/>
      <c r="AI520" s="1428"/>
      <c r="AJ520" s="1428"/>
      <c r="AK520" s="1429"/>
      <c r="AZ520" s="3"/>
      <c r="BB520" s="3"/>
      <c r="BC520" s="3"/>
      <c r="BD520" s="3"/>
      <c r="BE520" s="3"/>
      <c r="BF520" s="3"/>
      <c r="BG520" s="3"/>
      <c r="BH520" s="3"/>
      <c r="BI520" s="3"/>
      <c r="BJ520" s="3"/>
      <c r="BK520" s="3"/>
      <c r="BL520" s="3"/>
      <c r="BM520" s="3"/>
      <c r="BN520" s="3" t="s">
        <v>2109</v>
      </c>
    </row>
    <row r="521" spans="2:66" ht="12.95" customHeight="1">
      <c r="B521" s="1405"/>
      <c r="C521" s="1406"/>
      <c r="D521" s="1406"/>
      <c r="E521" s="1406"/>
      <c r="F521" s="1406"/>
      <c r="G521" s="1406"/>
      <c r="H521" s="1407"/>
      <c r="I521" s="114" t="s">
        <v>420</v>
      </c>
      <c r="AB521" s="65"/>
      <c r="AC521" s="1395">
        <v>2</v>
      </c>
      <c r="AD521" s="1396"/>
      <c r="AE521" s="1396"/>
      <c r="AF521" s="1396"/>
      <c r="AG521" s="13" t="s">
        <v>402</v>
      </c>
      <c r="AH521" s="1428">
        <v>2024</v>
      </c>
      <c r="AI521" s="1428"/>
      <c r="AJ521" s="1428"/>
      <c r="AK521" s="1429"/>
      <c r="AZ521" s="3"/>
      <c r="BB521" s="3"/>
      <c r="BC521" s="3"/>
      <c r="BD521" s="3"/>
      <c r="BE521" s="3"/>
      <c r="BF521" s="3"/>
      <c r="BG521" s="3"/>
      <c r="BH521" s="3"/>
      <c r="BI521" s="3"/>
      <c r="BJ521" s="3"/>
      <c r="BK521" s="3"/>
      <c r="BL521" s="3"/>
      <c r="BM521" s="3"/>
      <c r="BN521" s="3" t="s">
        <v>2110</v>
      </c>
    </row>
    <row r="522" spans="2:66" ht="12.95" customHeight="1">
      <c r="B522" s="1405"/>
      <c r="C522" s="1406"/>
      <c r="D522" s="1406"/>
      <c r="E522" s="1406"/>
      <c r="F522" s="1406"/>
      <c r="G522" s="1406"/>
      <c r="H522" s="1407"/>
      <c r="I522" s="47" t="s">
        <v>421</v>
      </c>
      <c r="J522" s="48"/>
      <c r="K522" s="48"/>
      <c r="L522" s="48"/>
      <c r="M522" s="48"/>
      <c r="N522" s="48"/>
      <c r="O522" s="48"/>
      <c r="P522" s="48"/>
      <c r="Q522" s="48"/>
      <c r="R522" s="48"/>
      <c r="S522" s="48"/>
      <c r="T522" s="48"/>
      <c r="U522" s="48"/>
      <c r="V522" s="48"/>
      <c r="W522" s="48"/>
      <c r="X522" s="48"/>
      <c r="Y522" s="48"/>
      <c r="Z522" s="48"/>
      <c r="AA522" s="48"/>
      <c r="AB522" s="49"/>
      <c r="AC522" s="1395">
        <v>6</v>
      </c>
      <c r="AD522" s="1396"/>
      <c r="AE522" s="1396"/>
      <c r="AF522" s="1396"/>
      <c r="AG522" s="38" t="s">
        <v>402</v>
      </c>
      <c r="AH522" s="1428">
        <v>2024</v>
      </c>
      <c r="AI522" s="1428"/>
      <c r="AJ522" s="1428"/>
      <c r="AK522" s="1429"/>
      <c r="AZ522" s="3"/>
      <c r="BA522" s="3"/>
      <c r="BB522" s="3"/>
      <c r="BC522" s="3"/>
      <c r="BD522" s="3"/>
      <c r="BE522" s="3"/>
      <c r="BF522" s="3"/>
      <c r="BG522" s="3"/>
      <c r="BH522" s="3"/>
      <c r="BI522" s="3"/>
      <c r="BJ522" s="3"/>
      <c r="BK522" s="3"/>
      <c r="BL522" s="3"/>
      <c r="BM522" s="3"/>
      <c r="BN522" s="3" t="s">
        <v>2111</v>
      </c>
    </row>
    <row r="523" spans="2:66" ht="12.95" customHeight="1">
      <c r="B523" s="1405"/>
      <c r="C523" s="1406"/>
      <c r="D523" s="1406"/>
      <c r="E523" s="1406"/>
      <c r="F523" s="1406"/>
      <c r="G523" s="1406"/>
      <c r="H523" s="1407"/>
      <c r="I523" s="42" t="s">
        <v>422</v>
      </c>
      <c r="J523" s="42"/>
      <c r="K523" s="42"/>
      <c r="L523" s="42"/>
      <c r="M523" s="42"/>
      <c r="N523" s="42"/>
      <c r="O523" s="1433" t="s">
        <v>334</v>
      </c>
      <c r="P523" s="1434"/>
      <c r="Q523" s="1434"/>
      <c r="R523" s="1434"/>
      <c r="S523" s="1434"/>
      <c r="T523" s="1434"/>
      <c r="U523" s="1434"/>
      <c r="V523" s="1434"/>
      <c r="W523" s="1434"/>
      <c r="X523" s="1434"/>
      <c r="Y523" s="1434"/>
      <c r="Z523" s="1434"/>
      <c r="AA523" s="1434"/>
      <c r="AC523" s="1395" t="s">
        <v>591</v>
      </c>
      <c r="AD523" s="1396"/>
      <c r="AE523" s="1396"/>
      <c r="AF523" s="1396"/>
      <c r="AG523" s="13" t="s">
        <v>402</v>
      </c>
      <c r="AH523" s="1428"/>
      <c r="AI523" s="1428"/>
      <c r="AJ523" s="1428"/>
      <c r="AK523" s="1429"/>
      <c r="AZ523" s="3"/>
      <c r="BA523" s="3"/>
      <c r="BB523" s="3"/>
      <c r="BC523" s="3"/>
      <c r="BD523" s="3"/>
      <c r="BE523" s="3"/>
      <c r="BF523" s="3"/>
      <c r="BG523" s="3"/>
      <c r="BH523" s="3"/>
      <c r="BI523" s="3"/>
      <c r="BJ523" s="3"/>
      <c r="BK523" s="3"/>
      <c r="BL523" s="3"/>
      <c r="BM523" s="3"/>
      <c r="BN523" s="3" t="s">
        <v>2112</v>
      </c>
    </row>
    <row r="524" spans="2:66" ht="12.95" customHeight="1">
      <c r="B524" s="1405"/>
      <c r="C524" s="1406"/>
      <c r="D524" s="1406"/>
      <c r="E524" s="1406"/>
      <c r="F524" s="1406"/>
      <c r="G524" s="1406"/>
      <c r="H524" s="1407"/>
      <c r="I524" t="s">
        <v>420</v>
      </c>
      <c r="AC524" s="1395" t="s">
        <v>591</v>
      </c>
      <c r="AD524" s="1396"/>
      <c r="AE524" s="1396"/>
      <c r="AF524" s="1396"/>
      <c r="AG524" s="13" t="s">
        <v>402</v>
      </c>
      <c r="AH524" s="1428"/>
      <c r="AI524" s="1428"/>
      <c r="AJ524" s="1428"/>
      <c r="AK524" s="1429"/>
      <c r="AZ524" s="3"/>
      <c r="BA524" s="3"/>
      <c r="BB524" s="3"/>
      <c r="BC524" s="3"/>
      <c r="BD524" s="3"/>
      <c r="BE524" s="3"/>
      <c r="BF524" s="3"/>
      <c r="BG524" s="3"/>
      <c r="BH524" s="3"/>
      <c r="BI524" s="3"/>
      <c r="BJ524" s="3"/>
      <c r="BK524" s="3"/>
      <c r="BL524" s="3"/>
      <c r="BM524" s="3"/>
      <c r="BN524" s="3" t="s">
        <v>2113</v>
      </c>
    </row>
    <row r="525" spans="2:66" ht="12.95" customHeight="1">
      <c r="B525" s="1405"/>
      <c r="C525" s="1406"/>
      <c r="D525" s="1406"/>
      <c r="E525" s="1406"/>
      <c r="F525" s="1406"/>
      <c r="G525" s="1406"/>
      <c r="H525" s="1407"/>
      <c r="I525" s="48" t="s">
        <v>421</v>
      </c>
      <c r="J525" s="48"/>
      <c r="K525" s="48"/>
      <c r="L525" s="48"/>
      <c r="M525" s="48"/>
      <c r="N525" s="48"/>
      <c r="O525" s="48"/>
      <c r="P525" s="48"/>
      <c r="Q525" s="48"/>
      <c r="R525" s="48"/>
      <c r="S525" s="48"/>
      <c r="T525" s="48"/>
      <c r="U525" s="48"/>
      <c r="V525" s="48"/>
      <c r="W525" s="48"/>
      <c r="X525" s="48"/>
      <c r="Y525" s="48"/>
      <c r="Z525" s="48"/>
      <c r="AA525" s="48"/>
      <c r="AB525" s="48"/>
      <c r="AC525" s="1395" t="s">
        <v>591</v>
      </c>
      <c r="AD525" s="1396"/>
      <c r="AE525" s="1396"/>
      <c r="AF525" s="1396"/>
      <c r="AG525" s="38" t="s">
        <v>402</v>
      </c>
      <c r="AH525" s="1428"/>
      <c r="AI525" s="1428"/>
      <c r="AJ525" s="1428"/>
      <c r="AK525" s="1429"/>
      <c r="AZ525" s="3"/>
      <c r="BA525" s="3"/>
      <c r="BB525" s="3"/>
      <c r="BC525" s="3"/>
      <c r="BD525" s="3"/>
      <c r="BE525" s="3"/>
      <c r="BF525" s="3"/>
      <c r="BG525" s="3"/>
      <c r="BH525" s="3"/>
      <c r="BI525" s="3"/>
      <c r="BJ525" s="3"/>
      <c r="BK525" s="3"/>
      <c r="BL525" s="3"/>
      <c r="BM525" s="3"/>
      <c r="BN525" s="3" t="s">
        <v>2114</v>
      </c>
    </row>
    <row r="526" spans="2:66" ht="12.95" customHeight="1">
      <c r="B526" s="1405"/>
      <c r="C526" s="1406"/>
      <c r="D526" s="1406"/>
      <c r="E526" s="1406"/>
      <c r="F526" s="1406"/>
      <c r="G526" s="1406"/>
      <c r="H526" s="1407"/>
      <c r="I526" s="42" t="s">
        <v>422</v>
      </c>
      <c r="J526" s="42"/>
      <c r="K526" s="42"/>
      <c r="L526" s="42"/>
      <c r="M526" s="42"/>
      <c r="N526" s="42"/>
      <c r="O526" s="1433" t="s">
        <v>334</v>
      </c>
      <c r="P526" s="1434"/>
      <c r="Q526" s="1434"/>
      <c r="R526" s="1434"/>
      <c r="S526" s="1434"/>
      <c r="T526" s="1434"/>
      <c r="U526" s="1434"/>
      <c r="V526" s="1434"/>
      <c r="W526" s="1434"/>
      <c r="X526" s="1434"/>
      <c r="Y526" s="1434"/>
      <c r="Z526" s="1434"/>
      <c r="AA526" s="1434"/>
      <c r="AC526" s="1395" t="s">
        <v>591</v>
      </c>
      <c r="AD526" s="1396"/>
      <c r="AE526" s="1396"/>
      <c r="AF526" s="1396"/>
      <c r="AG526" s="13" t="s">
        <v>402</v>
      </c>
      <c r="AH526" s="1428"/>
      <c r="AI526" s="1428"/>
      <c r="AJ526" s="1428"/>
      <c r="AK526" s="1429"/>
      <c r="AZ526" s="3"/>
      <c r="BA526" s="3"/>
      <c r="BB526" s="3"/>
      <c r="BC526" s="3"/>
      <c r="BD526" s="3"/>
      <c r="BE526" s="3"/>
      <c r="BF526" s="3"/>
      <c r="BG526" s="3"/>
      <c r="BH526" s="3"/>
      <c r="BI526" s="3"/>
      <c r="BJ526" s="3"/>
      <c r="BK526" s="3"/>
      <c r="BL526" s="3"/>
      <c r="BM526" s="3"/>
      <c r="BN526" s="3" t="s">
        <v>2115</v>
      </c>
    </row>
    <row r="527" spans="2:66" ht="12.95" customHeight="1">
      <c r="B527" s="1405"/>
      <c r="C527" s="1406"/>
      <c r="D527" s="1406"/>
      <c r="E527" s="1406"/>
      <c r="F527" s="1406"/>
      <c r="G527" s="1406"/>
      <c r="H527" s="1407"/>
      <c r="I527" t="s">
        <v>420</v>
      </c>
      <c r="AC527" s="1395" t="s">
        <v>591</v>
      </c>
      <c r="AD527" s="1396"/>
      <c r="AE527" s="1396"/>
      <c r="AF527" s="1396"/>
      <c r="AG527" s="13" t="s">
        <v>402</v>
      </c>
      <c r="AH527" s="1428"/>
      <c r="AI527" s="1428"/>
      <c r="AJ527" s="1428"/>
      <c r="AK527" s="1429"/>
      <c r="AZ527" s="3"/>
      <c r="BA527" s="3"/>
      <c r="BB527" s="3"/>
      <c r="BC527" s="3"/>
      <c r="BD527" s="3"/>
      <c r="BE527" s="3"/>
      <c r="BF527" s="3"/>
      <c r="BG527" s="3"/>
      <c r="BH527" s="3"/>
      <c r="BI527" s="3"/>
      <c r="BJ527" s="3"/>
      <c r="BK527" s="3"/>
      <c r="BL527" s="3"/>
      <c r="BM527" s="3"/>
      <c r="BN527" s="3" t="s">
        <v>2116</v>
      </c>
    </row>
    <row r="528" spans="2:66" ht="12.95" customHeight="1">
      <c r="B528" s="1405"/>
      <c r="C528" s="1406"/>
      <c r="D528" s="1406"/>
      <c r="E528" s="1406"/>
      <c r="F528" s="1406"/>
      <c r="G528" s="1406"/>
      <c r="H528" s="1407"/>
      <c r="I528" s="48" t="s">
        <v>421</v>
      </c>
      <c r="J528" s="48"/>
      <c r="K528" s="48"/>
      <c r="L528" s="48"/>
      <c r="M528" s="48"/>
      <c r="N528" s="48"/>
      <c r="O528" s="48"/>
      <c r="P528" s="48"/>
      <c r="Q528" s="48"/>
      <c r="R528" s="48"/>
      <c r="S528" s="48"/>
      <c r="T528" s="48"/>
      <c r="U528" s="48"/>
      <c r="V528" s="48"/>
      <c r="W528" s="48"/>
      <c r="X528" s="48"/>
      <c r="Y528" s="48"/>
      <c r="Z528" s="48"/>
      <c r="AA528" s="48"/>
      <c r="AB528" s="48"/>
      <c r="AC528" s="1395" t="s">
        <v>591</v>
      </c>
      <c r="AD528" s="1396"/>
      <c r="AE528" s="1396"/>
      <c r="AF528" s="1396"/>
      <c r="AG528" s="38" t="s">
        <v>402</v>
      </c>
      <c r="AH528" s="1428"/>
      <c r="AI528" s="1428"/>
      <c r="AJ528" s="1428"/>
      <c r="AK528" s="1429"/>
      <c r="AZ528" s="3"/>
      <c r="BA528" s="3"/>
      <c r="BB528" s="3"/>
      <c r="BC528" s="3"/>
      <c r="BD528" s="3"/>
      <c r="BE528" s="3"/>
      <c r="BF528" s="3"/>
      <c r="BG528" s="3"/>
      <c r="BH528" s="3"/>
      <c r="BI528" s="3"/>
      <c r="BJ528" s="3"/>
      <c r="BK528" s="3"/>
      <c r="BL528" s="3"/>
      <c r="BM528" s="3"/>
      <c r="BN528" s="3" t="s">
        <v>2117</v>
      </c>
    </row>
    <row r="529" spans="1:66" ht="12.95" customHeight="1">
      <c r="B529" s="1405"/>
      <c r="C529" s="1406"/>
      <c r="D529" s="1406"/>
      <c r="E529" s="1406"/>
      <c r="F529" s="1406"/>
      <c r="G529" s="1406"/>
      <c r="H529" s="1407"/>
      <c r="I529" s="42" t="s">
        <v>422</v>
      </c>
      <c r="J529" s="42"/>
      <c r="K529" s="42"/>
      <c r="L529" s="42"/>
      <c r="M529" s="42"/>
      <c r="N529" s="42"/>
      <c r="O529" s="1433" t="s">
        <v>334</v>
      </c>
      <c r="P529" s="1434"/>
      <c r="Q529" s="1434"/>
      <c r="R529" s="1434"/>
      <c r="S529" s="1434"/>
      <c r="T529" s="1434"/>
      <c r="U529" s="1434"/>
      <c r="V529" s="1434"/>
      <c r="W529" s="1434"/>
      <c r="X529" s="1434"/>
      <c r="Y529" s="1434"/>
      <c r="Z529" s="1434"/>
      <c r="AA529" s="1434"/>
      <c r="AC529" s="1395" t="s">
        <v>591</v>
      </c>
      <c r="AD529" s="1396"/>
      <c r="AE529" s="1396"/>
      <c r="AF529" s="1396"/>
      <c r="AG529" s="13" t="s">
        <v>402</v>
      </c>
      <c r="AH529" s="1428"/>
      <c r="AI529" s="1428"/>
      <c r="AJ529" s="1428"/>
      <c r="AK529" s="1429"/>
      <c r="AZ529" s="3"/>
      <c r="BA529" s="3"/>
      <c r="BB529" s="3"/>
      <c r="BC529" s="3"/>
      <c r="BD529" s="3"/>
      <c r="BE529" s="3"/>
      <c r="BF529" s="3"/>
      <c r="BG529" s="3"/>
      <c r="BH529" s="3"/>
      <c r="BI529" s="3"/>
      <c r="BJ529" s="3"/>
      <c r="BK529" s="3"/>
      <c r="BL529" s="3"/>
      <c r="BM529" s="3"/>
      <c r="BN529" s="3" t="s">
        <v>2118</v>
      </c>
    </row>
    <row r="530" spans="1:66" ht="12.95" customHeight="1">
      <c r="B530" s="1405"/>
      <c r="C530" s="1406"/>
      <c r="D530" s="1406"/>
      <c r="E530" s="1406"/>
      <c r="F530" s="1406"/>
      <c r="G530" s="1406"/>
      <c r="H530" s="1407"/>
      <c r="I530" t="s">
        <v>420</v>
      </c>
      <c r="AC530" s="1395" t="s">
        <v>591</v>
      </c>
      <c r="AD530" s="1396"/>
      <c r="AE530" s="1396"/>
      <c r="AF530" s="1396"/>
      <c r="AG530" s="13" t="s">
        <v>402</v>
      </c>
      <c r="AH530" s="1428"/>
      <c r="AI530" s="1428"/>
      <c r="AJ530" s="1428"/>
      <c r="AK530" s="1429"/>
      <c r="AZ530" s="3"/>
      <c r="BA530" s="3"/>
      <c r="BB530" s="3"/>
      <c r="BC530" s="3"/>
      <c r="BD530" s="3"/>
      <c r="BE530" s="3"/>
      <c r="BF530" s="3"/>
      <c r="BG530" s="3"/>
      <c r="BH530" s="3"/>
      <c r="BI530" s="3"/>
      <c r="BJ530" s="3"/>
      <c r="BK530" s="3"/>
      <c r="BL530" s="3"/>
      <c r="BM530" s="3"/>
      <c r="BN530" s="3" t="s">
        <v>2119</v>
      </c>
    </row>
    <row r="531" spans="1:66" ht="12.95" customHeight="1">
      <c r="B531" s="1405"/>
      <c r="C531" s="1406"/>
      <c r="D531" s="1406"/>
      <c r="E531" s="1406"/>
      <c r="F531" s="1406"/>
      <c r="G531" s="1406"/>
      <c r="H531" s="1407"/>
      <c r="I531" s="48" t="s">
        <v>421</v>
      </c>
      <c r="J531" s="48"/>
      <c r="K531" s="48"/>
      <c r="L531" s="48"/>
      <c r="M531" s="48"/>
      <c r="N531" s="48"/>
      <c r="O531" s="48"/>
      <c r="P531" s="48"/>
      <c r="Q531" s="48"/>
      <c r="R531" s="48"/>
      <c r="S531" s="48"/>
      <c r="T531" s="48"/>
      <c r="U531" s="48"/>
      <c r="V531" s="48"/>
      <c r="W531" s="48"/>
      <c r="X531" s="48"/>
      <c r="Y531" s="48"/>
      <c r="Z531" s="48"/>
      <c r="AA531" s="48"/>
      <c r="AB531" s="48"/>
      <c r="AC531" s="1395" t="s">
        <v>591</v>
      </c>
      <c r="AD531" s="1396"/>
      <c r="AE531" s="1396"/>
      <c r="AF531" s="1396"/>
      <c r="AG531" s="38" t="s">
        <v>402</v>
      </c>
      <c r="AH531" s="1428"/>
      <c r="AI531" s="1428"/>
      <c r="AJ531" s="1428"/>
      <c r="AK531" s="1429"/>
      <c r="AZ531" s="3"/>
      <c r="BA531" s="3"/>
      <c r="BB531" s="3"/>
      <c r="BC531" s="3"/>
      <c r="BD531" s="3"/>
      <c r="BE531" s="3"/>
      <c r="BF531" s="3"/>
      <c r="BG531" s="3"/>
      <c r="BH531" s="3"/>
      <c r="BI531" s="3"/>
      <c r="BJ531" s="3"/>
      <c r="BK531" s="3"/>
      <c r="BL531" s="3"/>
      <c r="BM531" s="3"/>
      <c r="BN531" s="3" t="s">
        <v>2120</v>
      </c>
    </row>
    <row r="532" spans="1:66" ht="12.95" customHeight="1">
      <c r="B532" s="1405"/>
      <c r="C532" s="1406"/>
      <c r="D532" s="1406"/>
      <c r="E532" s="1406"/>
      <c r="F532" s="1406"/>
      <c r="G532" s="1406"/>
      <c r="H532" s="1407"/>
      <c r="I532" s="42" t="s">
        <v>422</v>
      </c>
      <c r="J532" s="42"/>
      <c r="K532" s="42"/>
      <c r="L532" s="42"/>
      <c r="M532" s="42"/>
      <c r="N532" s="42"/>
      <c r="O532" s="1433" t="s">
        <v>334</v>
      </c>
      <c r="P532" s="1434"/>
      <c r="Q532" s="1434"/>
      <c r="R532" s="1434"/>
      <c r="S532" s="1434"/>
      <c r="T532" s="1434"/>
      <c r="U532" s="1434"/>
      <c r="V532" s="1434"/>
      <c r="W532" s="1434"/>
      <c r="X532" s="1434"/>
      <c r="Y532" s="1434"/>
      <c r="Z532" s="1434"/>
      <c r="AA532" s="1434"/>
      <c r="AC532" s="1395" t="s">
        <v>591</v>
      </c>
      <c r="AD532" s="1396"/>
      <c r="AE532" s="1396"/>
      <c r="AF532" s="1396"/>
      <c r="AG532" s="13" t="s">
        <v>402</v>
      </c>
      <c r="AH532" s="1428"/>
      <c r="AI532" s="1428"/>
      <c r="AJ532" s="1428"/>
      <c r="AK532" s="1429"/>
      <c r="AZ532" s="3"/>
      <c r="BA532" s="3"/>
      <c r="BB532" s="3"/>
      <c r="BC532" s="3"/>
      <c r="BD532" s="3"/>
      <c r="BE532" s="3"/>
      <c r="BF532" s="3"/>
      <c r="BG532" s="3"/>
      <c r="BH532" s="3"/>
      <c r="BI532" s="3"/>
      <c r="BJ532" s="3"/>
      <c r="BK532" s="3"/>
      <c r="BL532" s="3"/>
      <c r="BM532" s="3"/>
      <c r="BN532" s="3" t="s">
        <v>2121</v>
      </c>
    </row>
    <row r="533" spans="1:66" ht="12.95" customHeight="1">
      <c r="B533" s="1405"/>
      <c r="C533" s="1406"/>
      <c r="D533" s="1406"/>
      <c r="E533" s="1406"/>
      <c r="F533" s="1406"/>
      <c r="G533" s="1406"/>
      <c r="H533" s="1407"/>
      <c r="I533" t="s">
        <v>420</v>
      </c>
      <c r="AC533" s="1395" t="s">
        <v>591</v>
      </c>
      <c r="AD533" s="1396"/>
      <c r="AE533" s="1396"/>
      <c r="AF533" s="1396"/>
      <c r="AG533" s="38" t="s">
        <v>402</v>
      </c>
      <c r="AH533" s="1428"/>
      <c r="AI533" s="1428"/>
      <c r="AJ533" s="1428"/>
      <c r="AK533" s="1429"/>
      <c r="AZ533" s="3"/>
      <c r="BA533" s="3"/>
      <c r="BB533" s="3"/>
      <c r="BC533" s="3"/>
      <c r="BD533" s="3"/>
      <c r="BE533" s="3"/>
      <c r="BF533" s="3"/>
      <c r="BG533" s="3"/>
      <c r="BH533" s="3"/>
      <c r="BI533" s="3"/>
      <c r="BJ533" s="3"/>
      <c r="BK533" s="3"/>
      <c r="BL533" s="3"/>
      <c r="BM533" s="3"/>
      <c r="BN533" s="3" t="s">
        <v>2122</v>
      </c>
    </row>
    <row r="534" spans="1:66" ht="12.95" customHeight="1">
      <c r="B534" s="1405"/>
      <c r="C534" s="1406"/>
      <c r="D534" s="1406"/>
      <c r="E534" s="1406"/>
      <c r="F534" s="1406"/>
      <c r="G534" s="1406"/>
      <c r="H534" s="1407"/>
      <c r="I534" s="48" t="s">
        <v>421</v>
      </c>
      <c r="J534" s="48"/>
      <c r="K534" s="48"/>
      <c r="L534" s="48"/>
      <c r="M534" s="48"/>
      <c r="N534" s="48"/>
      <c r="O534" s="48"/>
      <c r="P534" s="48"/>
      <c r="Q534" s="48"/>
      <c r="R534" s="48"/>
      <c r="S534" s="48"/>
      <c r="T534" s="48"/>
      <c r="U534" s="48"/>
      <c r="V534" s="48"/>
      <c r="W534" s="48"/>
      <c r="X534" s="48"/>
      <c r="Y534" s="48"/>
      <c r="Z534" s="48"/>
      <c r="AA534" s="48"/>
      <c r="AB534" s="48"/>
      <c r="AC534" s="1395" t="s">
        <v>591</v>
      </c>
      <c r="AD534" s="1396"/>
      <c r="AE534" s="1396"/>
      <c r="AF534" s="1396"/>
      <c r="AG534" s="13" t="s">
        <v>402</v>
      </c>
      <c r="AH534" s="1428"/>
      <c r="AI534" s="1428"/>
      <c r="AJ534" s="1428"/>
      <c r="AK534" s="1429"/>
      <c r="AZ534" s="3"/>
      <c r="BA534" s="3"/>
      <c r="BB534" s="3"/>
      <c r="BC534" s="3"/>
      <c r="BD534" s="3"/>
      <c r="BE534" s="3"/>
      <c r="BF534" s="3"/>
      <c r="BG534" s="3"/>
      <c r="BH534" s="3"/>
      <c r="BI534" s="3"/>
      <c r="BJ534" s="3"/>
      <c r="BK534" s="3"/>
      <c r="BL534" s="3"/>
      <c r="BM534" s="3"/>
      <c r="BN534" s="3" t="s">
        <v>2123</v>
      </c>
    </row>
    <row r="535" spans="1:66" ht="12.95" customHeight="1">
      <c r="B535" s="1405"/>
      <c r="C535" s="1406"/>
      <c r="D535" s="1406"/>
      <c r="E535" s="1406"/>
      <c r="F535" s="1406"/>
      <c r="G535" s="1406"/>
      <c r="H535" s="1407"/>
      <c r="I535" s="42" t="s">
        <v>422</v>
      </c>
      <c r="J535" s="42"/>
      <c r="K535" s="42"/>
      <c r="L535" s="42"/>
      <c r="M535" s="42"/>
      <c r="N535" s="42"/>
      <c r="O535" s="1433" t="s">
        <v>334</v>
      </c>
      <c r="P535" s="1434"/>
      <c r="Q535" s="1434"/>
      <c r="R535" s="1434"/>
      <c r="S535" s="1434"/>
      <c r="T535" s="1434"/>
      <c r="U535" s="1434"/>
      <c r="V535" s="1434"/>
      <c r="W535" s="1434"/>
      <c r="X535" s="1434"/>
      <c r="Y535" s="1434"/>
      <c r="Z535" s="1434"/>
      <c r="AA535" s="1434"/>
      <c r="AC535" s="1395" t="s">
        <v>591</v>
      </c>
      <c r="AD535" s="1396"/>
      <c r="AE535" s="1396"/>
      <c r="AF535" s="1396"/>
      <c r="AG535" s="38" t="s">
        <v>402</v>
      </c>
      <c r="AH535" s="1428"/>
      <c r="AI535" s="1428"/>
      <c r="AJ535" s="1428"/>
      <c r="AK535" s="1429"/>
      <c r="AZ535" s="3"/>
      <c r="BA535" s="3"/>
      <c r="BB535" s="3"/>
      <c r="BC535" s="3"/>
      <c r="BD535" s="3"/>
      <c r="BE535" s="3"/>
      <c r="BF535" s="3"/>
      <c r="BG535" s="3"/>
      <c r="BH535" s="3"/>
      <c r="BI535" s="3"/>
      <c r="BJ535" s="3"/>
      <c r="BK535" s="3"/>
      <c r="BL535" s="3"/>
      <c r="BM535" s="3"/>
      <c r="BN535" s="3" t="s">
        <v>2124</v>
      </c>
    </row>
    <row r="536" spans="1:66" ht="12.95" customHeight="1">
      <c r="B536" s="1405"/>
      <c r="C536" s="1406"/>
      <c r="D536" s="1406"/>
      <c r="E536" s="1406"/>
      <c r="F536" s="1406"/>
      <c r="G536" s="1406"/>
      <c r="H536" s="1407"/>
      <c r="I536" t="s">
        <v>420</v>
      </c>
      <c r="AC536" s="1395" t="s">
        <v>591</v>
      </c>
      <c r="AD536" s="1396"/>
      <c r="AE536" s="1396"/>
      <c r="AF536" s="1396"/>
      <c r="AG536" s="13" t="s">
        <v>402</v>
      </c>
      <c r="AH536" s="1428"/>
      <c r="AI536" s="1428"/>
      <c r="AJ536" s="1428"/>
      <c r="AK536" s="1429"/>
      <c r="AZ536" s="3"/>
      <c r="BA536" s="3"/>
      <c r="BB536" s="3"/>
      <c r="BC536" s="3"/>
      <c r="BD536" s="3"/>
      <c r="BE536" s="3"/>
      <c r="BF536" s="3"/>
      <c r="BG536" s="3"/>
      <c r="BH536" s="3"/>
      <c r="BI536" s="3"/>
      <c r="BJ536" s="3"/>
      <c r="BK536" s="3"/>
      <c r="BL536" s="3"/>
      <c r="BM536" s="3"/>
      <c r="BN536" s="3" t="s">
        <v>2125</v>
      </c>
    </row>
    <row r="537" spans="1:66" ht="12.95" customHeight="1">
      <c r="B537" s="1405"/>
      <c r="C537" s="1406"/>
      <c r="D537" s="1406"/>
      <c r="E537" s="1406"/>
      <c r="F537" s="1406"/>
      <c r="G537" s="1406"/>
      <c r="H537" s="1407"/>
      <c r="I537" s="48" t="s">
        <v>421</v>
      </c>
      <c r="J537" s="48"/>
      <c r="K537" s="48"/>
      <c r="L537" s="48"/>
      <c r="M537" s="48"/>
      <c r="N537" s="48"/>
      <c r="O537" s="48"/>
      <c r="P537" s="48"/>
      <c r="Q537" s="48"/>
      <c r="R537" s="48"/>
      <c r="S537" s="48"/>
      <c r="T537" s="48"/>
      <c r="U537" s="48"/>
      <c r="V537" s="48"/>
      <c r="W537" s="48"/>
      <c r="X537" s="48"/>
      <c r="Y537" s="48"/>
      <c r="Z537" s="48"/>
      <c r="AA537" s="48"/>
      <c r="AB537" s="48"/>
      <c r="AC537" s="1395" t="s">
        <v>591</v>
      </c>
      <c r="AD537" s="1396"/>
      <c r="AE537" s="1396"/>
      <c r="AF537" s="1396"/>
      <c r="AG537" s="38" t="s">
        <v>402</v>
      </c>
      <c r="AH537" s="1428"/>
      <c r="AI537" s="1428"/>
      <c r="AJ537" s="1428"/>
      <c r="AK537" s="1429"/>
      <c r="AZ537" s="3"/>
      <c r="BA537" s="3"/>
      <c r="BB537" s="3"/>
      <c r="BC537" s="3"/>
      <c r="BD537" s="3"/>
      <c r="BE537" s="3"/>
      <c r="BF537" s="3"/>
      <c r="BG537" s="3"/>
      <c r="BH537" s="3"/>
      <c r="BI537" s="3"/>
      <c r="BJ537" s="3"/>
      <c r="BK537" s="3"/>
      <c r="BL537" s="3"/>
      <c r="BM537" s="3"/>
      <c r="BN537" s="3" t="s">
        <v>2126</v>
      </c>
    </row>
    <row r="538" spans="1:66" ht="12.95" customHeight="1">
      <c r="B538" s="1405"/>
      <c r="C538" s="1406"/>
      <c r="D538" s="1406"/>
      <c r="E538" s="1406"/>
      <c r="F538" s="1406"/>
      <c r="G538" s="1406"/>
      <c r="H538" s="1407"/>
      <c r="I538" s="42" t="s">
        <v>562</v>
      </c>
      <c r="J538" s="42"/>
      <c r="K538" s="42"/>
      <c r="L538" s="42"/>
      <c r="M538" s="42"/>
      <c r="N538" s="42"/>
      <c r="O538" s="42"/>
      <c r="P538" s="42"/>
      <c r="Q538" s="42"/>
      <c r="R538" s="42"/>
      <c r="S538" s="42"/>
      <c r="T538" s="42"/>
      <c r="U538" s="42"/>
      <c r="V538" s="42"/>
      <c r="W538" s="42"/>
      <c r="AC538" s="1395" t="s">
        <v>591</v>
      </c>
      <c r="AD538" s="1396"/>
      <c r="AE538" s="1396"/>
      <c r="AF538" s="1396"/>
      <c r="AG538" s="38" t="s">
        <v>402</v>
      </c>
      <c r="AH538" s="1428"/>
      <c r="AI538" s="1428"/>
      <c r="AJ538" s="1428"/>
      <c r="AK538" s="1429"/>
      <c r="AZ538" s="3"/>
      <c r="BA538" s="3"/>
      <c r="BB538" s="3"/>
      <c r="BC538" s="3"/>
      <c r="BD538" s="3"/>
      <c r="BE538" s="3"/>
      <c r="BF538" s="3"/>
      <c r="BG538" s="3"/>
      <c r="BH538" s="3"/>
      <c r="BI538" s="3"/>
      <c r="BJ538" s="3"/>
      <c r="BK538" s="3"/>
      <c r="BL538" s="3"/>
      <c r="BM538" s="3"/>
      <c r="BN538" s="3"/>
    </row>
    <row r="539" spans="1:66" ht="12.95" customHeight="1">
      <c r="B539" s="1405"/>
      <c r="C539" s="1406"/>
      <c r="D539" s="1406"/>
      <c r="E539" s="1406"/>
      <c r="F539" s="1406"/>
      <c r="G539" s="1406"/>
      <c r="H539" s="1407"/>
      <c r="I539" t="s">
        <v>563</v>
      </c>
      <c r="AC539" s="1395">
        <v>5</v>
      </c>
      <c r="AD539" s="1396"/>
      <c r="AE539" s="1396"/>
      <c r="AF539" s="1396"/>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405"/>
      <c r="C540" s="1406"/>
      <c r="D540" s="1406"/>
      <c r="E540" s="1406"/>
      <c r="F540" s="1406"/>
      <c r="G540" s="1406"/>
      <c r="H540" s="1407"/>
      <c r="I540" t="s">
        <v>564</v>
      </c>
      <c r="AC540" s="1395">
        <v>11</v>
      </c>
      <c r="AD540" s="1396"/>
      <c r="AE540" s="1396"/>
      <c r="AF540" s="1396"/>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405"/>
      <c r="C541" s="1406"/>
      <c r="D541" s="1406"/>
      <c r="E541" s="1406"/>
      <c r="F541" s="1406"/>
      <c r="G541" s="1406"/>
      <c r="H541" s="1407"/>
      <c r="I541" t="s">
        <v>565</v>
      </c>
      <c r="AC541" s="1395">
        <v>11</v>
      </c>
      <c r="AD541" s="1396"/>
      <c r="AE541" s="1396"/>
      <c r="AF541" s="1396"/>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8"/>
      <c r="C542" s="1409"/>
      <c r="D542" s="1409"/>
      <c r="E542" s="1409"/>
      <c r="F542" s="1409"/>
      <c r="G542" s="1409"/>
      <c r="H542" s="1410"/>
      <c r="I542" s="48" t="s">
        <v>451</v>
      </c>
      <c r="J542" s="48"/>
      <c r="K542" s="48"/>
      <c r="L542" s="48"/>
      <c r="M542" s="48"/>
      <c r="N542" s="48"/>
      <c r="O542" s="48"/>
      <c r="P542" s="48"/>
      <c r="Q542" s="48"/>
      <c r="R542" s="48"/>
      <c r="S542" s="48"/>
      <c r="T542" s="48"/>
      <c r="U542" s="48"/>
      <c r="V542" s="48"/>
      <c r="W542" s="48"/>
      <c r="X542" s="48"/>
      <c r="Y542" s="48"/>
      <c r="Z542" s="48"/>
      <c r="AA542" s="48"/>
      <c r="AB542" s="48"/>
      <c r="AC542" s="1395">
        <v>11</v>
      </c>
      <c r="AD542" s="1396"/>
      <c r="AE542" s="1396"/>
      <c r="AF542" s="1396"/>
      <c r="AG542" s="38" t="s">
        <v>402</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6" t="s">
        <v>543</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402" t="s">
        <v>2100</v>
      </c>
      <c r="C551" s="1403"/>
      <c r="D551" s="1403"/>
      <c r="E551" s="1403"/>
      <c r="F551" s="1403"/>
      <c r="G551" s="1403"/>
      <c r="H551" s="1403"/>
      <c r="I551" s="1403"/>
      <c r="J551" s="1403"/>
      <c r="K551" s="1403"/>
      <c r="L551" s="1404"/>
      <c r="M551" s="1402" t="s">
        <v>2101</v>
      </c>
      <c r="N551" s="1403"/>
      <c r="O551" s="1403"/>
      <c r="P551" s="1404"/>
      <c r="Q551" s="1402" t="s">
        <v>2127</v>
      </c>
      <c r="R551" s="1403"/>
      <c r="S551" s="1404"/>
      <c r="T551" s="1402" t="s">
        <v>2128</v>
      </c>
      <c r="U551" s="1403"/>
      <c r="V551" s="1404"/>
      <c r="W551" s="1402" t="s">
        <v>453</v>
      </c>
      <c r="X551" s="1403"/>
      <c r="Y551" s="1404"/>
      <c r="Z551" s="1402" t="s">
        <v>1849</v>
      </c>
      <c r="AA551" s="1403"/>
      <c r="AB551" s="1403"/>
      <c r="AC551" s="1403"/>
      <c r="AD551" s="1404"/>
      <c r="AE551" s="1402" t="s">
        <v>1674</v>
      </c>
      <c r="AF551" s="1403"/>
      <c r="AG551" s="1403"/>
      <c r="AH551" s="1404"/>
      <c r="AI551" s="1402" t="s">
        <v>1675</v>
      </c>
      <c r="AJ551" s="1403"/>
      <c r="AK551" s="1403"/>
      <c r="AL551" s="1404"/>
      <c r="AM551" s="1402" t="s">
        <v>454</v>
      </c>
      <c r="AN551" s="1403"/>
      <c r="AO551" s="1403"/>
      <c r="AP551" s="1403"/>
      <c r="AQ551" s="1403"/>
      <c r="AR551" s="1403"/>
      <c r="AS551" s="1404"/>
      <c r="BB551" s="3"/>
      <c r="BC551" s="3"/>
      <c r="BD551" s="3"/>
      <c r="BE551" s="3"/>
      <c r="BF551" s="3"/>
      <c r="BG551" s="3"/>
      <c r="BH551" s="3" t="s">
        <v>581</v>
      </c>
      <c r="BI551" s="3" t="str">
        <f>AG657</f>
        <v>Yes</v>
      </c>
    </row>
    <row r="552" spans="1:61" ht="12.95" customHeight="1">
      <c r="B552" s="1405"/>
      <c r="C552" s="1406"/>
      <c r="D552" s="1406"/>
      <c r="E552" s="1406"/>
      <c r="F552" s="1406"/>
      <c r="G552" s="1406"/>
      <c r="H552" s="1406"/>
      <c r="I552" s="1406"/>
      <c r="J552" s="1406"/>
      <c r="K552" s="1406"/>
      <c r="L552" s="1407"/>
      <c r="M552" s="1405"/>
      <c r="N552" s="1406"/>
      <c r="O552" s="1406"/>
      <c r="P552" s="1407"/>
      <c r="Q552" s="1405"/>
      <c r="R552" s="1406"/>
      <c r="S552" s="1407"/>
      <c r="T552" s="1405"/>
      <c r="U552" s="1406"/>
      <c r="V552" s="1407"/>
      <c r="W552" s="1405"/>
      <c r="X552" s="1406"/>
      <c r="Y552" s="1407"/>
      <c r="Z552" s="1405"/>
      <c r="AA552" s="1406"/>
      <c r="AB552" s="1406"/>
      <c r="AC552" s="1406"/>
      <c r="AD552" s="1407"/>
      <c r="AE552" s="1405"/>
      <c r="AF552" s="1406"/>
      <c r="AG552" s="1406"/>
      <c r="AH552" s="1407"/>
      <c r="AI552" s="1405"/>
      <c r="AJ552" s="1406"/>
      <c r="AK552" s="1406"/>
      <c r="AL552" s="1407"/>
      <c r="AM552" s="1405"/>
      <c r="AN552" s="1406"/>
      <c r="AO552" s="1406"/>
      <c r="AP552" s="1406"/>
      <c r="AQ552" s="1406"/>
      <c r="AR552" s="1406"/>
      <c r="AS552" s="1407"/>
      <c r="AU552" s="1147"/>
      <c r="BB552" s="3"/>
      <c r="BC552" s="3"/>
      <c r="BD552" s="3"/>
      <c r="BE552" s="3"/>
      <c r="BF552" s="3"/>
      <c r="BG552" s="3"/>
      <c r="BH552" s="3"/>
      <c r="BI552" s="3"/>
    </row>
    <row r="553" spans="1:61" ht="12.95" customHeight="1">
      <c r="B553" s="1408"/>
      <c r="C553" s="1409"/>
      <c r="D553" s="1409"/>
      <c r="E553" s="1409"/>
      <c r="F553" s="1409"/>
      <c r="G553" s="1409"/>
      <c r="H553" s="1409"/>
      <c r="I553" s="1409"/>
      <c r="J553" s="1409"/>
      <c r="K553" s="1409"/>
      <c r="L553" s="1410"/>
      <c r="M553" s="1408"/>
      <c r="N553" s="1409"/>
      <c r="O553" s="1409"/>
      <c r="P553" s="1410"/>
      <c r="Q553" s="1408"/>
      <c r="R553" s="1409"/>
      <c r="S553" s="1410"/>
      <c r="T553" s="1408"/>
      <c r="U553" s="1409"/>
      <c r="V553" s="1410"/>
      <c r="W553" s="1408"/>
      <c r="X553" s="1409"/>
      <c r="Y553" s="1410"/>
      <c r="Z553" s="1408"/>
      <c r="AA553" s="1409"/>
      <c r="AB553" s="1409"/>
      <c r="AC553" s="1409"/>
      <c r="AD553" s="1410"/>
      <c r="AE553" s="1408"/>
      <c r="AF553" s="1409"/>
      <c r="AG553" s="1409"/>
      <c r="AH553" s="1410"/>
      <c r="AI553" s="1408"/>
      <c r="AJ553" s="1409"/>
      <c r="AK553" s="1409"/>
      <c r="AL553" s="1410"/>
      <c r="AM553" s="1408"/>
      <c r="AN553" s="1409"/>
      <c r="AO553" s="1409"/>
      <c r="AP553" s="1409"/>
      <c r="AQ553" s="1409"/>
      <c r="AR553" s="1409"/>
      <c r="AS553" s="1410"/>
      <c r="AU553" s="1147"/>
      <c r="BB553" s="3"/>
      <c r="BC553" s="3"/>
      <c r="BD553" s="3"/>
      <c r="BE553" s="3"/>
      <c r="BF553" s="3"/>
      <c r="BG553" s="3"/>
      <c r="BH553" s="3"/>
      <c r="BI553" s="3"/>
    </row>
    <row r="554" spans="1:61" ht="35.25" customHeight="1">
      <c r="B554" s="51" t="s">
        <v>112</v>
      </c>
      <c r="C554" s="1425" t="s">
        <v>2741</v>
      </c>
      <c r="D554" s="1425"/>
      <c r="E554" s="1425"/>
      <c r="F554" s="1425"/>
      <c r="G554" s="1425"/>
      <c r="H554" s="1425"/>
      <c r="I554" s="1425"/>
      <c r="J554" s="1425"/>
      <c r="K554" s="1425"/>
      <c r="L554" s="1425"/>
      <c r="M554" s="1425" t="s">
        <v>2117</v>
      </c>
      <c r="N554" s="1425"/>
      <c r="O554" s="1425"/>
      <c r="P554" s="1425"/>
      <c r="Q554" s="1412">
        <v>30</v>
      </c>
      <c r="R554" s="1412"/>
      <c r="S554" s="1413"/>
      <c r="T554" s="1411"/>
      <c r="U554" s="1412"/>
      <c r="V554" s="1413"/>
      <c r="W554" s="1503">
        <v>6.25E-2</v>
      </c>
      <c r="X554" s="1504"/>
      <c r="Y554" s="1505"/>
      <c r="Z554" s="1430" t="s">
        <v>2733</v>
      </c>
      <c r="AA554" s="1430"/>
      <c r="AB554" s="1430"/>
      <c r="AC554" s="1430"/>
      <c r="AD554" s="1430"/>
      <c r="AE554" s="1480">
        <v>1</v>
      </c>
      <c r="AF554" s="1481"/>
      <c r="AG554" s="1481"/>
      <c r="AH554" s="1482"/>
      <c r="AI554" s="1466"/>
      <c r="AJ554" s="1467"/>
      <c r="AK554" s="1467"/>
      <c r="AL554" s="1468"/>
      <c r="AM554" s="1463">
        <v>20534051</v>
      </c>
      <c r="AN554" s="1464"/>
      <c r="AO554" s="1464"/>
      <c r="AP554" s="1464"/>
      <c r="AQ554" s="1464"/>
      <c r="AR554" s="1464"/>
      <c r="AS554" s="1465"/>
      <c r="AT554" s="1148"/>
      <c r="AU554" s="1147"/>
      <c r="BB554" s="3"/>
      <c r="BC554" s="3"/>
      <c r="BD554" s="3"/>
      <c r="BE554" s="3"/>
      <c r="BF554" s="3"/>
      <c r="BG554" s="3"/>
      <c r="BH554" s="3"/>
      <c r="BI554" s="3"/>
    </row>
    <row r="555" spans="1:61" ht="29.25" customHeight="1">
      <c r="B555" s="52" t="s">
        <v>113</v>
      </c>
      <c r="C555" s="1424" t="s">
        <v>2742</v>
      </c>
      <c r="D555" s="1424"/>
      <c r="E555" s="1424"/>
      <c r="F555" s="1424"/>
      <c r="G555" s="1424"/>
      <c r="H555" s="1424"/>
      <c r="I555" s="1424"/>
      <c r="J555" s="1424"/>
      <c r="K555" s="1424"/>
      <c r="L555" s="1424"/>
      <c r="M555" s="1425" t="s">
        <v>2116</v>
      </c>
      <c r="N555" s="1425"/>
      <c r="O555" s="1425"/>
      <c r="P555" s="1425"/>
      <c r="Q555" s="1411">
        <v>30</v>
      </c>
      <c r="R555" s="1412"/>
      <c r="S555" s="1413"/>
      <c r="T555" s="1411"/>
      <c r="U555" s="1412"/>
      <c r="V555" s="1413"/>
      <c r="W555" s="1503">
        <v>6.7500000000000004E-2</v>
      </c>
      <c r="X555" s="1504"/>
      <c r="Y555" s="1505"/>
      <c r="Z555" s="1430" t="s">
        <v>2733</v>
      </c>
      <c r="AA555" s="1430"/>
      <c r="AB555" s="1430"/>
      <c r="AC555" s="1430"/>
      <c r="AD555" s="1430"/>
      <c r="AE555" s="1480">
        <v>1</v>
      </c>
      <c r="AF555" s="1481"/>
      <c r="AG555" s="1481"/>
      <c r="AH555" s="1482"/>
      <c r="AI555" s="1466"/>
      <c r="AJ555" s="1467"/>
      <c r="AK555" s="1467"/>
      <c r="AL555" s="1468"/>
      <c r="AM555" s="1463">
        <v>6215524</v>
      </c>
      <c r="AN555" s="1464"/>
      <c r="AO555" s="1464"/>
      <c r="AP555" s="1464"/>
      <c r="AQ555" s="1464"/>
      <c r="AR555" s="1464"/>
      <c r="AS555" s="1465"/>
      <c r="AT555" s="1148" t="str">
        <f>IF(AND(NOT(C554=""),C555="",NOT(C556="")),"!","")</f>
        <v/>
      </c>
      <c r="AU555" s="1147"/>
      <c r="BB555" s="3"/>
      <c r="BC555" s="3"/>
      <c r="BD555" s="3"/>
      <c r="BE555" s="3"/>
      <c r="BF555" s="3"/>
      <c r="BG555" s="3"/>
      <c r="BH555" s="3"/>
      <c r="BI555" s="3"/>
    </row>
    <row r="556" spans="1:61" ht="30.75" customHeight="1">
      <c r="B556" s="52" t="s">
        <v>119</v>
      </c>
      <c r="C556" s="1424" t="s">
        <v>2802</v>
      </c>
      <c r="D556" s="1424"/>
      <c r="E556" s="1424"/>
      <c r="F556" s="1424"/>
      <c r="G556" s="1424"/>
      <c r="H556" s="1424"/>
      <c r="I556" s="1424"/>
      <c r="J556" s="1424"/>
      <c r="K556" s="1424"/>
      <c r="L556" s="1424"/>
      <c r="M556" s="1425" t="s">
        <v>2114</v>
      </c>
      <c r="N556" s="1425"/>
      <c r="O556" s="1425"/>
      <c r="P556" s="1425"/>
      <c r="Q556" s="1411">
        <v>480</v>
      </c>
      <c r="R556" s="1412"/>
      <c r="S556" s="1413"/>
      <c r="T556" s="1411"/>
      <c r="U556" s="1412"/>
      <c r="V556" s="1413"/>
      <c r="W556" s="1503">
        <v>4.8300000000000003E-2</v>
      </c>
      <c r="X556" s="1504"/>
      <c r="Y556" s="1505"/>
      <c r="Z556" s="1430" t="s">
        <v>2734</v>
      </c>
      <c r="AA556" s="1430"/>
      <c r="AB556" s="1430"/>
      <c r="AC556" s="1430"/>
      <c r="AD556" s="1430"/>
      <c r="AE556" s="1480">
        <v>2</v>
      </c>
      <c r="AF556" s="1481"/>
      <c r="AG556" s="1481"/>
      <c r="AH556" s="1482"/>
      <c r="AI556" s="1466"/>
      <c r="AJ556" s="1467"/>
      <c r="AK556" s="1467"/>
      <c r="AL556" s="1468"/>
      <c r="AM556" s="1463">
        <v>11080760</v>
      </c>
      <c r="AN556" s="1464"/>
      <c r="AO556" s="1464"/>
      <c r="AP556" s="1464"/>
      <c r="AQ556" s="1464"/>
      <c r="AR556" s="1464"/>
      <c r="AS556" s="1465"/>
      <c r="AT556" s="1148" t="str">
        <f>IF(AND(NOT(C555=""),C556="",NOT(C557="")),"!","")</f>
        <v/>
      </c>
      <c r="AU556" s="1147"/>
      <c r="BB556" s="3"/>
      <c r="BC556" s="3"/>
      <c r="BD556" s="3"/>
      <c r="BE556" s="3"/>
      <c r="BF556" s="3"/>
      <c r="BG556" s="3"/>
      <c r="BH556" s="3"/>
      <c r="BI556" s="3"/>
    </row>
    <row r="557" spans="1:61" ht="32.25" customHeight="1">
      <c r="B557" s="52" t="s">
        <v>581</v>
      </c>
      <c r="C557" s="1424" t="s">
        <v>2803</v>
      </c>
      <c r="D557" s="1424"/>
      <c r="E557" s="1424"/>
      <c r="F557" s="1424"/>
      <c r="G557" s="1424"/>
      <c r="H557" s="1424"/>
      <c r="I557" s="1424"/>
      <c r="J557" s="1424"/>
      <c r="K557" s="1424"/>
      <c r="L557" s="1424"/>
      <c r="M557" s="1425" t="s">
        <v>2114</v>
      </c>
      <c r="N557" s="1425"/>
      <c r="O557" s="1425"/>
      <c r="P557" s="1425"/>
      <c r="Q557" s="1411">
        <v>480</v>
      </c>
      <c r="R557" s="1412"/>
      <c r="S557" s="1413"/>
      <c r="T557" s="1411"/>
      <c r="U557" s="1412"/>
      <c r="V557" s="1413"/>
      <c r="W557" s="1503">
        <v>4.8300000000000003E-2</v>
      </c>
      <c r="X557" s="1504"/>
      <c r="Y557" s="1505"/>
      <c r="Z557" s="1430" t="s">
        <v>2734</v>
      </c>
      <c r="AA557" s="1430"/>
      <c r="AB557" s="1430"/>
      <c r="AC557" s="1430"/>
      <c r="AD557" s="1430"/>
      <c r="AE557" s="1480">
        <v>2</v>
      </c>
      <c r="AF557" s="1481"/>
      <c r="AG557" s="1481"/>
      <c r="AH557" s="1482"/>
      <c r="AI557" s="1466"/>
      <c r="AJ557" s="1467"/>
      <c r="AK557" s="1467"/>
      <c r="AL557" s="1468"/>
      <c r="AM557" s="1463">
        <v>11881462</v>
      </c>
      <c r="AN557" s="1464"/>
      <c r="AO557" s="1464"/>
      <c r="AP557" s="1464"/>
      <c r="AQ557" s="1464"/>
      <c r="AR557" s="1464"/>
      <c r="AS557" s="1465"/>
      <c r="AT557" s="1148" t="str">
        <f>IF(AND(NOT(C556=""),C557="",NOT(C558="")),"!","")</f>
        <v/>
      </c>
      <c r="AU557" s="1147"/>
      <c r="BB557" s="3"/>
      <c r="BC557" s="3"/>
      <c r="BD557" s="3"/>
      <c r="BE557" s="3"/>
      <c r="BF557" s="3"/>
      <c r="BG557" s="3"/>
      <c r="BH557" s="3"/>
      <c r="BI557" s="3"/>
    </row>
    <row r="558" spans="1:61" ht="31.5" customHeight="1">
      <c r="B558" s="52" t="s">
        <v>762</v>
      </c>
      <c r="C558" s="1424" t="s">
        <v>2735</v>
      </c>
      <c r="D558" s="1424"/>
      <c r="E558" s="1424"/>
      <c r="F558" s="1424"/>
      <c r="G558" s="1424"/>
      <c r="H558" s="1424"/>
      <c r="I558" s="1424"/>
      <c r="J558" s="1424"/>
      <c r="K558" s="1424"/>
      <c r="L558" s="1424"/>
      <c r="M558" s="1425" t="s">
        <v>2121</v>
      </c>
      <c r="N558" s="1425"/>
      <c r="O558" s="1425"/>
      <c r="P558" s="1425"/>
      <c r="Q558" s="1411"/>
      <c r="R558" s="1412"/>
      <c r="S558" s="1413"/>
      <c r="T558" s="1411"/>
      <c r="U558" s="1412"/>
      <c r="V558" s="1413"/>
      <c r="W558" s="1503"/>
      <c r="X558" s="1504"/>
      <c r="Y558" s="1505"/>
      <c r="Z558" s="1430" t="s">
        <v>1182</v>
      </c>
      <c r="AA558" s="1430"/>
      <c r="AB558" s="1430"/>
      <c r="AC558" s="1430"/>
      <c r="AD558" s="1430"/>
      <c r="AE558" s="1480"/>
      <c r="AF558" s="1481"/>
      <c r="AG558" s="1481"/>
      <c r="AH558" s="1482"/>
      <c r="AI558" s="1466"/>
      <c r="AJ558" s="1467"/>
      <c r="AK558" s="1467"/>
      <c r="AL558" s="1468"/>
      <c r="AM558" s="1463">
        <v>758188</v>
      </c>
      <c r="AN558" s="1464"/>
      <c r="AO558" s="1464"/>
      <c r="AP558" s="1464"/>
      <c r="AQ558" s="1464"/>
      <c r="AR558" s="1464"/>
      <c r="AS558" s="1465"/>
      <c r="AT558" s="1148" t="str">
        <f t="shared" ref="AT558:AT565" si="0">IF(AND(NOT(C557=""),C558="",NOT(C559="")),"!","")</f>
        <v/>
      </c>
      <c r="AU558" s="1147"/>
      <c r="BB558" s="3"/>
      <c r="BC558" s="3"/>
      <c r="BD558" s="3"/>
      <c r="BE558" s="3"/>
      <c r="BF558" s="3"/>
      <c r="BG558" s="3"/>
      <c r="BH558" s="3" t="s">
        <v>762</v>
      </c>
      <c r="BI558" s="3" t="str">
        <f>N665</f>
        <v>Yes</v>
      </c>
    </row>
    <row r="559" spans="1:61" ht="30.75" customHeight="1">
      <c r="B559" s="52" t="s">
        <v>584</v>
      </c>
      <c r="C559" s="1424" t="s">
        <v>2736</v>
      </c>
      <c r="D559" s="1424"/>
      <c r="E559" s="1424"/>
      <c r="F559" s="1424"/>
      <c r="G559" s="1424"/>
      <c r="H559" s="1424"/>
      <c r="I559" s="1424"/>
      <c r="J559" s="1424"/>
      <c r="K559" s="1424"/>
      <c r="L559" s="1424"/>
      <c r="M559" s="1425" t="s">
        <v>2121</v>
      </c>
      <c r="N559" s="1425"/>
      <c r="O559" s="1425"/>
      <c r="P559" s="1425"/>
      <c r="Q559" s="1411"/>
      <c r="R559" s="1412"/>
      <c r="S559" s="1413"/>
      <c r="T559" s="1411"/>
      <c r="U559" s="1412"/>
      <c r="V559" s="1413"/>
      <c r="W559" s="1503"/>
      <c r="X559" s="1504"/>
      <c r="Y559" s="1505"/>
      <c r="Z559" s="1430" t="s">
        <v>1182</v>
      </c>
      <c r="AA559" s="1430"/>
      <c r="AB559" s="1430"/>
      <c r="AC559" s="1430"/>
      <c r="AD559" s="1430"/>
      <c r="AE559" s="1480"/>
      <c r="AF559" s="1481"/>
      <c r="AG559" s="1481"/>
      <c r="AH559" s="1482"/>
      <c r="AI559" s="1466"/>
      <c r="AJ559" s="1467"/>
      <c r="AK559" s="1467"/>
      <c r="AL559" s="1468"/>
      <c r="AM559" s="1463">
        <v>931186</v>
      </c>
      <c r="AN559" s="1464"/>
      <c r="AO559" s="1464"/>
      <c r="AP559" s="1464"/>
      <c r="AQ559" s="1464"/>
      <c r="AR559" s="1464"/>
      <c r="AS559" s="1465"/>
      <c r="AT559" s="1148" t="str">
        <f t="shared" si="0"/>
        <v/>
      </c>
      <c r="AU559" s="1147"/>
      <c r="BB559" s="3"/>
      <c r="BC559" s="3"/>
      <c r="BD559" s="3"/>
      <c r="BE559" s="3"/>
      <c r="BF559" s="3"/>
      <c r="BG559" s="3"/>
      <c r="BH559" s="3" t="s">
        <v>584</v>
      </c>
      <c r="BI559" s="3" t="str">
        <f>AG665</f>
        <v>Yes</v>
      </c>
    </row>
    <row r="560" spans="1:61" ht="42.75" customHeight="1">
      <c r="B560" s="52" t="s">
        <v>455</v>
      </c>
      <c r="C560" s="1424" t="s">
        <v>2737</v>
      </c>
      <c r="D560" s="1424"/>
      <c r="E560" s="1424"/>
      <c r="F560" s="1424"/>
      <c r="G560" s="1424"/>
      <c r="H560" s="1424"/>
      <c r="I560" s="1424"/>
      <c r="J560" s="1424"/>
      <c r="K560" s="1424"/>
      <c r="L560" s="1424"/>
      <c r="M560" s="1425" t="s">
        <v>2119</v>
      </c>
      <c r="N560" s="1425"/>
      <c r="O560" s="1425"/>
      <c r="P560" s="1425"/>
      <c r="Q560" s="1411"/>
      <c r="R560" s="1412"/>
      <c r="S560" s="1413"/>
      <c r="T560" s="1411"/>
      <c r="U560" s="1412"/>
      <c r="V560" s="1413"/>
      <c r="W560" s="1503"/>
      <c r="X560" s="1504"/>
      <c r="Y560" s="1505"/>
      <c r="Z560" s="1430" t="s">
        <v>1182</v>
      </c>
      <c r="AA560" s="1430"/>
      <c r="AB560" s="1430"/>
      <c r="AC560" s="1430"/>
      <c r="AD560" s="1430"/>
      <c r="AE560" s="1480"/>
      <c r="AF560" s="1481"/>
      <c r="AG560" s="1481"/>
      <c r="AH560" s="1482"/>
      <c r="AI560" s="1466"/>
      <c r="AJ560" s="1467"/>
      <c r="AK560" s="1467"/>
      <c r="AL560" s="1468"/>
      <c r="AM560" s="1463">
        <v>550578</v>
      </c>
      <c r="AN560" s="1464"/>
      <c r="AO560" s="1464"/>
      <c r="AP560" s="1464"/>
      <c r="AQ560" s="1464"/>
      <c r="AR560" s="1464"/>
      <c r="AS560" s="1465"/>
      <c r="AT560" s="1148" t="str">
        <f t="shared" si="0"/>
        <v/>
      </c>
      <c r="AU560" s="1147"/>
      <c r="BB560" s="3"/>
      <c r="BC560" s="3"/>
      <c r="BD560" s="3"/>
      <c r="BE560" s="3"/>
      <c r="BF560" s="3"/>
      <c r="BG560" s="3"/>
      <c r="BH560" s="3"/>
      <c r="BI560" s="3"/>
    </row>
    <row r="561" spans="1:61" ht="43.5" customHeight="1">
      <c r="B561" s="52" t="s">
        <v>456</v>
      </c>
      <c r="C561" s="1424" t="s">
        <v>2738</v>
      </c>
      <c r="D561" s="1424"/>
      <c r="E561" s="1424"/>
      <c r="F561" s="1424"/>
      <c r="G561" s="1424"/>
      <c r="H561" s="1424"/>
      <c r="I561" s="1424"/>
      <c r="J561" s="1424"/>
      <c r="K561" s="1424"/>
      <c r="L561" s="1424"/>
      <c r="M561" s="1425" t="s">
        <v>2108</v>
      </c>
      <c r="N561" s="1425"/>
      <c r="O561" s="1425"/>
      <c r="P561" s="1425"/>
      <c r="Q561" s="1411"/>
      <c r="R561" s="1412"/>
      <c r="S561" s="1413"/>
      <c r="T561" s="1411"/>
      <c r="U561" s="1412"/>
      <c r="V561" s="1413"/>
      <c r="W561" s="1503"/>
      <c r="X561" s="1504"/>
      <c r="Y561" s="1505"/>
      <c r="Z561" s="1430" t="s">
        <v>1182</v>
      </c>
      <c r="AA561" s="1430"/>
      <c r="AB561" s="1430"/>
      <c r="AC561" s="1430"/>
      <c r="AD561" s="1430"/>
      <c r="AE561" s="1480"/>
      <c r="AF561" s="1481"/>
      <c r="AG561" s="1481"/>
      <c r="AH561" s="1482"/>
      <c r="AI561" s="1466"/>
      <c r="AJ561" s="1467"/>
      <c r="AK561" s="1467"/>
      <c r="AL561" s="1468"/>
      <c r="AM561" s="1463">
        <v>7566589</v>
      </c>
      <c r="AN561" s="1464"/>
      <c r="AO561" s="1464"/>
      <c r="AP561" s="1464"/>
      <c r="AQ561" s="1464"/>
      <c r="AR561" s="1464"/>
      <c r="AS561" s="1465"/>
      <c r="AT561" s="1148" t="str">
        <f t="shared" si="0"/>
        <v/>
      </c>
      <c r="AU561" s="1147"/>
      <c r="BB561" s="3"/>
      <c r="BC561" s="3"/>
      <c r="BD561" s="3"/>
      <c r="BE561" s="3"/>
      <c r="BF561" s="3"/>
      <c r="BG561" s="3"/>
      <c r="BH561" s="3"/>
      <c r="BI561" s="3"/>
    </row>
    <row r="562" spans="1:61" ht="30" customHeight="1">
      <c r="B562" s="52" t="s">
        <v>461</v>
      </c>
      <c r="C562" s="1424" t="s">
        <v>2739</v>
      </c>
      <c r="D562" s="1424"/>
      <c r="E562" s="1424"/>
      <c r="F562" s="1424"/>
      <c r="G562" s="1424"/>
      <c r="H562" s="1424"/>
      <c r="I562" s="1424"/>
      <c r="J562" s="1424"/>
      <c r="K562" s="1424"/>
      <c r="L562" s="1424"/>
      <c r="M562" s="1425" t="s">
        <v>2103</v>
      </c>
      <c r="N562" s="1425"/>
      <c r="O562" s="1425"/>
      <c r="P562" s="1425"/>
      <c r="Q562" s="1411"/>
      <c r="R562" s="1412"/>
      <c r="S562" s="1413"/>
      <c r="T562" s="1411"/>
      <c r="U562" s="1412"/>
      <c r="V562" s="1413"/>
      <c r="W562" s="1503"/>
      <c r="X562" s="1504"/>
      <c r="Y562" s="1505"/>
      <c r="Z562" s="1430" t="s">
        <v>1182</v>
      </c>
      <c r="AA562" s="1430"/>
      <c r="AB562" s="1430"/>
      <c r="AC562" s="1430"/>
      <c r="AD562" s="1430"/>
      <c r="AE562" s="1480"/>
      <c r="AF562" s="1481"/>
      <c r="AG562" s="1481"/>
      <c r="AH562" s="1482"/>
      <c r="AI562" s="1466"/>
      <c r="AJ562" s="1467"/>
      <c r="AK562" s="1467"/>
      <c r="AL562" s="1468"/>
      <c r="AM562" s="1463">
        <f>7678405+749672</f>
        <v>8428077</v>
      </c>
      <c r="AN562" s="1464"/>
      <c r="AO562" s="1464"/>
      <c r="AP562" s="1464"/>
      <c r="AQ562" s="1464"/>
      <c r="AR562" s="1464"/>
      <c r="AS562" s="1465"/>
      <c r="AT562" s="1148" t="str">
        <f t="shared" si="0"/>
        <v/>
      </c>
      <c r="AU562" s="1147"/>
      <c r="BB562" s="3"/>
      <c r="BC562" s="3"/>
      <c r="BD562" s="3"/>
      <c r="BE562" s="3"/>
      <c r="BF562" s="3"/>
      <c r="BG562" s="3"/>
      <c r="BH562" s="3"/>
      <c r="BI562" s="3"/>
    </row>
    <row r="563" spans="1:61" ht="28.5" customHeight="1">
      <c r="B563" s="52" t="s">
        <v>645</v>
      </c>
      <c r="C563" s="1424" t="s">
        <v>2740</v>
      </c>
      <c r="D563" s="1424"/>
      <c r="E563" s="1424"/>
      <c r="F563" s="1424"/>
      <c r="G563" s="1424"/>
      <c r="H563" s="1424"/>
      <c r="I563" s="1424"/>
      <c r="J563" s="1424"/>
      <c r="K563" s="1424"/>
      <c r="L563" s="1424"/>
      <c r="M563" s="1425" t="s">
        <v>2120</v>
      </c>
      <c r="N563" s="1425"/>
      <c r="O563" s="1425"/>
      <c r="P563" s="1425"/>
      <c r="Q563" s="1411">
        <f>30*12</f>
        <v>360</v>
      </c>
      <c r="R563" s="1412"/>
      <c r="S563" s="1413"/>
      <c r="T563" s="1411"/>
      <c r="U563" s="1412"/>
      <c r="V563" s="1413"/>
      <c r="W563" s="1503">
        <v>0.01</v>
      </c>
      <c r="X563" s="1504"/>
      <c r="Y563" s="1505"/>
      <c r="Z563" s="1430" t="s">
        <v>2734</v>
      </c>
      <c r="AA563" s="1430"/>
      <c r="AB563" s="1430"/>
      <c r="AC563" s="1430"/>
      <c r="AD563" s="1430"/>
      <c r="AE563" s="1480"/>
      <c r="AF563" s="1481"/>
      <c r="AG563" s="1481"/>
      <c r="AH563" s="1482"/>
      <c r="AI563" s="1466"/>
      <c r="AJ563" s="1467"/>
      <c r="AK563" s="1467"/>
      <c r="AL563" s="1468"/>
      <c r="AM563" s="1463">
        <v>4896000</v>
      </c>
      <c r="AN563" s="1464"/>
      <c r="AO563" s="1464"/>
      <c r="AP563" s="1464"/>
      <c r="AQ563" s="1464"/>
      <c r="AR563" s="1464"/>
      <c r="AS563" s="1465"/>
      <c r="AT563" s="1148" t="str">
        <f t="shared" si="0"/>
        <v/>
      </c>
      <c r="BB563" s="3"/>
      <c r="BC563" s="3"/>
      <c r="BD563" s="3"/>
      <c r="BE563" s="3"/>
      <c r="BF563" s="3"/>
      <c r="BG563" s="3"/>
      <c r="BH563" s="3"/>
      <c r="BI563" s="3"/>
    </row>
    <row r="564" spans="1:61" ht="12.95" customHeight="1">
      <c r="B564" s="52" t="s">
        <v>361</v>
      </c>
      <c r="C564" s="1424"/>
      <c r="D564" s="1424"/>
      <c r="E564" s="1424"/>
      <c r="F564" s="1424"/>
      <c r="G564" s="1424"/>
      <c r="H564" s="1424"/>
      <c r="I564" s="1424"/>
      <c r="J564" s="1424"/>
      <c r="K564" s="1424"/>
      <c r="L564" s="1424"/>
      <c r="M564" s="1425" t="s">
        <v>1182</v>
      </c>
      <c r="N564" s="1425"/>
      <c r="O564" s="1425"/>
      <c r="P564" s="1425"/>
      <c r="Q564" s="1411"/>
      <c r="R564" s="1412"/>
      <c r="S564" s="1413"/>
      <c r="T564" s="1411"/>
      <c r="U564" s="1412"/>
      <c r="V564" s="1413"/>
      <c r="W564" s="1503"/>
      <c r="X564" s="1504"/>
      <c r="Y564" s="1505"/>
      <c r="Z564" s="1430" t="s">
        <v>1182</v>
      </c>
      <c r="AA564" s="1430"/>
      <c r="AB564" s="1430"/>
      <c r="AC564" s="1430"/>
      <c r="AD564" s="1430"/>
      <c r="AE564" s="1480"/>
      <c r="AF564" s="1481"/>
      <c r="AG564" s="1481"/>
      <c r="AH564" s="1482"/>
      <c r="AI564" s="1466"/>
      <c r="AJ564" s="1467"/>
      <c r="AK564" s="1467"/>
      <c r="AL564" s="1468"/>
      <c r="AM564" s="1463"/>
      <c r="AN564" s="1464"/>
      <c r="AO564" s="1464"/>
      <c r="AP564" s="1464"/>
      <c r="AQ564" s="1464"/>
      <c r="AR564" s="1464"/>
      <c r="AS564" s="1465"/>
      <c r="AT564" s="1148" t="str">
        <f t="shared" si="0"/>
        <v/>
      </c>
      <c r="BB564" s="3"/>
      <c r="BC564" s="3"/>
      <c r="BD564" s="3"/>
      <c r="BE564" s="3"/>
      <c r="BF564" s="3"/>
      <c r="BG564" s="3"/>
      <c r="BH564" s="3"/>
      <c r="BI564" s="3"/>
    </row>
    <row r="565" spans="1:61" ht="12.95" customHeight="1">
      <c r="B565" s="52" t="s">
        <v>362</v>
      </c>
      <c r="C565" s="1424"/>
      <c r="D565" s="1424"/>
      <c r="E565" s="1424"/>
      <c r="F565" s="1424"/>
      <c r="G565" s="1424"/>
      <c r="H565" s="1424"/>
      <c r="I565" s="1424"/>
      <c r="J565" s="1424"/>
      <c r="K565" s="1424"/>
      <c r="L565" s="1424"/>
      <c r="M565" s="1425" t="s">
        <v>1182</v>
      </c>
      <c r="N565" s="1425"/>
      <c r="O565" s="1425"/>
      <c r="P565" s="1425"/>
      <c r="Q565" s="1411"/>
      <c r="R565" s="1412"/>
      <c r="S565" s="1413"/>
      <c r="T565" s="1411"/>
      <c r="U565" s="1412"/>
      <c r="V565" s="1413"/>
      <c r="W565" s="1503"/>
      <c r="X565" s="1504"/>
      <c r="Y565" s="1505"/>
      <c r="Z565" s="1430" t="s">
        <v>1182</v>
      </c>
      <c r="AA565" s="1430"/>
      <c r="AB565" s="1430"/>
      <c r="AC565" s="1430"/>
      <c r="AD565" s="1430"/>
      <c r="AE565" s="1480"/>
      <c r="AF565" s="1481"/>
      <c r="AG565" s="1481"/>
      <c r="AH565" s="1482"/>
      <c r="AI565" s="1466"/>
      <c r="AJ565" s="1467"/>
      <c r="AK565" s="1467"/>
      <c r="AL565" s="1468"/>
      <c r="AM565" s="1463"/>
      <c r="AN565" s="1464"/>
      <c r="AO565" s="1464"/>
      <c r="AP565" s="1464"/>
      <c r="AQ565" s="1464"/>
      <c r="AR565" s="1464"/>
      <c r="AS565" s="1465"/>
      <c r="AT565" s="1148" t="str">
        <f t="shared" si="0"/>
        <v/>
      </c>
      <c r="BB565" s="3"/>
      <c r="BC565" s="3"/>
      <c r="BD565" s="3"/>
      <c r="BE565" s="3"/>
      <c r="BF565" s="3"/>
      <c r="BG565" s="3"/>
      <c r="BH565" s="3"/>
      <c r="BI565" s="3"/>
    </row>
    <row r="566" spans="1:61" ht="12.95" customHeight="1">
      <c r="B566" s="1513" t="s">
        <v>127</v>
      </c>
      <c r="C566" s="1514"/>
      <c r="D566" s="1514"/>
      <c r="E566" s="1514"/>
      <c r="F566" s="1514"/>
      <c r="G566" s="1514"/>
      <c r="H566" s="1514"/>
      <c r="I566" s="1514"/>
      <c r="J566" s="1514"/>
      <c r="K566" s="1514"/>
      <c r="L566" s="1514"/>
      <c r="M566" s="1514"/>
      <c r="N566" s="1514"/>
      <c r="O566" s="1514"/>
      <c r="P566" s="1514"/>
      <c r="Q566" s="1514"/>
      <c r="R566" s="1514"/>
      <c r="S566" s="1514"/>
      <c r="T566" s="1514"/>
      <c r="U566" s="1515"/>
      <c r="V566" s="1514"/>
      <c r="W566" s="1514"/>
      <c r="X566" s="1514"/>
      <c r="Y566" s="1514"/>
      <c r="Z566" s="1514"/>
      <c r="AA566" s="1514"/>
      <c r="AB566" s="1514"/>
      <c r="AC566" s="1514"/>
      <c r="AD566" s="1514"/>
      <c r="AE566" s="1514"/>
      <c r="AF566" s="1514"/>
      <c r="AG566" s="1514"/>
      <c r="AH566" s="1514"/>
      <c r="AI566" s="1514"/>
      <c r="AJ566" s="1514"/>
      <c r="AK566" s="1514"/>
      <c r="AL566" s="1516"/>
      <c r="AM566" s="1473">
        <f>SUM(AM554:AS565)</f>
        <v>72842415</v>
      </c>
      <c r="AN566" s="1474"/>
      <c r="AO566" s="1474"/>
      <c r="AP566" s="1474"/>
      <c r="AQ566" s="1474"/>
      <c r="AR566" s="1474"/>
      <c r="AS566" s="1475"/>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96" t="str">
        <f>C554</f>
        <v>Tax Exempt Construction Loan - Citibank</v>
      </c>
      <c r="H568" s="1496"/>
      <c r="I568" s="1496"/>
      <c r="J568" s="1496"/>
      <c r="K568" s="1496"/>
      <c r="L568" s="1496"/>
      <c r="M568" s="1496"/>
      <c r="N568" s="1496"/>
      <c r="O568" s="1496"/>
      <c r="P568" s="1496"/>
      <c r="Q568" s="1496"/>
      <c r="R568" s="1496"/>
      <c r="S568" s="8"/>
      <c r="T568" s="55" t="s">
        <v>113</v>
      </c>
      <c r="U568" t="s">
        <v>463</v>
      </c>
      <c r="Z568" s="1496" t="str">
        <f>C555</f>
        <v>Taxable Construction Loan - Citibank</v>
      </c>
      <c r="AA568" s="1496"/>
      <c r="AB568" s="1496"/>
      <c r="AC568" s="1496"/>
      <c r="AD568" s="1496"/>
      <c r="AE568" s="1496"/>
      <c r="AF568" s="1496"/>
      <c r="AG568" s="1496"/>
      <c r="AH568" s="1496"/>
      <c r="AI568" s="1496"/>
      <c r="AJ568" s="1496"/>
      <c r="AK568" s="1496"/>
      <c r="BB568" s="3"/>
      <c r="BC568" s="3"/>
      <c r="BD568" s="3"/>
      <c r="BE568" s="3"/>
      <c r="BF568" s="3"/>
      <c r="BG568" s="3"/>
      <c r="BH568" s="3"/>
      <c r="BI568" s="3"/>
    </row>
    <row r="569" spans="1:61" ht="12.95" customHeight="1">
      <c r="A569" s="22"/>
      <c r="B569" t="s">
        <v>85</v>
      </c>
      <c r="G569" s="1423" t="s">
        <v>2743</v>
      </c>
      <c r="H569" s="1423"/>
      <c r="I569" s="1423"/>
      <c r="J569" s="1423"/>
      <c r="K569" s="1423"/>
      <c r="L569" s="1423"/>
      <c r="M569" s="1423"/>
      <c r="N569" s="1423"/>
      <c r="O569" s="1423"/>
      <c r="P569" s="1423"/>
      <c r="Q569" s="1423"/>
      <c r="R569" s="1423"/>
      <c r="S569" s="8"/>
      <c r="T569" s="22"/>
      <c r="U569" t="s">
        <v>85</v>
      </c>
      <c r="Z569" s="1423" t="s">
        <v>2743</v>
      </c>
      <c r="AA569" s="1423"/>
      <c r="AB569" s="1423"/>
      <c r="AC569" s="1423"/>
      <c r="AD569" s="1423"/>
      <c r="AE569" s="1423"/>
      <c r="AF569" s="1423"/>
      <c r="AG569" s="1423"/>
      <c r="AH569" s="1423"/>
      <c r="AI569" s="1423"/>
      <c r="AJ569" s="1423"/>
      <c r="AK569" s="1423"/>
      <c r="BB569" s="3"/>
      <c r="BC569" s="3"/>
      <c r="BD569" s="3"/>
      <c r="BE569" s="3"/>
      <c r="BF569" s="3"/>
      <c r="BG569" s="3"/>
      <c r="BH569" s="3"/>
      <c r="BI569" s="3"/>
    </row>
    <row r="570" spans="1:61" ht="12.95" customHeight="1">
      <c r="A570" s="22"/>
      <c r="B570" t="s">
        <v>580</v>
      </c>
      <c r="G570" s="1423" t="s">
        <v>2744</v>
      </c>
      <c r="H570" s="1423"/>
      <c r="I570" s="1423"/>
      <c r="J570" s="1423"/>
      <c r="K570" s="1423"/>
      <c r="L570" s="1423"/>
      <c r="M570" s="1423"/>
      <c r="N570" s="1423"/>
      <c r="O570" s="1423"/>
      <c r="P570" s="1423"/>
      <c r="Q570" s="1423"/>
      <c r="R570" s="1423"/>
      <c r="T570" s="22"/>
      <c r="U570" t="s">
        <v>580</v>
      </c>
      <c r="Z570" s="1377" t="s">
        <v>2744</v>
      </c>
      <c r="AA570" s="1377"/>
      <c r="AB570" s="1377"/>
      <c r="AC570" s="1377"/>
      <c r="AD570" s="1377"/>
      <c r="AE570" s="1377"/>
      <c r="AF570" s="1377"/>
      <c r="AG570" s="1377"/>
      <c r="AH570" s="1377"/>
      <c r="AI570" s="1377"/>
      <c r="AJ570" s="1377"/>
      <c r="AK570" s="1377"/>
      <c r="BB570" s="3"/>
      <c r="BC570" s="3"/>
      <c r="BD570" s="3"/>
      <c r="BE570" s="3"/>
      <c r="BF570" s="3"/>
      <c r="BG570" s="3"/>
      <c r="BH570" s="3"/>
      <c r="BI570" s="3"/>
    </row>
    <row r="571" spans="1:61" ht="12.95" customHeight="1">
      <c r="A571" s="22"/>
      <c r="B571" t="s">
        <v>17</v>
      </c>
      <c r="G571" s="1423" t="s">
        <v>2745</v>
      </c>
      <c r="H571" s="1423"/>
      <c r="I571" s="1423"/>
      <c r="J571" s="1423"/>
      <c r="K571" s="1423"/>
      <c r="L571" s="1423"/>
      <c r="M571" s="1423"/>
      <c r="N571" s="1423"/>
      <c r="O571" s="1423"/>
      <c r="P571" s="1423"/>
      <c r="Q571" s="1423"/>
      <c r="R571" s="1423"/>
      <c r="S571" s="8"/>
      <c r="T571" s="22"/>
      <c r="U571" t="s">
        <v>17</v>
      </c>
      <c r="Z571" s="1377" t="s">
        <v>2745</v>
      </c>
      <c r="AA571" s="1377"/>
      <c r="AB571" s="1377"/>
      <c r="AC571" s="1377"/>
      <c r="AD571" s="1377"/>
      <c r="AE571" s="1377"/>
      <c r="AF571" s="1377"/>
      <c r="AG571" s="1377"/>
      <c r="AH571" s="1377"/>
      <c r="AI571" s="1377"/>
      <c r="AJ571" s="1377"/>
      <c r="AK571" s="1377"/>
      <c r="BB571" s="3"/>
      <c r="BC571" s="3"/>
      <c r="BD571" s="3"/>
      <c r="BE571" s="3"/>
      <c r="BF571" s="3"/>
      <c r="BG571" s="3"/>
      <c r="BH571" s="3"/>
      <c r="BI571" s="3"/>
    </row>
    <row r="572" spans="1:61" ht="12.95" customHeight="1">
      <c r="A572" s="22"/>
      <c r="B572" t="s">
        <v>316</v>
      </c>
      <c r="G572" s="1492" t="s">
        <v>2746</v>
      </c>
      <c r="H572" s="1492"/>
      <c r="I572" s="1492"/>
      <c r="J572" s="1492"/>
      <c r="K572" s="1492"/>
      <c r="L572" s="1492"/>
      <c r="O572" s="33" t="s">
        <v>206</v>
      </c>
      <c r="P572" s="1472"/>
      <c r="Q572" s="1472"/>
      <c r="R572" s="1472"/>
      <c r="S572" s="10"/>
      <c r="T572" s="22"/>
      <c r="U572" t="s">
        <v>316</v>
      </c>
      <c r="Z572" s="1492" t="s">
        <v>2746</v>
      </c>
      <c r="AA572" s="1492"/>
      <c r="AB572" s="1492"/>
      <c r="AC572" s="1492"/>
      <c r="AD572" s="1492"/>
      <c r="AE572" s="1492"/>
      <c r="AH572" s="33" t="s">
        <v>206</v>
      </c>
      <c r="AI572" s="1472"/>
      <c r="AJ572" s="1472"/>
      <c r="AK572" s="1472"/>
      <c r="BB572" s="3"/>
      <c r="BC572" s="3"/>
      <c r="BD572" s="3"/>
      <c r="BE572" s="3"/>
      <c r="BF572" s="3"/>
      <c r="BG572" s="3"/>
      <c r="BH572" s="3"/>
      <c r="BI572" s="3"/>
    </row>
    <row r="573" spans="1:61" ht="12.95" customHeight="1">
      <c r="A573" s="22"/>
      <c r="B573" t="s">
        <v>18</v>
      </c>
      <c r="H573" s="1423" t="s">
        <v>2747</v>
      </c>
      <c r="I573" s="1423"/>
      <c r="J573" s="1423"/>
      <c r="K573" s="1423"/>
      <c r="L573" s="1423"/>
      <c r="M573" s="1423"/>
      <c r="N573" s="1423"/>
      <c r="O573" s="1423"/>
      <c r="P573" s="1423"/>
      <c r="Q573" s="1423"/>
      <c r="R573" s="1423"/>
      <c r="S573" s="8"/>
      <c r="T573" s="22"/>
      <c r="U573" t="s">
        <v>18</v>
      </c>
      <c r="AA573" s="1549" t="s">
        <v>2799</v>
      </c>
      <c r="AB573" s="1423"/>
      <c r="AC573" s="1423"/>
      <c r="AD573" s="1423"/>
      <c r="AE573" s="1423"/>
      <c r="AF573" s="1423"/>
      <c r="AG573" s="1423"/>
      <c r="AH573" s="1423"/>
      <c r="AI573" s="1423"/>
      <c r="AJ573" s="1423"/>
      <c r="AK573" s="1423"/>
      <c r="BB573" s="3"/>
      <c r="BC573" s="3"/>
      <c r="BD573" s="3"/>
      <c r="BE573" s="3"/>
      <c r="BF573" s="3"/>
      <c r="BG573" s="3"/>
      <c r="BH573" s="3"/>
      <c r="BI573" s="3"/>
    </row>
    <row r="574" spans="1:61" ht="12.95" customHeight="1">
      <c r="A574" s="22"/>
      <c r="B574" s="320" t="s">
        <v>1183</v>
      </c>
      <c r="H574" s="8"/>
      <c r="I574" s="8"/>
      <c r="J574" s="8"/>
      <c r="K574" s="8"/>
      <c r="L574" s="8"/>
      <c r="M574" s="2697" t="s">
        <v>2800</v>
      </c>
      <c r="N574" s="1517"/>
      <c r="O574" s="1517"/>
      <c r="P574" s="1517"/>
      <c r="Q574" s="1517"/>
      <c r="R574" s="1517"/>
      <c r="S574" s="8"/>
      <c r="T574" s="22"/>
      <c r="U574" s="320" t="s">
        <v>1183</v>
      </c>
      <c r="AA574" s="8"/>
      <c r="AB574" s="8"/>
      <c r="AC574" s="8"/>
      <c r="AD574" s="8"/>
      <c r="AE574" s="8"/>
      <c r="AF574" s="1517" t="s">
        <v>2800</v>
      </c>
      <c r="AG574" s="1517"/>
      <c r="AH574" s="1517"/>
      <c r="AI574" s="1517"/>
      <c r="AJ574" s="1517"/>
      <c r="AK574" s="1517"/>
      <c r="BB574" s="3"/>
      <c r="BC574" s="3"/>
      <c r="BD574" s="3"/>
      <c r="BE574" s="3"/>
      <c r="BF574" s="3"/>
      <c r="BG574" s="3"/>
      <c r="BH574" s="3"/>
      <c r="BI574" s="3"/>
    </row>
    <row r="575" spans="1:61" ht="12.95" customHeight="1">
      <c r="A575" s="22"/>
      <c r="B575" t="s">
        <v>20</v>
      </c>
      <c r="N575" s="1508" t="s">
        <v>545</v>
      </c>
      <c r="O575" s="1508"/>
      <c r="T575" s="22"/>
      <c r="U575" t="s">
        <v>20</v>
      </c>
      <c r="AG575" s="1508" t="s">
        <v>545</v>
      </c>
      <c r="AH575" s="150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96" t="str">
        <f>C556</f>
        <v xml:space="preserve">Seller Note - Castlewood Terrace, Inc. </v>
      </c>
      <c r="H577" s="1496"/>
      <c r="I577" s="1496"/>
      <c r="J577" s="1496"/>
      <c r="K577" s="1496"/>
      <c r="L577" s="1496"/>
      <c r="M577" s="1496"/>
      <c r="N577" s="1496"/>
      <c r="O577" s="1496"/>
      <c r="P577" s="1496"/>
      <c r="Q577" s="1496"/>
      <c r="R577" s="1496"/>
      <c r="T577" s="55" t="s">
        <v>581</v>
      </c>
      <c r="U577" t="s">
        <v>463</v>
      </c>
      <c r="Z577" s="1496" t="str">
        <f>C557</f>
        <v>Seller Note - Castlewood II, Corporation</v>
      </c>
      <c r="AA577" s="1496"/>
      <c r="AB577" s="1496"/>
      <c r="AC577" s="1496"/>
      <c r="AD577" s="1496"/>
      <c r="AE577" s="1496"/>
      <c r="AF577" s="1496"/>
      <c r="AG577" s="1496"/>
      <c r="AH577" s="1496"/>
      <c r="AI577" s="1496"/>
      <c r="AJ577" s="1496"/>
      <c r="AK577" s="1496"/>
      <c r="BB577" s="3"/>
      <c r="BC577" s="3"/>
    </row>
    <row r="578" spans="1:55" ht="12.95" customHeight="1">
      <c r="A578" s="22"/>
      <c r="B578" t="s">
        <v>85</v>
      </c>
      <c r="G578" s="1423" t="s">
        <v>2717</v>
      </c>
      <c r="H578" s="1423"/>
      <c r="I578" s="1423"/>
      <c r="J578" s="1423"/>
      <c r="K578" s="1423"/>
      <c r="L578" s="1423"/>
      <c r="M578" s="1423"/>
      <c r="N578" s="1423"/>
      <c r="O578" s="1423"/>
      <c r="P578" s="1423"/>
      <c r="Q578" s="1423"/>
      <c r="R578" s="1423"/>
      <c r="T578" s="22"/>
      <c r="U578" t="s">
        <v>85</v>
      </c>
      <c r="Z578" s="1423" t="s">
        <v>2717</v>
      </c>
      <c r="AA578" s="1423"/>
      <c r="AB578" s="1423"/>
      <c r="AC578" s="1423"/>
      <c r="AD578" s="1423"/>
      <c r="AE578" s="1423"/>
      <c r="AF578" s="1423"/>
      <c r="AG578" s="1423"/>
      <c r="AH578" s="1423"/>
      <c r="AI578" s="1423"/>
      <c r="AJ578" s="1423"/>
      <c r="AK578" s="1423"/>
      <c r="BB578" s="3"/>
      <c r="BC578" s="3"/>
    </row>
    <row r="579" spans="1:55" ht="12.95" customHeight="1">
      <c r="A579" s="22"/>
      <c r="B579" t="s">
        <v>580</v>
      </c>
      <c r="G579" s="1377" t="s">
        <v>2706</v>
      </c>
      <c r="H579" s="1377"/>
      <c r="I579" s="1377"/>
      <c r="J579" s="1377"/>
      <c r="K579" s="1377"/>
      <c r="L579" s="1377"/>
      <c r="M579" s="1377"/>
      <c r="N579" s="1377"/>
      <c r="O579" s="1377"/>
      <c r="P579" s="1377"/>
      <c r="Q579" s="1377"/>
      <c r="R579" s="1377"/>
      <c r="T579" s="22"/>
      <c r="U579" t="s">
        <v>580</v>
      </c>
      <c r="Z579" s="1377" t="s">
        <v>2706</v>
      </c>
      <c r="AA579" s="1377"/>
      <c r="AB579" s="1377"/>
      <c r="AC579" s="1377"/>
      <c r="AD579" s="1377"/>
      <c r="AE579" s="1377"/>
      <c r="AF579" s="1377"/>
      <c r="AG579" s="1377"/>
      <c r="AH579" s="1377"/>
      <c r="AI579" s="1377"/>
      <c r="AJ579" s="1377"/>
      <c r="AK579" s="1377"/>
      <c r="BB579" s="3"/>
      <c r="BC579" s="3"/>
    </row>
    <row r="580" spans="1:55" ht="12.95" customHeight="1">
      <c r="A580" s="22"/>
      <c r="B580" t="s">
        <v>17</v>
      </c>
      <c r="G580" s="1377" t="s">
        <v>2748</v>
      </c>
      <c r="H580" s="1377"/>
      <c r="I580" s="1377"/>
      <c r="J580" s="1377"/>
      <c r="K580" s="1377"/>
      <c r="L580" s="1377"/>
      <c r="M580" s="1377"/>
      <c r="N580" s="1377"/>
      <c r="O580" s="1377"/>
      <c r="P580" s="1377"/>
      <c r="Q580" s="1377"/>
      <c r="R580" s="1377"/>
      <c r="T580" s="22"/>
      <c r="U580" t="s">
        <v>17</v>
      </c>
      <c r="Z580" s="1377" t="s">
        <v>2748</v>
      </c>
      <c r="AA580" s="1377"/>
      <c r="AB580" s="1377"/>
      <c r="AC580" s="1377"/>
      <c r="AD580" s="1377"/>
      <c r="AE580" s="1377"/>
      <c r="AF580" s="1377"/>
      <c r="AG580" s="1377"/>
      <c r="AH580" s="1377"/>
      <c r="AI580" s="1377"/>
      <c r="AJ580" s="1377"/>
      <c r="AK580" s="1377"/>
      <c r="BB580" s="3"/>
      <c r="BC580" s="3"/>
    </row>
    <row r="581" spans="1:55" ht="12.95" customHeight="1">
      <c r="A581" s="22"/>
      <c r="B581" t="s">
        <v>316</v>
      </c>
      <c r="G581" s="1492" t="s">
        <v>2749</v>
      </c>
      <c r="H581" s="1492"/>
      <c r="I581" s="1492"/>
      <c r="J581" s="1492"/>
      <c r="K581" s="1492"/>
      <c r="L581" s="1492"/>
      <c r="O581" s="33" t="s">
        <v>206</v>
      </c>
      <c r="P581" s="1472"/>
      <c r="Q581" s="1472"/>
      <c r="R581" s="1472"/>
      <c r="T581" s="22"/>
      <c r="U581" t="s">
        <v>316</v>
      </c>
      <c r="Z581" s="1492" t="s">
        <v>2749</v>
      </c>
      <c r="AA581" s="1492"/>
      <c r="AB581" s="1492"/>
      <c r="AC581" s="1492"/>
      <c r="AD581" s="1492"/>
      <c r="AE581" s="1492"/>
      <c r="AH581" s="33" t="s">
        <v>206</v>
      </c>
      <c r="AI581" s="1472"/>
      <c r="AJ581" s="1472"/>
      <c r="AK581" s="1472"/>
      <c r="BB581" s="3"/>
      <c r="BC581" s="3"/>
    </row>
    <row r="582" spans="1:55" ht="12.95" customHeight="1">
      <c r="A582" s="22"/>
      <c r="B582" t="s">
        <v>18</v>
      </c>
      <c r="H582" s="1423" t="s">
        <v>2114</v>
      </c>
      <c r="I582" s="1423"/>
      <c r="J582" s="1423"/>
      <c r="K582" s="1423"/>
      <c r="L582" s="1423"/>
      <c r="M582" s="1423"/>
      <c r="N582" s="1423"/>
      <c r="O582" s="1423"/>
      <c r="P582" s="1423"/>
      <c r="Q582" s="1423"/>
      <c r="R582" s="1423"/>
      <c r="T582" s="22"/>
      <c r="U582" t="s">
        <v>18</v>
      </c>
      <c r="AA582" s="1423" t="s">
        <v>2114</v>
      </c>
      <c r="AB582" s="1423"/>
      <c r="AC582" s="1423"/>
      <c r="AD582" s="1423"/>
      <c r="AE582" s="1423"/>
      <c r="AF582" s="1423"/>
      <c r="AG582" s="1423"/>
      <c r="AH582" s="1423"/>
      <c r="AI582" s="1423"/>
      <c r="AJ582" s="1423"/>
      <c r="AK582" s="1423"/>
      <c r="BB582" s="3"/>
      <c r="BC582" s="3"/>
    </row>
    <row r="583" spans="1:55" ht="12.95" customHeight="1">
      <c r="A583" s="22"/>
      <c r="B583" t="s">
        <v>20</v>
      </c>
      <c r="N583" s="1508" t="s">
        <v>545</v>
      </c>
      <c r="O583" s="1508"/>
      <c r="T583" s="22"/>
      <c r="U583" t="s">
        <v>20</v>
      </c>
      <c r="AG583" s="1508" t="s">
        <v>545</v>
      </c>
      <c r="AH583" s="1508"/>
      <c r="BB583" s="3"/>
      <c r="BC583" s="3"/>
    </row>
    <row r="584" spans="1:55" ht="12.95" customHeight="1">
      <c r="A584" s="22"/>
      <c r="T584" s="22"/>
      <c r="BB584" s="3"/>
      <c r="BC584" s="3"/>
    </row>
    <row r="585" spans="1:55" ht="12.95" customHeight="1">
      <c r="A585" s="55" t="s">
        <v>762</v>
      </c>
      <c r="B585" t="s">
        <v>463</v>
      </c>
      <c r="G585" s="1496" t="str">
        <f>C558</f>
        <v>Reserve Carryover - Castlewood Terrace, Inc.</v>
      </c>
      <c r="H585" s="1496"/>
      <c r="I585" s="1496"/>
      <c r="J585" s="1496"/>
      <c r="K585" s="1496"/>
      <c r="L585" s="1496"/>
      <c r="M585" s="1496"/>
      <c r="N585" s="1496"/>
      <c r="O585" s="1496"/>
      <c r="P585" s="1496"/>
      <c r="Q585" s="1496"/>
      <c r="R585" s="1496"/>
      <c r="T585" s="55" t="s">
        <v>584</v>
      </c>
      <c r="U585" t="s">
        <v>463</v>
      </c>
      <c r="Z585" s="1496" t="str">
        <f>C559</f>
        <v>Reserve Carryover - Castlewood II, Corporation</v>
      </c>
      <c r="AA585" s="1496"/>
      <c r="AB585" s="1496"/>
      <c r="AC585" s="1496"/>
      <c r="AD585" s="1496"/>
      <c r="AE585" s="1496"/>
      <c r="AF585" s="1496"/>
      <c r="AG585" s="1496"/>
      <c r="AH585" s="1496"/>
      <c r="AI585" s="1496"/>
      <c r="AJ585" s="1496"/>
      <c r="AK585" s="1496"/>
      <c r="BB585" s="3"/>
      <c r="BC585" s="3"/>
    </row>
    <row r="586" spans="1:55" ht="12.95" customHeight="1">
      <c r="A586" s="22"/>
      <c r="B586" t="s">
        <v>85</v>
      </c>
      <c r="G586" s="1423" t="s">
        <v>2717</v>
      </c>
      <c r="H586" s="1423"/>
      <c r="I586" s="1423"/>
      <c r="J586" s="1423"/>
      <c r="K586" s="1423"/>
      <c r="L586" s="1423"/>
      <c r="M586" s="1423"/>
      <c r="N586" s="1423"/>
      <c r="O586" s="1423"/>
      <c r="P586" s="1423"/>
      <c r="Q586" s="1423"/>
      <c r="R586" s="1423"/>
      <c r="T586" s="22"/>
      <c r="U586" t="s">
        <v>85</v>
      </c>
      <c r="Z586" s="1423" t="s">
        <v>2717</v>
      </c>
      <c r="AA586" s="1423"/>
      <c r="AB586" s="1423"/>
      <c r="AC586" s="1423"/>
      <c r="AD586" s="1423"/>
      <c r="AE586" s="1423"/>
      <c r="AF586" s="1423"/>
      <c r="AG586" s="1423"/>
      <c r="AH586" s="1423"/>
      <c r="AI586" s="1423"/>
      <c r="AJ586" s="1423"/>
      <c r="AK586" s="1423"/>
      <c r="BB586" s="3"/>
      <c r="BC586" s="3"/>
    </row>
    <row r="587" spans="1:55" ht="12.95" customHeight="1">
      <c r="A587" s="22"/>
      <c r="B587" t="s">
        <v>580</v>
      </c>
      <c r="G587" s="1423" t="s">
        <v>2706</v>
      </c>
      <c r="H587" s="1423"/>
      <c r="I587" s="1423"/>
      <c r="J587" s="1423"/>
      <c r="K587" s="1423"/>
      <c r="L587" s="1423"/>
      <c r="M587" s="1423"/>
      <c r="N587" s="1423"/>
      <c r="O587" s="1423"/>
      <c r="P587" s="1423"/>
      <c r="Q587" s="1423"/>
      <c r="R587" s="1423"/>
      <c r="T587" s="22"/>
      <c r="U587" t="s">
        <v>580</v>
      </c>
      <c r="Z587" s="1377" t="s">
        <v>2706</v>
      </c>
      <c r="AA587" s="1377"/>
      <c r="AB587" s="1377"/>
      <c r="AC587" s="1377"/>
      <c r="AD587" s="1377"/>
      <c r="AE587" s="1377"/>
      <c r="AF587" s="1377"/>
      <c r="AG587" s="1377"/>
      <c r="AH587" s="1377"/>
      <c r="AI587" s="1377"/>
      <c r="AJ587" s="1377"/>
      <c r="AK587" s="1377"/>
      <c r="BB587" s="3"/>
      <c r="BC587" s="3"/>
    </row>
    <row r="588" spans="1:55" ht="12.95" customHeight="1">
      <c r="A588" s="22"/>
      <c r="B588" t="s">
        <v>17</v>
      </c>
      <c r="G588" s="1423" t="s">
        <v>2748</v>
      </c>
      <c r="H588" s="1423"/>
      <c r="I588" s="1423"/>
      <c r="J588" s="1423"/>
      <c r="K588" s="1423"/>
      <c r="L588" s="1423"/>
      <c r="M588" s="1423"/>
      <c r="N588" s="1423"/>
      <c r="O588" s="1423"/>
      <c r="P588" s="1423"/>
      <c r="Q588" s="1423"/>
      <c r="R588" s="1423"/>
      <c r="T588" s="22"/>
      <c r="U588" t="s">
        <v>17</v>
      </c>
      <c r="Z588" s="1377" t="s">
        <v>2748</v>
      </c>
      <c r="AA588" s="1377"/>
      <c r="AB588" s="1377"/>
      <c r="AC588" s="1377"/>
      <c r="AD588" s="1377"/>
      <c r="AE588" s="1377"/>
      <c r="AF588" s="1377"/>
      <c r="AG588" s="1377"/>
      <c r="AH588" s="1377"/>
      <c r="AI588" s="1377"/>
      <c r="AJ588" s="1377"/>
      <c r="AK588" s="1377"/>
    </row>
    <row r="589" spans="1:55" ht="12.95" customHeight="1">
      <c r="A589" s="22"/>
      <c r="B589" t="s">
        <v>316</v>
      </c>
      <c r="G589" s="1492" t="s">
        <v>2749</v>
      </c>
      <c r="H589" s="1492"/>
      <c r="I589" s="1492"/>
      <c r="J589" s="1492"/>
      <c r="K589" s="1492"/>
      <c r="L589" s="1492"/>
      <c r="O589" s="33" t="s">
        <v>206</v>
      </c>
      <c r="P589" s="1472"/>
      <c r="Q589" s="1472"/>
      <c r="R589" s="1472"/>
      <c r="T589" s="22"/>
      <c r="U589" t="s">
        <v>316</v>
      </c>
      <c r="Z589" s="1492" t="s">
        <v>2749</v>
      </c>
      <c r="AA589" s="1492"/>
      <c r="AB589" s="1492"/>
      <c r="AC589" s="1492"/>
      <c r="AD589" s="1492"/>
      <c r="AE589" s="1492"/>
      <c r="AH589" s="33" t="s">
        <v>206</v>
      </c>
      <c r="AI589" s="1472"/>
      <c r="AJ589" s="1472"/>
      <c r="AK589" s="1472"/>
      <c r="AZ589" s="3"/>
      <c r="BA589" s="3"/>
      <c r="BB589" s="3"/>
      <c r="BC589" s="3"/>
    </row>
    <row r="590" spans="1:55" ht="12.95" customHeight="1">
      <c r="A590" s="22"/>
      <c r="B590" t="s">
        <v>18</v>
      </c>
      <c r="H590" s="1423" t="s">
        <v>2750</v>
      </c>
      <c r="I590" s="1423"/>
      <c r="J590" s="1423"/>
      <c r="K590" s="1423"/>
      <c r="L590" s="1423"/>
      <c r="M590" s="1423"/>
      <c r="N590" s="1423"/>
      <c r="O590" s="1423"/>
      <c r="P590" s="1423"/>
      <c r="Q590" s="1423"/>
      <c r="R590" s="1423"/>
      <c r="T590" s="22"/>
      <c r="U590" t="s">
        <v>18</v>
      </c>
      <c r="AA590" s="1423" t="s">
        <v>2750</v>
      </c>
      <c r="AB590" s="1423"/>
      <c r="AC590" s="1423"/>
      <c r="AD590" s="1423"/>
      <c r="AE590" s="1423"/>
      <c r="AF590" s="1423"/>
      <c r="AG590" s="1423"/>
      <c r="AH590" s="1423"/>
      <c r="AI590" s="1423"/>
      <c r="AJ590" s="1423"/>
      <c r="AK590" s="1423"/>
      <c r="AZ590" s="3"/>
      <c r="BA590" s="3"/>
      <c r="BB590" s="3"/>
      <c r="BC590" s="3"/>
    </row>
    <row r="591" spans="1:55" ht="12.95" customHeight="1">
      <c r="A591" s="22"/>
      <c r="B591" t="s">
        <v>20</v>
      </c>
      <c r="N591" s="1508" t="s">
        <v>545</v>
      </c>
      <c r="O591" s="1508"/>
      <c r="T591" s="22"/>
      <c r="U591" t="s">
        <v>20</v>
      </c>
      <c r="AG591" s="1508" t="s">
        <v>545</v>
      </c>
      <c r="AH591" s="1508"/>
      <c r="AZ591" s="3"/>
      <c r="BA591" s="3"/>
      <c r="BB591" s="3"/>
      <c r="BC591" s="3"/>
    </row>
    <row r="592" spans="1:55" ht="12.95" customHeight="1">
      <c r="A592" s="22"/>
      <c r="T592" s="22"/>
      <c r="AZ592" s="3"/>
      <c r="BA592" s="3"/>
      <c r="BB592" s="3"/>
      <c r="BC592" s="3"/>
    </row>
    <row r="593" spans="1:55" ht="12.95" customHeight="1">
      <c r="A593" s="55" t="s">
        <v>455</v>
      </c>
      <c r="B593" t="s">
        <v>463</v>
      </c>
      <c r="G593" s="1496" t="str">
        <f>C560</f>
        <v>Operating Income - Castlewood Terrace, LP</v>
      </c>
      <c r="H593" s="1496"/>
      <c r="I593" s="1496"/>
      <c r="J593" s="1496"/>
      <c r="K593" s="1496"/>
      <c r="L593" s="1496"/>
      <c r="M593" s="1496"/>
      <c r="N593" s="1496"/>
      <c r="O593" s="1496"/>
      <c r="P593" s="1496"/>
      <c r="Q593" s="1496"/>
      <c r="R593" s="1496"/>
      <c r="T593" s="55" t="s">
        <v>456</v>
      </c>
      <c r="U593" t="s">
        <v>463</v>
      </c>
      <c r="Z593" s="1496" t="str">
        <f>C561</f>
        <v>LIHTC Equity - Redstone Equity Partners</v>
      </c>
      <c r="AA593" s="1496"/>
      <c r="AB593" s="1496"/>
      <c r="AC593" s="1496"/>
      <c r="AD593" s="1496"/>
      <c r="AE593" s="1496"/>
      <c r="AF593" s="1496"/>
      <c r="AG593" s="1496"/>
      <c r="AH593" s="1496"/>
      <c r="AI593" s="1496"/>
      <c r="AJ593" s="1496"/>
      <c r="AK593" s="1496"/>
      <c r="AZ593" s="3"/>
      <c r="BA593" s="3"/>
      <c r="BB593" s="3"/>
      <c r="BC593" s="3"/>
    </row>
    <row r="594" spans="1:55" s="4" customFormat="1" ht="12.95" customHeight="1">
      <c r="A594" s="22"/>
      <c r="B594" t="s">
        <v>85</v>
      </c>
      <c r="C594"/>
      <c r="D594"/>
      <c r="E594"/>
      <c r="F594"/>
      <c r="G594" s="1423" t="s">
        <v>2626</v>
      </c>
      <c r="H594" s="1423"/>
      <c r="I594" s="1423"/>
      <c r="J594" s="1423"/>
      <c r="K594" s="1423"/>
      <c r="L594" s="1423"/>
      <c r="M594" s="1423"/>
      <c r="N594" s="1423"/>
      <c r="O594" s="1423"/>
      <c r="P594" s="1423"/>
      <c r="Q594" s="1423"/>
      <c r="R594" s="1423"/>
      <c r="S594"/>
      <c r="T594" s="22"/>
      <c r="U594" t="s">
        <v>85</v>
      </c>
      <c r="V594"/>
      <c r="W594"/>
      <c r="X594"/>
      <c r="Y594"/>
      <c r="Z594" s="1423" t="s">
        <v>2673</v>
      </c>
      <c r="AA594" s="1423"/>
      <c r="AB594" s="1423"/>
      <c r="AC594" s="1423"/>
      <c r="AD594" s="1423"/>
      <c r="AE594" s="1423"/>
      <c r="AF594" s="1423"/>
      <c r="AG594" s="1423"/>
      <c r="AH594" s="1423"/>
      <c r="AI594" s="1423"/>
      <c r="AJ594" s="1423"/>
      <c r="AK594" s="1423"/>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23" t="s">
        <v>2642</v>
      </c>
      <c r="H595" s="1423"/>
      <c r="I595" s="1423"/>
      <c r="J595" s="1423"/>
      <c r="K595" s="1423"/>
      <c r="L595" s="1423"/>
      <c r="M595" s="1423"/>
      <c r="N595" s="1423"/>
      <c r="O595" s="1423"/>
      <c r="P595" s="1423"/>
      <c r="Q595" s="1423"/>
      <c r="R595" s="1423"/>
      <c r="S595"/>
      <c r="T595" s="22"/>
      <c r="U595" t="s">
        <v>580</v>
      </c>
      <c r="V595"/>
      <c r="W595"/>
      <c r="X595"/>
      <c r="Y595"/>
      <c r="Z595" s="1377" t="s">
        <v>2674</v>
      </c>
      <c r="AA595" s="1377"/>
      <c r="AB595" s="1377"/>
      <c r="AC595" s="1377"/>
      <c r="AD595" s="1377"/>
      <c r="AE595" s="1377"/>
      <c r="AF595" s="1377"/>
      <c r="AG595" s="1377"/>
      <c r="AH595" s="1377"/>
      <c r="AI595" s="1377"/>
      <c r="AJ595" s="1377"/>
      <c r="AK595" s="137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23" t="s">
        <v>2620</v>
      </c>
      <c r="H596" s="1423"/>
      <c r="I596" s="1423"/>
      <c r="J596" s="1423"/>
      <c r="K596" s="1423"/>
      <c r="L596" s="1423"/>
      <c r="M596" s="1423"/>
      <c r="N596" s="1423"/>
      <c r="O596" s="1423"/>
      <c r="P596" s="1423"/>
      <c r="Q596" s="1423"/>
      <c r="R596" s="1423"/>
      <c r="S596"/>
      <c r="T596" s="22"/>
      <c r="U596" t="s">
        <v>17</v>
      </c>
      <c r="V596"/>
      <c r="W596"/>
      <c r="X596"/>
      <c r="Y596"/>
      <c r="Z596" s="1377" t="s">
        <v>2675</v>
      </c>
      <c r="AA596" s="1377"/>
      <c r="AB596" s="1377"/>
      <c r="AC596" s="1377"/>
      <c r="AD596" s="1377"/>
      <c r="AE596" s="1377"/>
      <c r="AF596" s="1377"/>
      <c r="AG596" s="1377"/>
      <c r="AH596" s="1377"/>
      <c r="AI596" s="1377"/>
      <c r="AJ596" s="1377"/>
      <c r="AK596" s="137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2" t="s">
        <v>2754</v>
      </c>
      <c r="H597" s="1492"/>
      <c r="I597" s="1492"/>
      <c r="J597" s="1492"/>
      <c r="K597" s="1492"/>
      <c r="L597" s="1492"/>
      <c r="M597"/>
      <c r="N597"/>
      <c r="O597" s="33" t="s">
        <v>206</v>
      </c>
      <c r="P597" s="1472"/>
      <c r="Q597" s="1472"/>
      <c r="R597" s="1472"/>
      <c r="S597"/>
      <c r="T597" s="22"/>
      <c r="U597" t="s">
        <v>316</v>
      </c>
      <c r="V597"/>
      <c r="W597"/>
      <c r="X597"/>
      <c r="Y597"/>
      <c r="Z597" s="1492" t="s">
        <v>2757</v>
      </c>
      <c r="AA597" s="1492"/>
      <c r="AB597" s="1492"/>
      <c r="AC597" s="1492"/>
      <c r="AD597" s="1492"/>
      <c r="AE597" s="1492"/>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549" t="s">
        <v>2801</v>
      </c>
      <c r="I598" s="1423"/>
      <c r="J598" s="1423"/>
      <c r="K598" s="1423"/>
      <c r="L598" s="1423"/>
      <c r="M598" s="1423"/>
      <c r="N598" s="1423"/>
      <c r="O598" s="1423"/>
      <c r="P598" s="1423"/>
      <c r="Q598" s="1423"/>
      <c r="R598" s="1423"/>
      <c r="S598"/>
      <c r="T598" s="22"/>
      <c r="U598" t="s">
        <v>18</v>
      </c>
      <c r="V598"/>
      <c r="W598"/>
      <c r="X598"/>
      <c r="Y598"/>
      <c r="Z598"/>
      <c r="AA598" s="1423" t="s">
        <v>2758</v>
      </c>
      <c r="AB598" s="1423"/>
      <c r="AC598" s="1423"/>
      <c r="AD598" s="1423"/>
      <c r="AE598" s="1423"/>
      <c r="AF598" s="1423"/>
      <c r="AG598" s="1423"/>
      <c r="AH598" s="1423"/>
      <c r="AI598" s="1423"/>
      <c r="AJ598" s="1423"/>
      <c r="AK598" s="1423"/>
      <c r="AL598"/>
      <c r="AM598"/>
      <c r="AN598"/>
      <c r="AO598"/>
      <c r="AP598"/>
      <c r="AQ598"/>
      <c r="AR598"/>
      <c r="AS598"/>
      <c r="AT598"/>
      <c r="AU598"/>
      <c r="AV598"/>
      <c r="AW598"/>
      <c r="AX598"/>
      <c r="AY598"/>
      <c r="BB598" s="3"/>
      <c r="BC598" s="3"/>
    </row>
    <row r="599" spans="1:55" ht="12.95" customHeight="1">
      <c r="A599" s="22"/>
      <c r="B599" t="s">
        <v>20</v>
      </c>
      <c r="N599" s="1508" t="s">
        <v>545</v>
      </c>
      <c r="O599" s="1508"/>
      <c r="T599" s="22"/>
      <c r="U599" t="s">
        <v>20</v>
      </c>
      <c r="AG599" s="1508" t="s">
        <v>545</v>
      </c>
      <c r="AH599" s="1508"/>
      <c r="BB599" s="3"/>
      <c r="BC599" s="3"/>
    </row>
    <row r="600" spans="1:55" ht="12.95" customHeight="1">
      <c r="A600" s="22"/>
      <c r="T600" s="22"/>
      <c r="BB600" s="3"/>
      <c r="BC600" s="3"/>
    </row>
    <row r="601" spans="1:55" ht="12.95" customHeight="1">
      <c r="A601" s="55" t="s">
        <v>461</v>
      </c>
      <c r="B601" t="s">
        <v>463</v>
      </c>
      <c r="G601" s="1496" t="str">
        <f>C562</f>
        <v xml:space="preserve">Costs Deferred until Conversion </v>
      </c>
      <c r="H601" s="1496"/>
      <c r="I601" s="1496"/>
      <c r="J601" s="1496"/>
      <c r="K601" s="1496"/>
      <c r="L601" s="1496"/>
      <c r="M601" s="1496"/>
      <c r="N601" s="1496"/>
      <c r="O601" s="1496"/>
      <c r="P601" s="1496"/>
      <c r="Q601" s="1496"/>
      <c r="R601" s="1496"/>
      <c r="T601" s="55" t="s">
        <v>645</v>
      </c>
      <c r="U601" t="s">
        <v>463</v>
      </c>
      <c r="Z601" s="1496" t="str">
        <f>C563</f>
        <v xml:space="preserve">HUD GRRP Surplus Cash Loan </v>
      </c>
      <c r="AA601" s="1496"/>
      <c r="AB601" s="1496"/>
      <c r="AC601" s="1496"/>
      <c r="AD601" s="1496"/>
      <c r="AE601" s="1496"/>
      <c r="AF601" s="1496"/>
      <c r="AG601" s="1496"/>
      <c r="AH601" s="1496"/>
      <c r="AI601" s="1496"/>
      <c r="AJ601" s="1496"/>
      <c r="AK601" s="1496"/>
      <c r="BB601" s="3"/>
      <c r="BC601" s="3"/>
    </row>
    <row r="602" spans="1:55" ht="12.95" customHeight="1">
      <c r="A602" s="22"/>
      <c r="B602" t="s">
        <v>85</v>
      </c>
      <c r="G602" s="1423" t="s">
        <v>2626</v>
      </c>
      <c r="H602" s="1423"/>
      <c r="I602" s="1423"/>
      <c r="J602" s="1423"/>
      <c r="K602" s="1423"/>
      <c r="L602" s="1423"/>
      <c r="M602" s="1423"/>
      <c r="N602" s="1423"/>
      <c r="O602" s="1423"/>
      <c r="P602" s="1423"/>
      <c r="Q602" s="1423"/>
      <c r="R602" s="1423"/>
      <c r="T602" s="22"/>
      <c r="U602" t="s">
        <v>85</v>
      </c>
      <c r="Z602" s="1423" t="s">
        <v>2752</v>
      </c>
      <c r="AA602" s="1423"/>
      <c r="AB602" s="1423"/>
      <c r="AC602" s="1423" t="s">
        <v>2752</v>
      </c>
      <c r="AD602" s="1423"/>
      <c r="AE602" s="1423"/>
      <c r="AF602" s="1423" t="s">
        <v>2752</v>
      </c>
      <c r="AG602" s="1423"/>
      <c r="AH602" s="1423"/>
      <c r="AI602" s="1423" t="s">
        <v>2752</v>
      </c>
      <c r="AJ602" s="1423"/>
      <c r="AK602" s="1423"/>
      <c r="AZ602" s="3"/>
      <c r="BA602" s="3"/>
      <c r="BB602" s="3"/>
      <c r="BC602" s="3"/>
    </row>
    <row r="603" spans="1:55" ht="12.95" customHeight="1">
      <c r="A603" s="22"/>
      <c r="B603" t="s">
        <v>580</v>
      </c>
      <c r="G603" s="1423" t="s">
        <v>2642</v>
      </c>
      <c r="H603" s="1423"/>
      <c r="I603" s="1423"/>
      <c r="J603" s="1423"/>
      <c r="K603" s="1423"/>
      <c r="L603" s="1423"/>
      <c r="M603" s="1423"/>
      <c r="N603" s="1423"/>
      <c r="O603" s="1423"/>
      <c r="P603" s="1423"/>
      <c r="Q603" s="1423"/>
      <c r="R603" s="1423"/>
      <c r="T603" s="22"/>
      <c r="U603" t="s">
        <v>580</v>
      </c>
      <c r="Z603" s="1377" t="s">
        <v>2753</v>
      </c>
      <c r="AA603" s="1377"/>
      <c r="AB603" s="1377"/>
      <c r="AC603" s="1377" t="s">
        <v>2753</v>
      </c>
      <c r="AD603" s="1377"/>
      <c r="AE603" s="1377"/>
      <c r="AF603" s="1377" t="s">
        <v>2753</v>
      </c>
      <c r="AG603" s="1377"/>
      <c r="AH603" s="1377"/>
      <c r="AI603" s="1377" t="s">
        <v>2753</v>
      </c>
      <c r="AJ603" s="1377"/>
      <c r="AK603" s="1377"/>
      <c r="AZ603" s="3"/>
      <c r="BA603" s="3"/>
      <c r="BB603" s="3"/>
      <c r="BC603" s="3"/>
    </row>
    <row r="604" spans="1:55" ht="12.95" customHeight="1">
      <c r="A604" s="22"/>
      <c r="B604" t="s">
        <v>17</v>
      </c>
      <c r="G604" s="1423" t="s">
        <v>2751</v>
      </c>
      <c r="H604" s="1423"/>
      <c r="I604" s="1423"/>
      <c r="J604" s="1423"/>
      <c r="K604" s="1423"/>
      <c r="L604" s="1423"/>
      <c r="M604" s="1423"/>
      <c r="N604" s="1423"/>
      <c r="O604" s="1423"/>
      <c r="P604" s="1423"/>
      <c r="Q604" s="1423"/>
      <c r="R604" s="1423"/>
      <c r="T604" s="22"/>
      <c r="U604" t="s">
        <v>17</v>
      </c>
      <c r="Z604" s="1377"/>
      <c r="AA604" s="1377"/>
      <c r="AB604" s="1377"/>
      <c r="AC604" s="1377"/>
      <c r="AD604" s="1377"/>
      <c r="AE604" s="1377"/>
      <c r="AF604" s="1377"/>
      <c r="AG604" s="1377"/>
      <c r="AH604" s="1377"/>
      <c r="AI604" s="1377"/>
      <c r="AJ604" s="1377"/>
      <c r="AK604" s="1377"/>
      <c r="AZ604" s="3"/>
      <c r="BA604" s="3"/>
      <c r="BB604" s="3"/>
      <c r="BC604" s="3"/>
    </row>
    <row r="605" spans="1:55" s="4" customFormat="1" ht="12.95" customHeight="1">
      <c r="A605" s="22"/>
      <c r="B605" t="s">
        <v>316</v>
      </c>
      <c r="C605"/>
      <c r="D605"/>
      <c r="E605"/>
      <c r="F605"/>
      <c r="G605" s="1492" t="s">
        <v>2755</v>
      </c>
      <c r="H605" s="1492"/>
      <c r="I605" s="1492"/>
      <c r="J605" s="1492"/>
      <c r="K605" s="1492"/>
      <c r="L605" s="1492"/>
      <c r="M605"/>
      <c r="N605"/>
      <c r="O605" s="33" t="s">
        <v>206</v>
      </c>
      <c r="P605" s="1472"/>
      <c r="Q605" s="1472"/>
      <c r="R605" s="1472"/>
      <c r="S605"/>
      <c r="T605" s="22"/>
      <c r="U605" t="s">
        <v>316</v>
      </c>
      <c r="V605"/>
      <c r="W605"/>
      <c r="X605"/>
      <c r="Y605"/>
      <c r="Z605" s="1492"/>
      <c r="AA605" s="1492"/>
      <c r="AB605" s="1492"/>
      <c r="AC605" s="1492"/>
      <c r="AD605" s="1492"/>
      <c r="AE605" s="1492"/>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23" t="s">
        <v>2756</v>
      </c>
      <c r="I606" s="1423"/>
      <c r="J606" s="1423"/>
      <c r="K606" s="1423"/>
      <c r="L606" s="1423"/>
      <c r="M606" s="1423"/>
      <c r="N606" s="1423"/>
      <c r="O606" s="1423"/>
      <c r="P606" s="1423"/>
      <c r="Q606" s="1423"/>
      <c r="R606" s="1423"/>
      <c r="S606"/>
      <c r="T606" s="22"/>
      <c r="U606" t="s">
        <v>18</v>
      </c>
      <c r="V606"/>
      <c r="W606"/>
      <c r="X606"/>
      <c r="Y606"/>
      <c r="Z606"/>
      <c r="AA606" s="1423" t="s">
        <v>2759</v>
      </c>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508" t="s">
        <v>545</v>
      </c>
      <c r="O607" s="1508"/>
      <c r="P607"/>
      <c r="Q607"/>
      <c r="R607"/>
      <c r="S607"/>
      <c r="T607" s="22"/>
      <c r="U607" t="s">
        <v>20</v>
      </c>
      <c r="V607"/>
      <c r="W607"/>
      <c r="X607"/>
      <c r="Y607"/>
      <c r="Z607"/>
      <c r="AA607"/>
      <c r="AB607"/>
      <c r="AC607"/>
      <c r="AD607"/>
      <c r="AE607"/>
      <c r="AF607"/>
      <c r="AG607" s="1508" t="s">
        <v>545</v>
      </c>
      <c r="AH607" s="150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96">
        <f>C564</f>
        <v>0</v>
      </c>
      <c r="H609" s="1496"/>
      <c r="I609" s="1496"/>
      <c r="J609" s="1496"/>
      <c r="K609" s="1496"/>
      <c r="L609" s="1496"/>
      <c r="M609" s="1496"/>
      <c r="N609" s="1496"/>
      <c r="O609" s="1496"/>
      <c r="P609" s="1496"/>
      <c r="Q609" s="1496"/>
      <c r="R609" s="1496"/>
      <c r="T609" s="55" t="s">
        <v>362</v>
      </c>
      <c r="U609" t="s">
        <v>463</v>
      </c>
      <c r="Z609" s="1496">
        <f>C565</f>
        <v>0</v>
      </c>
      <c r="AA609" s="1496"/>
      <c r="AB609" s="1496"/>
      <c r="AC609" s="1496"/>
      <c r="AD609" s="1496"/>
      <c r="AE609" s="1496"/>
      <c r="AF609" s="1496"/>
      <c r="AG609" s="1496"/>
      <c r="AH609" s="1496"/>
      <c r="AI609" s="1496"/>
      <c r="AJ609" s="1496"/>
      <c r="AK609" s="1496"/>
      <c r="AZ609" s="3"/>
      <c r="BA609" s="3"/>
      <c r="BB609" s="3"/>
      <c r="BC609" s="3"/>
    </row>
    <row r="610" spans="1:55" ht="12.95" customHeight="1">
      <c r="B610" t="s">
        <v>85</v>
      </c>
      <c r="G610" s="1423"/>
      <c r="H610" s="1423"/>
      <c r="I610" s="1423"/>
      <c r="J610" s="1423"/>
      <c r="K610" s="1423"/>
      <c r="L610" s="1423"/>
      <c r="M610" s="1423"/>
      <c r="N610" s="1423"/>
      <c r="O610" s="1423"/>
      <c r="P610" s="1423"/>
      <c r="Q610" s="1423"/>
      <c r="R610" s="1423"/>
      <c r="U610" t="s">
        <v>85</v>
      </c>
      <c r="Z610" s="1423"/>
      <c r="AA610" s="1423"/>
      <c r="AB610" s="1423"/>
      <c r="AC610" s="1423"/>
      <c r="AD610" s="1423"/>
      <c r="AE610" s="1423"/>
      <c r="AF610" s="1423"/>
      <c r="AG610" s="1423"/>
      <c r="AH610" s="1423"/>
      <c r="AI610" s="1423"/>
      <c r="AJ610" s="1423"/>
      <c r="AK610" s="1423"/>
      <c r="AZ610" s="3"/>
      <c r="BA610" s="3"/>
      <c r="BB610" s="3"/>
      <c r="BC610" s="3"/>
    </row>
    <row r="611" spans="1:55" ht="12.95" customHeight="1">
      <c r="B611" t="s">
        <v>580</v>
      </c>
      <c r="G611" s="1423"/>
      <c r="H611" s="1423"/>
      <c r="I611" s="1423"/>
      <c r="J611" s="1423"/>
      <c r="K611" s="1423"/>
      <c r="L611" s="1423"/>
      <c r="M611" s="1423"/>
      <c r="N611" s="1423"/>
      <c r="O611" s="1423"/>
      <c r="P611" s="1423"/>
      <c r="Q611" s="1423"/>
      <c r="R611" s="1423"/>
      <c r="U611" t="s">
        <v>580</v>
      </c>
      <c r="Z611" s="1377"/>
      <c r="AA611" s="1377"/>
      <c r="AB611" s="1377"/>
      <c r="AC611" s="1377"/>
      <c r="AD611" s="1377"/>
      <c r="AE611" s="1377"/>
      <c r="AF611" s="1377"/>
      <c r="AG611" s="1377"/>
      <c r="AH611" s="1377"/>
      <c r="AI611" s="1377"/>
      <c r="AJ611" s="1377"/>
      <c r="AK611" s="1377"/>
      <c r="AZ611" s="3"/>
      <c r="BA611" s="3"/>
      <c r="BB611" s="3"/>
      <c r="BC611" s="3"/>
    </row>
    <row r="612" spans="1:55" ht="12.95" customHeight="1">
      <c r="B612" t="s">
        <v>17</v>
      </c>
      <c r="G612" s="1423"/>
      <c r="H612" s="1423"/>
      <c r="I612" s="1423"/>
      <c r="J612" s="1423"/>
      <c r="K612" s="1423"/>
      <c r="L612" s="1423"/>
      <c r="M612" s="1423"/>
      <c r="N612" s="1423"/>
      <c r="O612" s="1423"/>
      <c r="P612" s="1423"/>
      <c r="Q612" s="1423"/>
      <c r="R612" s="1423"/>
      <c r="U612" t="s">
        <v>17</v>
      </c>
      <c r="Z612" s="1377"/>
      <c r="AA612" s="1377"/>
      <c r="AB612" s="1377"/>
      <c r="AC612" s="1377"/>
      <c r="AD612" s="1377"/>
      <c r="AE612" s="1377"/>
      <c r="AF612" s="1377"/>
      <c r="AG612" s="1377"/>
      <c r="AH612" s="1377"/>
      <c r="AI612" s="1377"/>
      <c r="AJ612" s="1377"/>
      <c r="AK612" s="1377"/>
      <c r="AZ612" s="3"/>
      <c r="BA612" s="3"/>
      <c r="BB612" s="3"/>
      <c r="BC612" s="3"/>
    </row>
    <row r="613" spans="1:55" ht="12.95" customHeight="1">
      <c r="B613" t="s">
        <v>316</v>
      </c>
      <c r="G613" s="1492"/>
      <c r="H613" s="1492"/>
      <c r="I613" s="1492"/>
      <c r="J613" s="1492"/>
      <c r="K613" s="1492"/>
      <c r="L613" s="1492"/>
      <c r="O613" s="33" t="s">
        <v>206</v>
      </c>
      <c r="P613" s="1472"/>
      <c r="Q613" s="1472"/>
      <c r="R613" s="1472"/>
      <c r="U613" t="s">
        <v>316</v>
      </c>
      <c r="Z613" s="1492"/>
      <c r="AA613" s="1492"/>
      <c r="AB613" s="1492"/>
      <c r="AC613" s="1492"/>
      <c r="AD613" s="1492"/>
      <c r="AE613" s="1492"/>
      <c r="AH613" s="33" t="s">
        <v>206</v>
      </c>
      <c r="AI613" s="1472"/>
      <c r="AJ613" s="1472"/>
      <c r="AK613" s="1472"/>
      <c r="AZ613" s="3"/>
      <c r="BA613" s="3"/>
      <c r="BB613" s="3"/>
      <c r="BC613" s="3"/>
    </row>
    <row r="614" spans="1:55" ht="12.95" customHeight="1">
      <c r="B614" t="s">
        <v>18</v>
      </c>
      <c r="H614" s="1423"/>
      <c r="I614" s="1423"/>
      <c r="J614" s="1423"/>
      <c r="K614" s="1423"/>
      <c r="L614" s="1423"/>
      <c r="M614" s="1423"/>
      <c r="N614" s="1423"/>
      <c r="O614" s="1423"/>
      <c r="P614" s="1423"/>
      <c r="Q614" s="1423"/>
      <c r="R614" s="1423"/>
      <c r="U614" t="s">
        <v>18</v>
      </c>
      <c r="AA614" s="1423"/>
      <c r="AB614" s="1423"/>
      <c r="AC614" s="1423"/>
      <c r="AD614" s="1423"/>
      <c r="AE614" s="1423"/>
      <c r="AF614" s="1423"/>
      <c r="AG614" s="1423"/>
      <c r="AH614" s="1423"/>
      <c r="AI614" s="1423"/>
      <c r="AJ614" s="1423"/>
      <c r="AK614" s="1423"/>
      <c r="AU614" s="899"/>
      <c r="AV614" s="899"/>
      <c r="AW614" s="899"/>
      <c r="AX614" s="899"/>
      <c r="AY614" s="899"/>
      <c r="AZ614" s="3"/>
      <c r="BA614" s="3"/>
      <c r="BB614" s="3"/>
      <c r="BC614" s="3"/>
    </row>
    <row r="615" spans="1:55" ht="12.95" customHeight="1">
      <c r="B615" t="s">
        <v>20</v>
      </c>
      <c r="N615" s="1508" t="s">
        <v>668</v>
      </c>
      <c r="O615" s="1508"/>
      <c r="U615" t="s">
        <v>20</v>
      </c>
      <c r="AG615" s="1508" t="s">
        <v>668</v>
      </c>
      <c r="AH615" s="1508"/>
      <c r="AU615" s="899"/>
      <c r="AV615" s="899"/>
      <c r="AW615" s="899"/>
      <c r="AX615" s="899"/>
      <c r="AY615" s="899"/>
      <c r="AZ615" s="3"/>
      <c r="BA615" s="3"/>
      <c r="BB615" s="3"/>
      <c r="BC615" s="3"/>
    </row>
    <row r="616" spans="1:55" ht="12.95" customHeight="1">
      <c r="AZ616" s="3"/>
      <c r="BA616" s="3"/>
      <c r="BB616" s="3"/>
      <c r="BC616" s="3"/>
    </row>
    <row r="617" spans="1:55" ht="12.95" customHeight="1">
      <c r="A617" s="1276" t="s">
        <v>544</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row>
    <row r="618" spans="1:55"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673" t="s">
        <v>2100</v>
      </c>
      <c r="C624" s="1673"/>
      <c r="D624" s="1673"/>
      <c r="E624" s="1673"/>
      <c r="F624" s="1673"/>
      <c r="G624" s="1673"/>
      <c r="H624" s="1673"/>
      <c r="I624" s="1673"/>
      <c r="J624" s="1673"/>
      <c r="K624" s="1673"/>
      <c r="L624" s="1673"/>
      <c r="M624" s="1684" t="s">
        <v>2101</v>
      </c>
      <c r="N624" s="1684"/>
      <c r="O624" s="1684"/>
      <c r="P624" s="1684"/>
      <c r="Q624" s="1684" t="s">
        <v>1850</v>
      </c>
      <c r="R624" s="1684"/>
      <c r="S624" s="1684"/>
      <c r="T624" s="1684" t="s">
        <v>1848</v>
      </c>
      <c r="U624" s="1684"/>
      <c r="V624" s="1684"/>
      <c r="W624" s="1685" t="s">
        <v>453</v>
      </c>
      <c r="X624" s="1685"/>
      <c r="Y624" s="1685"/>
      <c r="Z624" s="1403" t="s">
        <v>2130</v>
      </c>
      <c r="AA624" s="1403"/>
      <c r="AB624" s="1404"/>
      <c r="AC624" s="1675" t="s">
        <v>1674</v>
      </c>
      <c r="AD624" s="1676"/>
      <c r="AE624" s="1677"/>
      <c r="AF624" s="1402" t="s">
        <v>1928</v>
      </c>
      <c r="AG624" s="1403"/>
      <c r="AH624" s="1403"/>
      <c r="AI624" s="1403"/>
      <c r="AJ624" s="1404"/>
      <c r="AK624" s="1483" t="s">
        <v>1929</v>
      </c>
      <c r="AL624" s="1484"/>
      <c r="AM624" s="1484"/>
      <c r="AN624" s="1485"/>
      <c r="AO624" s="1684" t="s">
        <v>454</v>
      </c>
      <c r="AP624" s="1684"/>
      <c r="AQ624" s="1684"/>
      <c r="AR624" s="1684"/>
      <c r="AS624" s="1684"/>
      <c r="AU624" s="3"/>
      <c r="AZ624" s="3"/>
      <c r="BA624" s="3"/>
      <c r="BB624" s="3"/>
      <c r="BC624" s="3"/>
    </row>
    <row r="625" spans="2:157" ht="12.95" customHeight="1">
      <c r="B625" s="1673"/>
      <c r="C625" s="1673"/>
      <c r="D625" s="1673"/>
      <c r="E625" s="1673"/>
      <c r="F625" s="1673"/>
      <c r="G625" s="1673"/>
      <c r="H625" s="1673"/>
      <c r="I625" s="1673"/>
      <c r="J625" s="1673"/>
      <c r="K625" s="1673"/>
      <c r="L625" s="1673"/>
      <c r="M625" s="1684"/>
      <c r="N625" s="1684"/>
      <c r="O625" s="1684"/>
      <c r="P625" s="1684"/>
      <c r="Q625" s="1684"/>
      <c r="R625" s="1684"/>
      <c r="S625" s="1684"/>
      <c r="T625" s="1684"/>
      <c r="U625" s="1684"/>
      <c r="V625" s="1684"/>
      <c r="W625" s="1685"/>
      <c r="X625" s="1685"/>
      <c r="Y625" s="1685"/>
      <c r="Z625" s="1406"/>
      <c r="AA625" s="1406"/>
      <c r="AB625" s="1407"/>
      <c r="AC625" s="1678"/>
      <c r="AD625" s="1679"/>
      <c r="AE625" s="1680"/>
      <c r="AF625" s="1405"/>
      <c r="AG625" s="1406"/>
      <c r="AH625" s="1406"/>
      <c r="AI625" s="1406"/>
      <c r="AJ625" s="1407"/>
      <c r="AK625" s="1486"/>
      <c r="AL625" s="1487"/>
      <c r="AM625" s="1487"/>
      <c r="AN625" s="1488"/>
      <c r="AO625" s="1684"/>
      <c r="AP625" s="1684"/>
      <c r="AQ625" s="1684"/>
      <c r="AR625" s="1684"/>
      <c r="AS625" s="1684"/>
      <c r="AU625" s="3"/>
      <c r="AZ625" s="3"/>
      <c r="BA625" s="3"/>
      <c r="BB625" s="3"/>
      <c r="BC625" s="3"/>
      <c r="BD625" s="3"/>
    </row>
    <row r="626" spans="2:157" ht="12.95" customHeight="1">
      <c r="B626" s="1673"/>
      <c r="C626" s="1673"/>
      <c r="D626" s="1673"/>
      <c r="E626" s="1673"/>
      <c r="F626" s="1673"/>
      <c r="G626" s="1673"/>
      <c r="H626" s="1673"/>
      <c r="I626" s="1673"/>
      <c r="J626" s="1673"/>
      <c r="K626" s="1673"/>
      <c r="L626" s="1673"/>
      <c r="M626" s="1684"/>
      <c r="N626" s="1684"/>
      <c r="O626" s="1684"/>
      <c r="P626" s="1684"/>
      <c r="Q626" s="1684"/>
      <c r="R626" s="1684"/>
      <c r="S626" s="1684"/>
      <c r="T626" s="1684"/>
      <c r="U626" s="1684"/>
      <c r="V626" s="1684"/>
      <c r="W626" s="1685"/>
      <c r="X626" s="1685"/>
      <c r="Y626" s="1685"/>
      <c r="Z626" s="1409"/>
      <c r="AA626" s="1409"/>
      <c r="AB626" s="1410"/>
      <c r="AC626" s="1681"/>
      <c r="AD626" s="1682"/>
      <c r="AE626" s="1683"/>
      <c r="AF626" s="1408"/>
      <c r="AG626" s="1409"/>
      <c r="AH626" s="1409"/>
      <c r="AI626" s="1409"/>
      <c r="AJ626" s="1410"/>
      <c r="AK626" s="1489"/>
      <c r="AL626" s="1490"/>
      <c r="AM626" s="1490"/>
      <c r="AN626" s="1491"/>
      <c r="AO626" s="1684"/>
      <c r="AP626" s="1684"/>
      <c r="AQ626" s="1684"/>
      <c r="AR626" s="1684"/>
      <c r="AS626" s="1684"/>
      <c r="AT626" s="3"/>
      <c r="AU626" s="3"/>
      <c r="AZ626" s="3"/>
      <c r="BA626" s="3"/>
      <c r="BB626" s="3"/>
      <c r="BC626" s="3"/>
      <c r="BD626" s="3"/>
    </row>
    <row r="627" spans="2:157" ht="46.5" customHeight="1">
      <c r="B627" s="51" t="s">
        <v>112</v>
      </c>
      <c r="C627" s="1674" t="s">
        <v>2760</v>
      </c>
      <c r="D627" s="1674"/>
      <c r="E627" s="1674"/>
      <c r="F627" s="1674"/>
      <c r="G627" s="1674"/>
      <c r="H627" s="1674"/>
      <c r="I627" s="1674"/>
      <c r="J627" s="1674"/>
      <c r="K627" s="1674"/>
      <c r="L627" s="1674"/>
      <c r="M627" s="1507" t="s">
        <v>2111</v>
      </c>
      <c r="N627" s="1507"/>
      <c r="O627" s="1507"/>
      <c r="P627" s="1507"/>
      <c r="Q627" s="1519">
        <v>216</v>
      </c>
      <c r="R627" s="1519"/>
      <c r="S627" s="1520"/>
      <c r="T627" s="1518">
        <v>480</v>
      </c>
      <c r="U627" s="1519"/>
      <c r="V627" s="1520"/>
      <c r="W627" s="1493">
        <v>6.3E-2</v>
      </c>
      <c r="X627" s="1494"/>
      <c r="Y627" s="1495"/>
      <c r="Z627" s="1477" t="s">
        <v>2129</v>
      </c>
      <c r="AA627" s="1478"/>
      <c r="AB627" s="1479"/>
      <c r="AC627" s="1387">
        <v>1</v>
      </c>
      <c r="AD627" s="1388"/>
      <c r="AE627" s="1389"/>
      <c r="AF627" s="1500">
        <v>772163</v>
      </c>
      <c r="AG627" s="1501"/>
      <c r="AH627" s="1501"/>
      <c r="AI627" s="1501"/>
      <c r="AJ627" s="1502"/>
      <c r="AK627" s="1497"/>
      <c r="AL627" s="1498"/>
      <c r="AM627" s="1498"/>
      <c r="AN627" s="1499"/>
      <c r="AO627" s="1641">
        <v>11263869</v>
      </c>
      <c r="AP627" s="1641"/>
      <c r="AQ627" s="1641"/>
      <c r="AR627" s="1641"/>
      <c r="AS627" s="1641"/>
      <c r="AT627" s="3"/>
      <c r="AU627" s="3"/>
      <c r="AZ627" s="3"/>
      <c r="BA627" s="3"/>
      <c r="BB627" s="3"/>
      <c r="BC627" s="3"/>
      <c r="BD627" s="3"/>
    </row>
    <row r="628" spans="2:157" ht="30.75" customHeight="1">
      <c r="B628" s="52" t="s">
        <v>113</v>
      </c>
      <c r="C628" s="1674" t="s">
        <v>2804</v>
      </c>
      <c r="D628" s="1674"/>
      <c r="E628" s="1674"/>
      <c r="F628" s="1674"/>
      <c r="G628" s="1674"/>
      <c r="H628" s="1674"/>
      <c r="I628" s="1674"/>
      <c r="J628" s="1674"/>
      <c r="K628" s="1674"/>
      <c r="L628" s="1674"/>
      <c r="M628" s="1507" t="s">
        <v>2114</v>
      </c>
      <c r="N628" s="1507"/>
      <c r="O628" s="1507"/>
      <c r="P628" s="1507"/>
      <c r="Q628" s="1518">
        <v>480</v>
      </c>
      <c r="R628" s="1519"/>
      <c r="S628" s="1520"/>
      <c r="T628" s="1518"/>
      <c r="U628" s="1519"/>
      <c r="V628" s="1520"/>
      <c r="W628" s="1493"/>
      <c r="X628" s="1494"/>
      <c r="Y628" s="1495"/>
      <c r="Z628" s="1477" t="s">
        <v>457</v>
      </c>
      <c r="AA628" s="1478"/>
      <c r="AB628" s="1479"/>
      <c r="AC628" s="1387">
        <v>2</v>
      </c>
      <c r="AD628" s="1388"/>
      <c r="AE628" s="1389"/>
      <c r="AF628" s="1500"/>
      <c r="AG628" s="1501"/>
      <c r="AH628" s="1501"/>
      <c r="AI628" s="1501"/>
      <c r="AJ628" s="1502"/>
      <c r="AK628" s="1497"/>
      <c r="AL628" s="1498"/>
      <c r="AM628" s="1498"/>
      <c r="AN628" s="1499"/>
      <c r="AO628" s="1476">
        <f>+AM556</f>
        <v>11080760</v>
      </c>
      <c r="AP628" s="1344"/>
      <c r="AQ628" s="1344"/>
      <c r="AR628" s="1344"/>
      <c r="AS628" s="1345"/>
      <c r="AT628" s="1148" t="str">
        <f>IF(AND(NOT(C627=""),C628="",NOT(C629="")),"!","")</f>
        <v/>
      </c>
      <c r="AU628" s="3"/>
      <c r="AZ628" s="3"/>
      <c r="BA628" s="3"/>
      <c r="BB628" s="3"/>
      <c r="BC628" s="3"/>
      <c r="BD628" s="3"/>
    </row>
    <row r="629" spans="2:157" ht="31.5" customHeight="1">
      <c r="B629" s="52" t="s">
        <v>119</v>
      </c>
      <c r="C629" s="1674" t="s">
        <v>2803</v>
      </c>
      <c r="D629" s="1674"/>
      <c r="E629" s="1674"/>
      <c r="F629" s="1674"/>
      <c r="G629" s="1674"/>
      <c r="H629" s="1674"/>
      <c r="I629" s="1674"/>
      <c r="J629" s="1674"/>
      <c r="K629" s="1674"/>
      <c r="L629" s="1674"/>
      <c r="M629" s="1507" t="s">
        <v>2114</v>
      </c>
      <c r="N629" s="1507"/>
      <c r="O629" s="1507"/>
      <c r="P629" s="1507"/>
      <c r="Q629" s="1518">
        <v>480</v>
      </c>
      <c r="R629" s="1519"/>
      <c r="S629" s="1520"/>
      <c r="T629" s="1518"/>
      <c r="U629" s="1519"/>
      <c r="V629" s="1520"/>
      <c r="W629" s="1493"/>
      <c r="X629" s="1494"/>
      <c r="Y629" s="1495"/>
      <c r="Z629" s="1477" t="s">
        <v>457</v>
      </c>
      <c r="AA629" s="1478"/>
      <c r="AB629" s="1479"/>
      <c r="AC629" s="1387">
        <v>2</v>
      </c>
      <c r="AD629" s="1388"/>
      <c r="AE629" s="1389"/>
      <c r="AF629" s="1500"/>
      <c r="AG629" s="1501"/>
      <c r="AH629" s="1501"/>
      <c r="AI629" s="1501"/>
      <c r="AJ629" s="1502"/>
      <c r="AK629" s="1497"/>
      <c r="AL629" s="1498"/>
      <c r="AM629" s="1498"/>
      <c r="AN629" s="1499"/>
      <c r="AO629" s="1476">
        <f t="shared" ref="AO629:AO631" si="1">+AM557</f>
        <v>11881462</v>
      </c>
      <c r="AP629" s="1344"/>
      <c r="AQ629" s="1344"/>
      <c r="AR629" s="1344"/>
      <c r="AS629" s="1345"/>
      <c r="AT629" s="1148" t="str">
        <f t="shared" ref="AT629:AT638" si="2">IF(AND(NOT(C628=""),C629="",NOT(C630="")),"!","")</f>
        <v/>
      </c>
      <c r="AU629" s="3"/>
      <c r="AZ629" s="3"/>
      <c r="BA629" s="3"/>
      <c r="BB629" s="3"/>
      <c r="BC629" s="3"/>
      <c r="BD629" s="3"/>
    </row>
    <row r="630" spans="2:157" ht="34.5" customHeight="1">
      <c r="B630" s="52" t="s">
        <v>581</v>
      </c>
      <c r="C630" s="1512" t="s">
        <v>2735</v>
      </c>
      <c r="D630" s="1512"/>
      <c r="E630" s="1512"/>
      <c r="F630" s="1512"/>
      <c r="G630" s="1512"/>
      <c r="H630" s="1512"/>
      <c r="I630" s="1512"/>
      <c r="J630" s="1512"/>
      <c r="K630" s="1512"/>
      <c r="L630" s="1512"/>
      <c r="M630" s="1507" t="s">
        <v>2121</v>
      </c>
      <c r="N630" s="1507"/>
      <c r="O630" s="1507"/>
      <c r="P630" s="1507"/>
      <c r="Q630" s="1518"/>
      <c r="R630" s="1519"/>
      <c r="S630" s="1520"/>
      <c r="T630" s="1518"/>
      <c r="U630" s="1519"/>
      <c r="V630" s="1520"/>
      <c r="W630" s="1493"/>
      <c r="X630" s="1494"/>
      <c r="Y630" s="1495"/>
      <c r="Z630" s="1477" t="s">
        <v>1182</v>
      </c>
      <c r="AA630" s="1478"/>
      <c r="AB630" s="1479"/>
      <c r="AC630" s="1387"/>
      <c r="AD630" s="1388"/>
      <c r="AE630" s="1389"/>
      <c r="AF630" s="1500"/>
      <c r="AG630" s="1501"/>
      <c r="AH630" s="1501"/>
      <c r="AI630" s="1501"/>
      <c r="AJ630" s="1502"/>
      <c r="AK630" s="1497"/>
      <c r="AL630" s="1498"/>
      <c r="AM630" s="1498"/>
      <c r="AN630" s="1499"/>
      <c r="AO630" s="1476">
        <f t="shared" si="1"/>
        <v>758188</v>
      </c>
      <c r="AP630" s="1344"/>
      <c r="AQ630" s="1344"/>
      <c r="AR630" s="1344"/>
      <c r="AS630" s="1345"/>
      <c r="AT630" s="1148" t="str">
        <f t="shared" si="2"/>
        <v/>
      </c>
      <c r="AU630" s="3"/>
      <c r="AZ630" s="3"/>
      <c r="BA630" s="3"/>
      <c r="BB630" s="3"/>
      <c r="BC630" s="3"/>
      <c r="BD630" s="3"/>
    </row>
    <row r="631" spans="2:157" ht="26.25" customHeight="1">
      <c r="B631" s="52" t="s">
        <v>762</v>
      </c>
      <c r="C631" s="1512" t="s">
        <v>2736</v>
      </c>
      <c r="D631" s="1512"/>
      <c r="E631" s="1512"/>
      <c r="F631" s="1512"/>
      <c r="G631" s="1512"/>
      <c r="H631" s="1512"/>
      <c r="I631" s="1512"/>
      <c r="J631" s="1512"/>
      <c r="K631" s="1512"/>
      <c r="L631" s="1512"/>
      <c r="M631" s="1507" t="s">
        <v>2121</v>
      </c>
      <c r="N631" s="1507"/>
      <c r="O631" s="1507"/>
      <c r="P631" s="1507"/>
      <c r="Q631" s="1518"/>
      <c r="R631" s="1519"/>
      <c r="S631" s="1520"/>
      <c r="T631" s="1518"/>
      <c r="U631" s="1519"/>
      <c r="V631" s="1520"/>
      <c r="W631" s="1493"/>
      <c r="X631" s="1494"/>
      <c r="Y631" s="1495"/>
      <c r="Z631" s="1477" t="s">
        <v>1182</v>
      </c>
      <c r="AA631" s="1478"/>
      <c r="AB631" s="1479"/>
      <c r="AC631" s="1387"/>
      <c r="AD631" s="1388"/>
      <c r="AE631" s="1389"/>
      <c r="AF631" s="1500"/>
      <c r="AG631" s="1501"/>
      <c r="AH631" s="1501"/>
      <c r="AI631" s="1501"/>
      <c r="AJ631" s="1502"/>
      <c r="AK631" s="1497"/>
      <c r="AL631" s="1498"/>
      <c r="AM631" s="1498"/>
      <c r="AN631" s="1499"/>
      <c r="AO631" s="1476">
        <f t="shared" si="1"/>
        <v>931186</v>
      </c>
      <c r="AP631" s="1344"/>
      <c r="AQ631" s="1344"/>
      <c r="AR631" s="1344"/>
      <c r="AS631" s="1345"/>
      <c r="AT631" s="1148" t="str">
        <f t="shared" si="2"/>
        <v/>
      </c>
      <c r="AU631" s="3"/>
      <c r="AZ631" s="3"/>
      <c r="BA631" s="3"/>
      <c r="BB631" s="3"/>
      <c r="BC631" s="3"/>
      <c r="BD631" s="3"/>
    </row>
    <row r="632" spans="2:157" ht="27.75" customHeight="1">
      <c r="B632" s="52" t="s">
        <v>584</v>
      </c>
      <c r="C632" s="1512" t="s">
        <v>2761</v>
      </c>
      <c r="D632" s="1512"/>
      <c r="E632" s="1512"/>
      <c r="F632" s="1512"/>
      <c r="G632" s="1512"/>
      <c r="H632" s="1512"/>
      <c r="I632" s="1512"/>
      <c r="J632" s="1512"/>
      <c r="K632" s="1512"/>
      <c r="L632" s="1512"/>
      <c r="M632" s="1507" t="s">
        <v>2104</v>
      </c>
      <c r="N632" s="1507"/>
      <c r="O632" s="1507"/>
      <c r="P632" s="1507"/>
      <c r="Q632" s="1518"/>
      <c r="R632" s="1519"/>
      <c r="S632" s="1520"/>
      <c r="T632" s="1518"/>
      <c r="U632" s="1519"/>
      <c r="V632" s="1520"/>
      <c r="W632" s="1493"/>
      <c r="X632" s="1494"/>
      <c r="Y632" s="1495"/>
      <c r="Z632" s="1477" t="s">
        <v>458</v>
      </c>
      <c r="AA632" s="1478"/>
      <c r="AB632" s="1479"/>
      <c r="AC632" s="1387"/>
      <c r="AD632" s="1388"/>
      <c r="AE632" s="1389"/>
      <c r="AF632" s="1500"/>
      <c r="AG632" s="1501"/>
      <c r="AH632" s="1501"/>
      <c r="AI632" s="1501"/>
      <c r="AJ632" s="1502"/>
      <c r="AK632" s="1497"/>
      <c r="AL632" s="1498"/>
      <c r="AM632" s="1498"/>
      <c r="AN632" s="1499"/>
      <c r="AO632" s="1476">
        <v>1023144</v>
      </c>
      <c r="AP632" s="1344"/>
      <c r="AQ632" s="1344"/>
      <c r="AR632" s="1344"/>
      <c r="AS632" s="1345"/>
      <c r="AT632" s="1148" t="str">
        <f t="shared" si="2"/>
        <v/>
      </c>
      <c r="AU632" s="3"/>
      <c r="AZ632" s="3"/>
      <c r="BA632" s="3"/>
      <c r="BB632" s="3"/>
      <c r="BC632" s="3"/>
      <c r="BD632" s="3"/>
    </row>
    <row r="633" spans="2:157" ht="42" customHeight="1">
      <c r="B633" s="52" t="s">
        <v>455</v>
      </c>
      <c r="C633" s="1512" t="s">
        <v>2737</v>
      </c>
      <c r="D633" s="1512"/>
      <c r="E633" s="1512"/>
      <c r="F633" s="1512"/>
      <c r="G633" s="1512"/>
      <c r="H633" s="1512"/>
      <c r="I633" s="1512"/>
      <c r="J633" s="1512"/>
      <c r="K633" s="1512"/>
      <c r="L633" s="1512"/>
      <c r="M633" s="1507" t="s">
        <v>2119</v>
      </c>
      <c r="N633" s="1507"/>
      <c r="O633" s="1507"/>
      <c r="P633" s="1507"/>
      <c r="Q633" s="1518"/>
      <c r="R633" s="1519"/>
      <c r="S633" s="1520"/>
      <c r="T633" s="1518"/>
      <c r="U633" s="1519"/>
      <c r="V633" s="1520"/>
      <c r="W633" s="1493"/>
      <c r="X633" s="1494"/>
      <c r="Y633" s="1495"/>
      <c r="Z633" s="1477" t="s">
        <v>1182</v>
      </c>
      <c r="AA633" s="1478"/>
      <c r="AB633" s="1479"/>
      <c r="AC633" s="1387"/>
      <c r="AD633" s="1388"/>
      <c r="AE633" s="1389"/>
      <c r="AF633" s="1500"/>
      <c r="AG633" s="1501"/>
      <c r="AH633" s="1501"/>
      <c r="AI633" s="1501"/>
      <c r="AJ633" s="1502"/>
      <c r="AK633" s="1497"/>
      <c r="AL633" s="1498"/>
      <c r="AM633" s="1498"/>
      <c r="AN633" s="1499"/>
      <c r="AO633" s="1476">
        <v>1101155</v>
      </c>
      <c r="AP633" s="1344"/>
      <c r="AQ633" s="1344"/>
      <c r="AR633" s="1344"/>
      <c r="AS633" s="1345"/>
      <c r="AT633" s="1148" t="str">
        <f t="shared" si="2"/>
        <v/>
      </c>
      <c r="AU633" s="3"/>
      <c r="AV633" s="3"/>
      <c r="AW633" s="3"/>
      <c r="AX633" s="3"/>
      <c r="AY633" s="3"/>
      <c r="AZ633" s="3"/>
      <c r="BA633" s="3"/>
      <c r="BB633" s="3"/>
      <c r="BC633" s="3"/>
      <c r="BD633" s="3"/>
    </row>
    <row r="634" spans="2:157" ht="38.25" customHeight="1">
      <c r="B634" s="52" t="s">
        <v>456</v>
      </c>
      <c r="C634" s="1512" t="s">
        <v>2732</v>
      </c>
      <c r="D634" s="1512"/>
      <c r="E634" s="1512"/>
      <c r="F634" s="1512"/>
      <c r="G634" s="1512"/>
      <c r="H634" s="1512"/>
      <c r="I634" s="1512"/>
      <c r="J634" s="1512"/>
      <c r="K634" s="1512"/>
      <c r="L634" s="1512"/>
      <c r="M634" s="1507" t="s">
        <v>2120</v>
      </c>
      <c r="N634" s="1507"/>
      <c r="O634" s="1507"/>
      <c r="P634" s="1507"/>
      <c r="Q634" s="1518">
        <f>12*30</f>
        <v>360</v>
      </c>
      <c r="R634" s="1519"/>
      <c r="S634" s="1520"/>
      <c r="T634" s="1518"/>
      <c r="U634" s="1519"/>
      <c r="V634" s="1520"/>
      <c r="W634" s="1493">
        <v>0.01</v>
      </c>
      <c r="X634" s="1494"/>
      <c r="Y634" s="1495"/>
      <c r="Z634" s="1477" t="s">
        <v>457</v>
      </c>
      <c r="AA634" s="1478"/>
      <c r="AB634" s="1479"/>
      <c r="AC634" s="1387"/>
      <c r="AD634" s="1388"/>
      <c r="AE634" s="1389"/>
      <c r="AF634" s="1500"/>
      <c r="AG634" s="1501"/>
      <c r="AH634" s="1501"/>
      <c r="AI634" s="1501"/>
      <c r="AJ634" s="1502"/>
      <c r="AK634" s="1497"/>
      <c r="AL634" s="1498"/>
      <c r="AM634" s="1498"/>
      <c r="AN634" s="1499"/>
      <c r="AO634" s="1476">
        <v>5440000</v>
      </c>
      <c r="AP634" s="1344"/>
      <c r="AQ634" s="1344"/>
      <c r="AR634" s="1344"/>
      <c r="AS634" s="1345"/>
      <c r="AT634" s="1148" t="str">
        <f t="shared" si="2"/>
        <v/>
      </c>
      <c r="AU634" s="3"/>
      <c r="AV634" s="3"/>
      <c r="AW634" s="3"/>
      <c r="AX634" s="3"/>
      <c r="AY634" s="3"/>
      <c r="AZ634" s="3"/>
      <c r="BA634" s="3" t="s">
        <v>1182</v>
      </c>
      <c r="BB634" s="3"/>
      <c r="BC634" s="3"/>
      <c r="BD634" s="3"/>
    </row>
    <row r="635" spans="2:157" ht="42.75" customHeight="1">
      <c r="B635" s="52" t="s">
        <v>461</v>
      </c>
      <c r="C635" s="1512" t="s">
        <v>2762</v>
      </c>
      <c r="D635" s="1512"/>
      <c r="E635" s="1512"/>
      <c r="F635" s="1512"/>
      <c r="G635" s="1512"/>
      <c r="H635" s="1512"/>
      <c r="I635" s="1512"/>
      <c r="J635" s="1512"/>
      <c r="K635" s="1512"/>
      <c r="L635" s="1512"/>
      <c r="M635" s="1507" t="s">
        <v>2107</v>
      </c>
      <c r="N635" s="1507"/>
      <c r="O635" s="1507"/>
      <c r="P635" s="1507"/>
      <c r="Q635" s="1518"/>
      <c r="R635" s="1519"/>
      <c r="S635" s="1520"/>
      <c r="T635" s="1518"/>
      <c r="U635" s="1519"/>
      <c r="V635" s="1520"/>
      <c r="W635" s="1493"/>
      <c r="X635" s="1494"/>
      <c r="Y635" s="1495"/>
      <c r="Z635" s="1477" t="s">
        <v>1182</v>
      </c>
      <c r="AA635" s="1478"/>
      <c r="AB635" s="1479"/>
      <c r="AC635" s="1387"/>
      <c r="AD635" s="1388"/>
      <c r="AE635" s="1389"/>
      <c r="AF635" s="1500"/>
      <c r="AG635" s="1501"/>
      <c r="AH635" s="1501"/>
      <c r="AI635" s="1501"/>
      <c r="AJ635" s="1502"/>
      <c r="AK635" s="1497"/>
      <c r="AL635" s="1498"/>
      <c r="AM635" s="1498"/>
      <c r="AN635" s="1499"/>
      <c r="AO635" s="1476">
        <v>3799851</v>
      </c>
      <c r="AP635" s="1344"/>
      <c r="AQ635" s="1344"/>
      <c r="AR635" s="1344"/>
      <c r="AS635" s="1345"/>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5" t="e">
        <f t="shared" ref="DX635:DX669" si="3">EZ718*(CP718/$CP$753)</f>
        <v>#VALUE!</v>
      </c>
      <c r="DY635" s="1375"/>
      <c r="DZ635" s="1375"/>
      <c r="EA635" s="1375"/>
      <c r="EB635" s="1375"/>
      <c r="EC635" s="1375">
        <f t="shared" ref="EC635:EC669" si="4">FE718*(CU718/$CU$753)</f>
        <v>560.71974522292987</v>
      </c>
      <c r="ED635" s="1375"/>
      <c r="EE635" s="1375"/>
      <c r="EF635" s="1375"/>
      <c r="EG635" s="1375"/>
      <c r="EH635" s="1375" t="e">
        <f t="shared" ref="EH635:EH669" si="5">FJ718*(CZ718/$CZ$753)</f>
        <v>#VALUE!</v>
      </c>
      <c r="EI635" s="1375"/>
      <c r="EJ635" s="1375"/>
      <c r="EK635" s="1375"/>
      <c r="EL635" s="1375"/>
      <c r="EM635" s="1375" t="e">
        <f t="shared" ref="EM635:EM669" si="6">FO718*(DE718/$DE$753)</f>
        <v>#VALUE!</v>
      </c>
      <c r="EN635" s="1375"/>
      <c r="EO635" s="1375"/>
      <c r="EP635" s="1375"/>
      <c r="EQ635" s="1375"/>
      <c r="ER635" s="1375" t="e">
        <f t="shared" ref="ER635:ER669" si="7">FT718*(DJ718/$DJ$753)</f>
        <v>#VALUE!</v>
      </c>
      <c r="ES635" s="1375"/>
      <c r="ET635" s="1375"/>
      <c r="EU635" s="1375"/>
      <c r="EV635" s="1375"/>
      <c r="EW635" s="1375" t="e">
        <f t="shared" ref="EW635:EW669" si="8">FY718*(DO718/$DO$753)</f>
        <v>#VALUE!</v>
      </c>
      <c r="EX635" s="1375"/>
      <c r="EY635" s="1375"/>
      <c r="EZ635" s="1375"/>
      <c r="FA635" s="1375"/>
    </row>
    <row r="636" spans="2:157" ht="41.25" customHeight="1">
      <c r="B636" s="52" t="s">
        <v>645</v>
      </c>
      <c r="C636" s="1512"/>
      <c r="D636" s="1512"/>
      <c r="E636" s="1512"/>
      <c r="F636" s="1512"/>
      <c r="G636" s="1512"/>
      <c r="H636" s="1512"/>
      <c r="I636" s="1512"/>
      <c r="J636" s="1512"/>
      <c r="K636" s="1512"/>
      <c r="L636" s="1512"/>
      <c r="M636" s="1507" t="s">
        <v>1182</v>
      </c>
      <c r="N636" s="1507"/>
      <c r="O636" s="1507"/>
      <c r="P636" s="1507"/>
      <c r="Q636" s="1518"/>
      <c r="R636" s="1519"/>
      <c r="S636" s="1520"/>
      <c r="T636" s="1518"/>
      <c r="U636" s="1519"/>
      <c r="V636" s="1520"/>
      <c r="W636" s="1493"/>
      <c r="X636" s="1494"/>
      <c r="Y636" s="1495"/>
      <c r="Z636" s="1477" t="s">
        <v>1182</v>
      </c>
      <c r="AA636" s="1478"/>
      <c r="AB636" s="1479"/>
      <c r="AC636" s="1387"/>
      <c r="AD636" s="1388"/>
      <c r="AE636" s="1389"/>
      <c r="AF636" s="1500"/>
      <c r="AG636" s="1501"/>
      <c r="AH636" s="1501"/>
      <c r="AI636" s="1501"/>
      <c r="AJ636" s="1502"/>
      <c r="AK636" s="1497"/>
      <c r="AL636" s="1498"/>
      <c r="AM636" s="1498"/>
      <c r="AN636" s="1499"/>
      <c r="AO636" s="1476"/>
      <c r="AP636" s="1344"/>
      <c r="AQ636" s="1344"/>
      <c r="AR636" s="1344"/>
      <c r="AS636" s="1345"/>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5" t="e">
        <f t="shared" si="3"/>
        <v>#VALUE!</v>
      </c>
      <c r="DY636" s="1375"/>
      <c r="DZ636" s="1375"/>
      <c r="EA636" s="1375"/>
      <c r="EB636" s="1375"/>
      <c r="EC636" s="1375">
        <f t="shared" si="4"/>
        <v>61.394904458598724</v>
      </c>
      <c r="ED636" s="1375"/>
      <c r="EE636" s="1375"/>
      <c r="EF636" s="1375"/>
      <c r="EG636" s="1375"/>
      <c r="EH636" s="1375" t="e">
        <f t="shared" si="5"/>
        <v>#VALUE!</v>
      </c>
      <c r="EI636" s="1375"/>
      <c r="EJ636" s="1375"/>
      <c r="EK636" s="1375"/>
      <c r="EL636" s="1375"/>
      <c r="EM636" s="1375" t="e">
        <f t="shared" si="6"/>
        <v>#VALUE!</v>
      </c>
      <c r="EN636" s="1375"/>
      <c r="EO636" s="1375"/>
      <c r="EP636" s="1375"/>
      <c r="EQ636" s="1375"/>
      <c r="ER636" s="1375" t="e">
        <f t="shared" si="7"/>
        <v>#VALUE!</v>
      </c>
      <c r="ES636" s="1375"/>
      <c r="ET636" s="1375"/>
      <c r="EU636" s="1375"/>
      <c r="EV636" s="1375"/>
      <c r="EW636" s="1375" t="e">
        <f t="shared" si="8"/>
        <v>#VALUE!</v>
      </c>
      <c r="EX636" s="1375"/>
      <c r="EY636" s="1375"/>
      <c r="EZ636" s="1375"/>
      <c r="FA636" s="1375"/>
    </row>
    <row r="637" spans="2:157" ht="12.95" customHeight="1">
      <c r="B637" s="52" t="s">
        <v>361</v>
      </c>
      <c r="C637" s="1512"/>
      <c r="D637" s="1512"/>
      <c r="E637" s="1512"/>
      <c r="F637" s="1512"/>
      <c r="G637" s="1512"/>
      <c r="H637" s="1512"/>
      <c r="I637" s="1512"/>
      <c r="J637" s="1512"/>
      <c r="K637" s="1512"/>
      <c r="L637" s="1512"/>
      <c r="M637" s="1507" t="s">
        <v>1182</v>
      </c>
      <c r="N637" s="1507"/>
      <c r="O637" s="1507"/>
      <c r="P637" s="1507"/>
      <c r="Q637" s="1518"/>
      <c r="R637" s="1519"/>
      <c r="S637" s="1520"/>
      <c r="T637" s="1518"/>
      <c r="U637" s="1519"/>
      <c r="V637" s="1520"/>
      <c r="W637" s="1493"/>
      <c r="X637" s="1494"/>
      <c r="Y637" s="1495"/>
      <c r="Z637" s="1477" t="s">
        <v>1182</v>
      </c>
      <c r="AA637" s="1478"/>
      <c r="AB637" s="1479"/>
      <c r="AC637" s="1387"/>
      <c r="AD637" s="1388"/>
      <c r="AE637" s="1389"/>
      <c r="AF637" s="1500"/>
      <c r="AG637" s="1501"/>
      <c r="AH637" s="1501"/>
      <c r="AI637" s="1501"/>
      <c r="AJ637" s="1502"/>
      <c r="AK637" s="1497"/>
      <c r="AL637" s="1498"/>
      <c r="AM637" s="1498"/>
      <c r="AN637" s="1499"/>
      <c r="AO637" s="1476"/>
      <c r="AP637" s="1344"/>
      <c r="AQ637" s="1344"/>
      <c r="AR637" s="1344"/>
      <c r="AS637" s="1345"/>
      <c r="AT637" s="1148" t="str">
        <f t="shared" si="2"/>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375" t="e">
        <f t="shared" si="3"/>
        <v>#VALUE!</v>
      </c>
      <c r="DY637" s="1375"/>
      <c r="DZ637" s="1375"/>
      <c r="EA637" s="1375"/>
      <c r="EB637" s="1375"/>
      <c r="EC637" s="1375">
        <f t="shared" si="4"/>
        <v>36.07006369426751</v>
      </c>
      <c r="ED637" s="1375"/>
      <c r="EE637" s="1375"/>
      <c r="EF637" s="1375"/>
      <c r="EG637" s="1375"/>
      <c r="EH637" s="1375" t="e">
        <f t="shared" si="5"/>
        <v>#VALUE!</v>
      </c>
      <c r="EI637" s="1375"/>
      <c r="EJ637" s="1375"/>
      <c r="EK637" s="1375"/>
      <c r="EL637" s="1375"/>
      <c r="EM637" s="1375" t="e">
        <f t="shared" si="6"/>
        <v>#VALUE!</v>
      </c>
      <c r="EN637" s="1375"/>
      <c r="EO637" s="1375"/>
      <c r="EP637" s="1375"/>
      <c r="EQ637" s="1375"/>
      <c r="ER637" s="1375" t="e">
        <f t="shared" si="7"/>
        <v>#VALUE!</v>
      </c>
      <c r="ES637" s="1375"/>
      <c r="ET637" s="1375"/>
      <c r="EU637" s="1375"/>
      <c r="EV637" s="1375"/>
      <c r="EW637" s="1375" t="e">
        <f t="shared" si="8"/>
        <v>#VALUE!</v>
      </c>
      <c r="EX637" s="1375"/>
      <c r="EY637" s="1375"/>
      <c r="EZ637" s="1375"/>
      <c r="FA637" s="1375"/>
    </row>
    <row r="638" spans="2:157" ht="12.95" customHeight="1">
      <c r="B638" s="52" t="s">
        <v>362</v>
      </c>
      <c r="C638" s="1512"/>
      <c r="D638" s="1512"/>
      <c r="E638" s="1512"/>
      <c r="F638" s="1512"/>
      <c r="G638" s="1512"/>
      <c r="H638" s="1512"/>
      <c r="I638" s="1512"/>
      <c r="J638" s="1512"/>
      <c r="K638" s="1512"/>
      <c r="L638" s="1512"/>
      <c r="M638" s="1507" t="s">
        <v>1182</v>
      </c>
      <c r="N638" s="1507"/>
      <c r="O638" s="1507"/>
      <c r="P638" s="1507"/>
      <c r="Q638" s="1518"/>
      <c r="R638" s="1519"/>
      <c r="S638" s="1520"/>
      <c r="T638" s="1518"/>
      <c r="U638" s="1519"/>
      <c r="V638" s="1520"/>
      <c r="W638" s="1493"/>
      <c r="X638" s="1494"/>
      <c r="Y638" s="1495"/>
      <c r="Z638" s="1477" t="s">
        <v>1182</v>
      </c>
      <c r="AA638" s="1478"/>
      <c r="AB638" s="1479"/>
      <c r="AC638" s="1387"/>
      <c r="AD638" s="1388"/>
      <c r="AE638" s="1389"/>
      <c r="AF638" s="1500"/>
      <c r="AG638" s="1501"/>
      <c r="AH638" s="1501"/>
      <c r="AI638" s="1501"/>
      <c r="AJ638" s="1502"/>
      <c r="AK638" s="1497"/>
      <c r="AL638" s="1498"/>
      <c r="AM638" s="1498"/>
      <c r="AN638" s="1499"/>
      <c r="AO638" s="1476"/>
      <c r="AP638" s="1344"/>
      <c r="AQ638" s="1344"/>
      <c r="AR638" s="1344"/>
      <c r="AS638" s="1345"/>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5" t="e">
        <f t="shared" si="3"/>
        <v>#VALUE!</v>
      </c>
      <c r="DY638" s="1375"/>
      <c r="DZ638" s="1375"/>
      <c r="EA638" s="1375"/>
      <c r="EB638" s="1375"/>
      <c r="EC638" s="1375">
        <f t="shared" si="4"/>
        <v>761.27388535031844</v>
      </c>
      <c r="ED638" s="1375"/>
      <c r="EE638" s="1375"/>
      <c r="EF638" s="1375"/>
      <c r="EG638" s="1375"/>
      <c r="EH638" s="1375" t="e">
        <f t="shared" si="5"/>
        <v>#VALUE!</v>
      </c>
      <c r="EI638" s="1375"/>
      <c r="EJ638" s="1375"/>
      <c r="EK638" s="1375"/>
      <c r="EL638" s="1375"/>
      <c r="EM638" s="1375" t="e">
        <f t="shared" si="6"/>
        <v>#VALUE!</v>
      </c>
      <c r="EN638" s="1375"/>
      <c r="EO638" s="1375"/>
      <c r="EP638" s="1375"/>
      <c r="EQ638" s="1375"/>
      <c r="ER638" s="1375" t="e">
        <f t="shared" si="7"/>
        <v>#VALUE!</v>
      </c>
      <c r="ES638" s="1375"/>
      <c r="ET638" s="1375"/>
      <c r="EU638" s="1375"/>
      <c r="EV638" s="1375"/>
      <c r="EW638" s="1375" t="e">
        <f t="shared" si="8"/>
        <v>#VALUE!</v>
      </c>
      <c r="EX638" s="1375"/>
      <c r="EY638" s="1375"/>
      <c r="EZ638" s="1375"/>
      <c r="FA638" s="1375"/>
    </row>
    <row r="639" spans="2:157" ht="12.95" customHeight="1">
      <c r="B639" s="1513" t="s">
        <v>128</v>
      </c>
      <c r="C639" s="1514"/>
      <c r="D639" s="1514"/>
      <c r="E639" s="1514"/>
      <c r="F639" s="1514"/>
      <c r="G639" s="1514"/>
      <c r="H639" s="1514"/>
      <c r="I639" s="1514"/>
      <c r="J639" s="1514"/>
      <c r="K639" s="1514"/>
      <c r="L639" s="1514"/>
      <c r="M639" s="1514"/>
      <c r="N639" s="1514"/>
      <c r="O639" s="1514"/>
      <c r="P639" s="1514"/>
      <c r="Q639" s="1514"/>
      <c r="R639" s="1514"/>
      <c r="S639" s="1514"/>
      <c r="T639" s="1514"/>
      <c r="U639" s="1514"/>
      <c r="V639" s="1514"/>
      <c r="W639" s="1514"/>
      <c r="X639" s="1514"/>
      <c r="Y639" s="1514"/>
      <c r="Z639" s="1514"/>
      <c r="AA639" s="1514"/>
      <c r="AB639" s="1514"/>
      <c r="AC639" s="1514"/>
      <c r="AD639" s="1514"/>
      <c r="AE639" s="1514"/>
      <c r="AF639" s="1514"/>
      <c r="AG639" s="1514"/>
      <c r="AH639" s="1514"/>
      <c r="AI639" s="1514"/>
      <c r="AJ639" s="1514"/>
      <c r="AK639" s="1514"/>
      <c r="AL639" s="1514"/>
      <c r="AM639" s="1514"/>
      <c r="AN639" s="1516"/>
      <c r="AO639" s="1473">
        <f>SUM(AO627:AR638)</f>
        <v>47279615</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5" t="e">
        <f t="shared" si="3"/>
        <v>#VALUE!</v>
      </c>
      <c r="DY639" s="1375"/>
      <c r="DZ639" s="1375"/>
      <c r="EA639" s="1375"/>
      <c r="EB639" s="1375"/>
      <c r="EC639" s="1375">
        <f t="shared" si="4"/>
        <v>78.878980891719749</v>
      </c>
      <c r="ED639" s="1375"/>
      <c r="EE639" s="1375"/>
      <c r="EF639" s="1375"/>
      <c r="EG639" s="1375"/>
      <c r="EH639" s="1375" t="e">
        <f t="shared" si="5"/>
        <v>#VALUE!</v>
      </c>
      <c r="EI639" s="1375"/>
      <c r="EJ639" s="1375"/>
      <c r="EK639" s="1375"/>
      <c r="EL639" s="1375"/>
      <c r="EM639" s="1375" t="e">
        <f t="shared" si="6"/>
        <v>#VALUE!</v>
      </c>
      <c r="EN639" s="1375"/>
      <c r="EO639" s="1375"/>
      <c r="EP639" s="1375"/>
      <c r="EQ639" s="1375"/>
      <c r="ER639" s="1375" t="e">
        <f t="shared" si="7"/>
        <v>#VALUE!</v>
      </c>
      <c r="ES639" s="1375"/>
      <c r="ET639" s="1375"/>
      <c r="EU639" s="1375"/>
      <c r="EV639" s="1375"/>
      <c r="EW639" s="1375" t="e">
        <f t="shared" si="8"/>
        <v>#VALUE!</v>
      </c>
      <c r="EX639" s="1375"/>
      <c r="EY639" s="1375"/>
      <c r="EZ639" s="1375"/>
      <c r="FA639" s="1375"/>
    </row>
    <row r="640" spans="2:157" ht="12.95" customHeight="1">
      <c r="B640" s="1513" t="s">
        <v>267</v>
      </c>
      <c r="C640" s="1514"/>
      <c r="D640" s="1514"/>
      <c r="E640" s="1514"/>
      <c r="F640" s="1514"/>
      <c r="G640" s="1514"/>
      <c r="H640" s="1514"/>
      <c r="I640" s="1514"/>
      <c r="J640" s="1514"/>
      <c r="K640" s="1514"/>
      <c r="L640" s="1514"/>
      <c r="M640" s="1514"/>
      <c r="N640" s="1514"/>
      <c r="O640" s="1514"/>
      <c r="P640" s="1514"/>
      <c r="Q640" s="1514"/>
      <c r="R640" s="1514"/>
      <c r="S640" s="1514"/>
      <c r="T640" s="1514"/>
      <c r="U640" s="1514"/>
      <c r="V640" s="1514"/>
      <c r="W640" s="1514"/>
      <c r="X640" s="1514"/>
      <c r="Y640" s="1514"/>
      <c r="Z640" s="1514"/>
      <c r="AA640" s="1514"/>
      <c r="AB640" s="1514"/>
      <c r="AC640" s="1514"/>
      <c r="AD640" s="1514"/>
      <c r="AE640" s="1514"/>
      <c r="AF640" s="1514"/>
      <c r="AG640" s="1514"/>
      <c r="AH640" s="1514"/>
      <c r="AI640" s="1514"/>
      <c r="AJ640" s="1514"/>
      <c r="AK640" s="1514"/>
      <c r="AL640" s="1514"/>
      <c r="AM640" s="1514"/>
      <c r="AN640" s="1516"/>
      <c r="AO640" s="1476">
        <v>25562800</v>
      </c>
      <c r="AP640" s="1344"/>
      <c r="AQ640" s="1344"/>
      <c r="AR640" s="1344"/>
      <c r="AS640" s="1345"/>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5" t="e">
        <f t="shared" si="3"/>
        <v>#VALUE!</v>
      </c>
      <c r="DY640" s="1375"/>
      <c r="DZ640" s="1375"/>
      <c r="EA640" s="1375"/>
      <c r="EB640" s="1375"/>
      <c r="EC640" s="1375">
        <f t="shared" si="4"/>
        <v>46.318471337579616</v>
      </c>
      <c r="ED640" s="1375"/>
      <c r="EE640" s="1375"/>
      <c r="EF640" s="1375"/>
      <c r="EG640" s="1375"/>
      <c r="EH640" s="1375" t="e">
        <f t="shared" si="5"/>
        <v>#VALUE!</v>
      </c>
      <c r="EI640" s="1375"/>
      <c r="EJ640" s="1375"/>
      <c r="EK640" s="1375"/>
      <c r="EL640" s="1375"/>
      <c r="EM640" s="1375" t="e">
        <f t="shared" si="6"/>
        <v>#VALUE!</v>
      </c>
      <c r="EN640" s="1375"/>
      <c r="EO640" s="1375"/>
      <c r="EP640" s="1375"/>
      <c r="EQ640" s="1375"/>
      <c r="ER640" s="1375" t="e">
        <f t="shared" si="7"/>
        <v>#VALUE!</v>
      </c>
      <c r="ES640" s="1375"/>
      <c r="ET640" s="1375"/>
      <c r="EU640" s="1375"/>
      <c r="EV640" s="1375"/>
      <c r="EW640" s="1375" t="e">
        <f t="shared" si="8"/>
        <v>#VALUE!</v>
      </c>
      <c r="EX640" s="1375"/>
      <c r="EY640" s="1375"/>
      <c r="EZ640" s="1375"/>
      <c r="FA640" s="1375"/>
    </row>
    <row r="641" spans="1:157" ht="12.95" customHeight="1">
      <c r="B641" s="1719" t="s">
        <v>268</v>
      </c>
      <c r="C641" s="1515"/>
      <c r="D641" s="1515"/>
      <c r="E641" s="1515"/>
      <c r="F641" s="1515"/>
      <c r="G641" s="1515"/>
      <c r="H641" s="1515"/>
      <c r="I641" s="1515"/>
      <c r="J641" s="1515"/>
      <c r="K641" s="1515"/>
      <c r="L641" s="1515"/>
      <c r="M641" s="1515"/>
      <c r="N641" s="1515"/>
      <c r="O641" s="1515"/>
      <c r="P641" s="1515"/>
      <c r="Q641" s="1515"/>
      <c r="R641" s="1515"/>
      <c r="S641" s="1515"/>
      <c r="T641" s="1515"/>
      <c r="U641" s="1515"/>
      <c r="V641" s="1515"/>
      <c r="W641" s="1515"/>
      <c r="X641" s="1515"/>
      <c r="Y641" s="1515"/>
      <c r="Z641" s="1515"/>
      <c r="AA641" s="1515"/>
      <c r="AB641" s="1515"/>
      <c r="AC641" s="1515"/>
      <c r="AD641" s="1515"/>
      <c r="AE641" s="1515"/>
      <c r="AF641" s="1515"/>
      <c r="AG641" s="1515"/>
      <c r="AH641" s="1515"/>
      <c r="AI641" s="1515"/>
      <c r="AJ641" s="1515"/>
      <c r="AK641" s="1515"/>
      <c r="AL641" s="1515"/>
      <c r="AM641" s="1515"/>
      <c r="AN641" s="1720"/>
      <c r="AO641" s="1473">
        <f>AO639+AO640</f>
        <v>72842415</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5" t="e">
        <f t="shared" si="3"/>
        <v>#VALUE!</v>
      </c>
      <c r="DY641" s="1375"/>
      <c r="DZ641" s="1375"/>
      <c r="EA641" s="1375"/>
      <c r="EB641" s="1375"/>
      <c r="EC641" s="1375" t="e">
        <f t="shared" si="4"/>
        <v>#VALUE!</v>
      </c>
      <c r="ED641" s="1375"/>
      <c r="EE641" s="1375"/>
      <c r="EF641" s="1375"/>
      <c r="EG641" s="1375"/>
      <c r="EH641" s="1375" t="e">
        <f t="shared" si="5"/>
        <v>#VALUE!</v>
      </c>
      <c r="EI641" s="1375"/>
      <c r="EJ641" s="1375"/>
      <c r="EK641" s="1375"/>
      <c r="EL641" s="1375"/>
      <c r="EM641" s="1375" t="e">
        <f t="shared" si="6"/>
        <v>#VALUE!</v>
      </c>
      <c r="EN641" s="1375"/>
      <c r="EO641" s="1375"/>
      <c r="EP641" s="1375"/>
      <c r="EQ641" s="1375"/>
      <c r="ER641" s="1375" t="e">
        <f t="shared" si="7"/>
        <v>#VALUE!</v>
      </c>
      <c r="ES641" s="1375"/>
      <c r="ET641" s="1375"/>
      <c r="EU641" s="1375"/>
      <c r="EV641" s="1375"/>
      <c r="EW641" s="1375" t="e">
        <f t="shared" si="8"/>
        <v>#VALUE!</v>
      </c>
      <c r="EX641" s="1375"/>
      <c r="EY641" s="1375"/>
      <c r="EZ641" s="1375"/>
      <c r="FA641" s="137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5" t="e">
        <f t="shared" si="3"/>
        <v>#VALUE!</v>
      </c>
      <c r="DY642" s="1375"/>
      <c r="DZ642" s="1375"/>
      <c r="EA642" s="1375"/>
      <c r="EB642" s="1375"/>
      <c r="EC642" s="1375" t="e">
        <f t="shared" si="4"/>
        <v>#VALUE!</v>
      </c>
      <c r="ED642" s="1375"/>
      <c r="EE642" s="1375"/>
      <c r="EF642" s="1375"/>
      <c r="EG642" s="1375"/>
      <c r="EH642" s="1375" t="e">
        <f t="shared" si="5"/>
        <v>#VALUE!</v>
      </c>
      <c r="EI642" s="1375"/>
      <c r="EJ642" s="1375"/>
      <c r="EK642" s="1375"/>
      <c r="EL642" s="1375"/>
      <c r="EM642" s="1375" t="e">
        <f t="shared" si="6"/>
        <v>#VALUE!</v>
      </c>
      <c r="EN642" s="1375"/>
      <c r="EO642" s="1375"/>
      <c r="EP642" s="1375"/>
      <c r="EQ642" s="1375"/>
      <c r="ER642" s="1375" t="e">
        <f t="shared" si="7"/>
        <v>#VALUE!</v>
      </c>
      <c r="ES642" s="1375"/>
      <c r="ET642" s="1375"/>
      <c r="EU642" s="1375"/>
      <c r="EV642" s="1375"/>
      <c r="EW642" s="1375" t="e">
        <f t="shared" si="8"/>
        <v>#VALUE!</v>
      </c>
      <c r="EX642" s="1375"/>
      <c r="EY642" s="1375"/>
      <c r="EZ642" s="1375"/>
      <c r="FA642" s="1375"/>
    </row>
    <row r="643" spans="1:157" ht="12.95" customHeight="1">
      <c r="A643" s="55" t="s">
        <v>112</v>
      </c>
      <c r="B643" t="s">
        <v>463</v>
      </c>
      <c r="G643" s="1496" t="str">
        <f>C627</f>
        <v>Perm Loan - Citibank</v>
      </c>
      <c r="H643" s="1496"/>
      <c r="I643" s="1496"/>
      <c r="J643" s="1496"/>
      <c r="K643" s="1496"/>
      <c r="L643" s="1496"/>
      <c r="M643" s="1496"/>
      <c r="N643" s="1496"/>
      <c r="O643" s="1496"/>
      <c r="P643" s="1496"/>
      <c r="Q643" s="1496"/>
      <c r="R643" s="1496"/>
      <c r="S643" s="8"/>
      <c r="T643" s="55" t="s">
        <v>113</v>
      </c>
      <c r="U643" t="s">
        <v>463</v>
      </c>
      <c r="Z643" s="1496" t="str">
        <f>C628</f>
        <v>Seller Note - Castlewood Terrace, Inc.</v>
      </c>
      <c r="AA643" s="1496"/>
      <c r="AB643" s="1496"/>
      <c r="AC643" s="1496"/>
      <c r="AD643" s="1496"/>
      <c r="AE643" s="1496"/>
      <c r="AF643" s="1496"/>
      <c r="AG643" s="1496"/>
      <c r="AH643" s="1496"/>
      <c r="AI643" s="1496"/>
      <c r="AJ643" s="1496"/>
      <c r="AK643" s="149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5" t="e">
        <f t="shared" si="3"/>
        <v>#VALUE!</v>
      </c>
      <c r="DY643" s="1375"/>
      <c r="DZ643" s="1375"/>
      <c r="EA643" s="1375"/>
      <c r="EB643" s="1375"/>
      <c r="EC643" s="1375" t="e">
        <f t="shared" si="4"/>
        <v>#VALUE!</v>
      </c>
      <c r="ED643" s="1375"/>
      <c r="EE643" s="1375"/>
      <c r="EF643" s="1375"/>
      <c r="EG643" s="1375"/>
      <c r="EH643" s="1375" t="e">
        <f t="shared" si="5"/>
        <v>#VALUE!</v>
      </c>
      <c r="EI643" s="1375"/>
      <c r="EJ643" s="1375"/>
      <c r="EK643" s="1375"/>
      <c r="EL643" s="1375"/>
      <c r="EM643" s="1375" t="e">
        <f t="shared" si="6"/>
        <v>#VALUE!</v>
      </c>
      <c r="EN643" s="1375"/>
      <c r="EO643" s="1375"/>
      <c r="EP643" s="1375"/>
      <c r="EQ643" s="1375"/>
      <c r="ER643" s="1375" t="e">
        <f t="shared" si="7"/>
        <v>#VALUE!</v>
      </c>
      <c r="ES643" s="1375"/>
      <c r="ET643" s="1375"/>
      <c r="EU643" s="1375"/>
      <c r="EV643" s="1375"/>
      <c r="EW643" s="1375" t="e">
        <f t="shared" si="8"/>
        <v>#VALUE!</v>
      </c>
      <c r="EX643" s="1375"/>
      <c r="EY643" s="1375"/>
      <c r="EZ643" s="1375"/>
      <c r="FA643" s="1375"/>
    </row>
    <row r="644" spans="1:157" ht="12.95" customHeight="1">
      <c r="A644" s="22"/>
      <c r="B644" t="s">
        <v>85</v>
      </c>
      <c r="G644" s="1423" t="s">
        <v>2743</v>
      </c>
      <c r="H644" s="1423"/>
      <c r="I644" s="1423"/>
      <c r="J644" s="1423"/>
      <c r="K644" s="1423"/>
      <c r="L644" s="1423"/>
      <c r="M644" s="1423"/>
      <c r="N644" s="1423"/>
      <c r="O644" s="1423"/>
      <c r="P644" s="1423"/>
      <c r="Q644" s="1423"/>
      <c r="R644" s="1423"/>
      <c r="S644" s="8"/>
      <c r="T644" s="22"/>
      <c r="U644" t="s">
        <v>85</v>
      </c>
      <c r="Z644" s="1423" t="s">
        <v>2717</v>
      </c>
      <c r="AA644" s="1423"/>
      <c r="AB644" s="1423"/>
      <c r="AC644" s="1423"/>
      <c r="AD644" s="1423"/>
      <c r="AE644" s="1423"/>
      <c r="AF644" s="1423"/>
      <c r="AG644" s="1423"/>
      <c r="AH644" s="1423"/>
      <c r="AI644" s="1423"/>
      <c r="AJ644" s="1423"/>
      <c r="AK644" s="1423"/>
      <c r="AV644" s="3"/>
      <c r="AW644" s="3"/>
      <c r="AX644" s="3"/>
      <c r="AY644" s="3"/>
      <c r="AZ644" s="3"/>
      <c r="BA644" s="3"/>
      <c r="BB644" s="3"/>
      <c r="BC644" s="3"/>
      <c r="BD644" s="3"/>
      <c r="BE644" s="3"/>
      <c r="BF644" s="3"/>
      <c r="BG644" s="3"/>
      <c r="BH644" s="3"/>
      <c r="BI644" s="3"/>
      <c r="BJ644" s="3"/>
      <c r="BK644" s="3"/>
      <c r="BL644" s="3"/>
      <c r="BM644" s="3"/>
      <c r="DX644" s="1375" t="e">
        <f t="shared" si="3"/>
        <v>#VALUE!</v>
      </c>
      <c r="DY644" s="1375"/>
      <c r="DZ644" s="1375"/>
      <c r="EA644" s="1375"/>
      <c r="EB644" s="1375"/>
      <c r="EC644" s="1375" t="e">
        <f t="shared" si="4"/>
        <v>#VALUE!</v>
      </c>
      <c r="ED644" s="1375"/>
      <c r="EE644" s="1375"/>
      <c r="EF644" s="1375"/>
      <c r="EG644" s="1375"/>
      <c r="EH644" s="1375" t="e">
        <f t="shared" si="5"/>
        <v>#VALUE!</v>
      </c>
      <c r="EI644" s="1375"/>
      <c r="EJ644" s="1375"/>
      <c r="EK644" s="1375"/>
      <c r="EL644" s="1375"/>
      <c r="EM644" s="1375" t="e">
        <f t="shared" si="6"/>
        <v>#VALUE!</v>
      </c>
      <c r="EN644" s="1375"/>
      <c r="EO644" s="1375"/>
      <c r="EP644" s="1375"/>
      <c r="EQ644" s="1375"/>
      <c r="ER644" s="1375" t="e">
        <f t="shared" si="7"/>
        <v>#VALUE!</v>
      </c>
      <c r="ES644" s="1375"/>
      <c r="ET644" s="1375"/>
      <c r="EU644" s="1375"/>
      <c r="EV644" s="1375"/>
      <c r="EW644" s="1375" t="e">
        <f t="shared" si="8"/>
        <v>#VALUE!</v>
      </c>
      <c r="EX644" s="1375"/>
      <c r="EY644" s="1375"/>
      <c r="EZ644" s="1375"/>
      <c r="FA644" s="1375"/>
    </row>
    <row r="645" spans="1:157" ht="12.95" customHeight="1">
      <c r="A645" s="22"/>
      <c r="B645" t="s">
        <v>580</v>
      </c>
      <c r="G645" s="1423" t="s">
        <v>2744</v>
      </c>
      <c r="H645" s="1423"/>
      <c r="I645" s="1423"/>
      <c r="J645" s="1423"/>
      <c r="K645" s="1423"/>
      <c r="L645" s="1423"/>
      <c r="M645" s="1423"/>
      <c r="N645" s="1423"/>
      <c r="O645" s="1423"/>
      <c r="P645" s="1423"/>
      <c r="Q645" s="1423"/>
      <c r="R645" s="1423"/>
      <c r="T645" s="22"/>
      <c r="U645" t="s">
        <v>580</v>
      </c>
      <c r="Z645" s="1377" t="s">
        <v>2706</v>
      </c>
      <c r="AA645" s="1377"/>
      <c r="AB645" s="1377"/>
      <c r="AC645" s="1377"/>
      <c r="AD645" s="1377"/>
      <c r="AE645" s="1377"/>
      <c r="AF645" s="1377"/>
      <c r="AG645" s="1377"/>
      <c r="AH645" s="1377"/>
      <c r="AI645" s="1377"/>
      <c r="AJ645" s="1377"/>
      <c r="AK645" s="1377"/>
      <c r="AV645" s="3"/>
      <c r="AW645" s="3"/>
      <c r="AX645" s="3"/>
      <c r="AY645" s="3"/>
      <c r="AZ645" s="3"/>
      <c r="BA645" s="3"/>
      <c r="BB645" s="3"/>
      <c r="BC645" s="3"/>
      <c r="BD645" s="3"/>
      <c r="BE645" s="3"/>
      <c r="BF645" s="3"/>
      <c r="BG645" s="3"/>
      <c r="BH645" s="3"/>
      <c r="BI645" s="3"/>
      <c r="BJ645" s="3"/>
      <c r="BK645" s="3"/>
      <c r="BL645" s="3"/>
      <c r="BM645" s="3"/>
      <c r="DX645" s="1375" t="e">
        <f t="shared" si="3"/>
        <v>#VALUE!</v>
      </c>
      <c r="DY645" s="1375"/>
      <c r="DZ645" s="1375"/>
      <c r="EA645" s="1375"/>
      <c r="EB645" s="1375"/>
      <c r="EC645" s="1375" t="e">
        <f t="shared" si="4"/>
        <v>#VALUE!</v>
      </c>
      <c r="ED645" s="1375"/>
      <c r="EE645" s="1375"/>
      <c r="EF645" s="1375"/>
      <c r="EG645" s="1375"/>
      <c r="EH645" s="1375" t="e">
        <f t="shared" si="5"/>
        <v>#VALUE!</v>
      </c>
      <c r="EI645" s="1375"/>
      <c r="EJ645" s="1375"/>
      <c r="EK645" s="1375"/>
      <c r="EL645" s="1375"/>
      <c r="EM645" s="1375" t="e">
        <f t="shared" si="6"/>
        <v>#VALUE!</v>
      </c>
      <c r="EN645" s="1375"/>
      <c r="EO645" s="1375"/>
      <c r="EP645" s="1375"/>
      <c r="EQ645" s="1375"/>
      <c r="ER645" s="1375" t="e">
        <f t="shared" si="7"/>
        <v>#VALUE!</v>
      </c>
      <c r="ES645" s="1375"/>
      <c r="ET645" s="1375"/>
      <c r="EU645" s="1375"/>
      <c r="EV645" s="1375"/>
      <c r="EW645" s="1375" t="e">
        <f t="shared" si="8"/>
        <v>#VALUE!</v>
      </c>
      <c r="EX645" s="1375"/>
      <c r="EY645" s="1375"/>
      <c r="EZ645" s="1375"/>
      <c r="FA645" s="1375"/>
    </row>
    <row r="646" spans="1:157" ht="12.95" customHeight="1">
      <c r="A646" s="22"/>
      <c r="B646" t="s">
        <v>17</v>
      </c>
      <c r="G646" s="1423" t="s">
        <v>2745</v>
      </c>
      <c r="H646" s="1423"/>
      <c r="I646" s="1423"/>
      <c r="J646" s="1423"/>
      <c r="K646" s="1423"/>
      <c r="L646" s="1423"/>
      <c r="M646" s="1423"/>
      <c r="N646" s="1423"/>
      <c r="O646" s="1423"/>
      <c r="P646" s="1423"/>
      <c r="Q646" s="1423"/>
      <c r="R646" s="1423"/>
      <c r="S646" s="8"/>
      <c r="T646" s="22"/>
      <c r="U646" t="s">
        <v>17</v>
      </c>
      <c r="Z646" s="1377" t="s">
        <v>2748</v>
      </c>
      <c r="AA646" s="1377"/>
      <c r="AB646" s="1377"/>
      <c r="AC646" s="1377"/>
      <c r="AD646" s="1377"/>
      <c r="AE646" s="1377"/>
      <c r="AF646" s="1377"/>
      <c r="AG646" s="1377"/>
      <c r="AH646" s="1377"/>
      <c r="AI646" s="1377"/>
      <c r="AJ646" s="1377"/>
      <c r="AK646" s="1377"/>
      <c r="AZ646" s="3"/>
      <c r="BA646" s="3"/>
      <c r="BB646" s="3"/>
      <c r="BC646" s="3"/>
      <c r="BD646" s="3"/>
      <c r="BE646" s="3"/>
      <c r="BF646" s="3"/>
      <c r="BG646" s="3"/>
      <c r="BH646" s="3"/>
      <c r="BI646" s="3"/>
      <c r="BJ646" s="3"/>
      <c r="BK646" s="3"/>
      <c r="BL646" s="3"/>
      <c r="BM646" s="3"/>
      <c r="DX646" s="1375" t="e">
        <f t="shared" si="3"/>
        <v>#VALUE!</v>
      </c>
      <c r="DY646" s="1375"/>
      <c r="DZ646" s="1375"/>
      <c r="EA646" s="1375"/>
      <c r="EB646" s="1375"/>
      <c r="EC646" s="1375" t="e">
        <f t="shared" si="4"/>
        <v>#VALUE!</v>
      </c>
      <c r="ED646" s="1375"/>
      <c r="EE646" s="1375"/>
      <c r="EF646" s="1375"/>
      <c r="EG646" s="1375"/>
      <c r="EH646" s="1375" t="e">
        <f t="shared" si="5"/>
        <v>#VALUE!</v>
      </c>
      <c r="EI646" s="1375"/>
      <c r="EJ646" s="1375"/>
      <c r="EK646" s="1375"/>
      <c r="EL646" s="1375"/>
      <c r="EM646" s="1375" t="e">
        <f t="shared" si="6"/>
        <v>#VALUE!</v>
      </c>
      <c r="EN646" s="1375"/>
      <c r="EO646" s="1375"/>
      <c r="EP646" s="1375"/>
      <c r="EQ646" s="1375"/>
      <c r="ER646" s="1375" t="e">
        <f t="shared" si="7"/>
        <v>#VALUE!</v>
      </c>
      <c r="ES646" s="1375"/>
      <c r="ET646" s="1375"/>
      <c r="EU646" s="1375"/>
      <c r="EV646" s="1375"/>
      <c r="EW646" s="1375" t="e">
        <f t="shared" si="8"/>
        <v>#VALUE!</v>
      </c>
      <c r="EX646" s="1375"/>
      <c r="EY646" s="1375"/>
      <c r="EZ646" s="1375"/>
      <c r="FA646" s="1375"/>
    </row>
    <row r="647" spans="1:157" ht="12.95" customHeight="1">
      <c r="A647" s="22"/>
      <c r="B647" t="s">
        <v>316</v>
      </c>
      <c r="G647" s="1492" t="s">
        <v>2746</v>
      </c>
      <c r="H647" s="1492"/>
      <c r="I647" s="1492"/>
      <c r="J647" s="1492"/>
      <c r="K647" s="1492"/>
      <c r="L647" s="1492"/>
      <c r="O647" s="33" t="s">
        <v>206</v>
      </c>
      <c r="P647" s="1472"/>
      <c r="Q647" s="1472"/>
      <c r="R647" s="1472"/>
      <c r="S647" s="10"/>
      <c r="T647" s="22"/>
      <c r="U647" t="s">
        <v>316</v>
      </c>
      <c r="Z647" s="1492" t="s">
        <v>2749</v>
      </c>
      <c r="AA647" s="1492"/>
      <c r="AB647" s="1492"/>
      <c r="AC647" s="1492"/>
      <c r="AD647" s="1492"/>
      <c r="AE647" s="1492"/>
      <c r="AH647" s="33" t="s">
        <v>206</v>
      </c>
      <c r="AI647" s="1472"/>
      <c r="AJ647" s="1472"/>
      <c r="AK647" s="1472"/>
      <c r="AZ647" s="34"/>
      <c r="BA647" s="34"/>
      <c r="BB647" s="34"/>
      <c r="BC647" s="34"/>
      <c r="BD647" s="34"/>
      <c r="BE647" s="34"/>
      <c r="BF647" s="34"/>
      <c r="BG647" s="34"/>
      <c r="BH647" s="34"/>
      <c r="BI647" s="34"/>
      <c r="BJ647" s="34"/>
      <c r="BK647" s="34"/>
      <c r="BL647" s="34"/>
      <c r="BM647" s="34"/>
      <c r="DX647" s="1375" t="e">
        <f t="shared" si="3"/>
        <v>#VALUE!</v>
      </c>
      <c r="DY647" s="1375"/>
      <c r="DZ647" s="1375"/>
      <c r="EA647" s="1375"/>
      <c r="EB647" s="1375"/>
      <c r="EC647" s="1375" t="e">
        <f t="shared" si="4"/>
        <v>#VALUE!</v>
      </c>
      <c r="ED647" s="1375"/>
      <c r="EE647" s="1375"/>
      <c r="EF647" s="1375"/>
      <c r="EG647" s="1375"/>
      <c r="EH647" s="1375" t="e">
        <f t="shared" si="5"/>
        <v>#VALUE!</v>
      </c>
      <c r="EI647" s="1375"/>
      <c r="EJ647" s="1375"/>
      <c r="EK647" s="1375"/>
      <c r="EL647" s="1375"/>
      <c r="EM647" s="1375" t="e">
        <f t="shared" si="6"/>
        <v>#VALUE!</v>
      </c>
      <c r="EN647" s="1375"/>
      <c r="EO647" s="1375"/>
      <c r="EP647" s="1375"/>
      <c r="EQ647" s="1375"/>
      <c r="ER647" s="1375" t="e">
        <f t="shared" si="7"/>
        <v>#VALUE!</v>
      </c>
      <c r="ES647" s="1375"/>
      <c r="ET647" s="1375"/>
      <c r="EU647" s="1375"/>
      <c r="EV647" s="1375"/>
      <c r="EW647" s="1375" t="e">
        <f t="shared" si="8"/>
        <v>#VALUE!</v>
      </c>
      <c r="EX647" s="1375"/>
      <c r="EY647" s="1375"/>
      <c r="EZ647" s="1375"/>
      <c r="FA647" s="1375"/>
    </row>
    <row r="648" spans="1:157" ht="12.95" customHeight="1">
      <c r="A648" s="22"/>
      <c r="B648" t="s">
        <v>18</v>
      </c>
      <c r="H648" s="1423" t="s">
        <v>2775</v>
      </c>
      <c r="I648" s="1423"/>
      <c r="J648" s="1423"/>
      <c r="K648" s="1423"/>
      <c r="L648" s="1423"/>
      <c r="M648" s="1423"/>
      <c r="N648" s="1423"/>
      <c r="O648" s="1423"/>
      <c r="P648" s="1423"/>
      <c r="Q648" s="1423"/>
      <c r="R648" s="1423"/>
      <c r="S648" s="8"/>
      <c r="T648" s="22"/>
      <c r="U648" t="s">
        <v>18</v>
      </c>
      <c r="AA648" s="1423" t="s">
        <v>2776</v>
      </c>
      <c r="AB648" s="1423"/>
      <c r="AC648" s="1423"/>
      <c r="AD648" s="1423"/>
      <c r="AE648" s="1423"/>
      <c r="AF648" s="1423"/>
      <c r="AG648" s="1423"/>
      <c r="AH648" s="1423"/>
      <c r="AI648" s="1423"/>
      <c r="AJ648" s="1423"/>
      <c r="AK648" s="1423"/>
      <c r="AZ648" s="34"/>
      <c r="BA648" s="34"/>
      <c r="BB648" s="34"/>
      <c r="BC648" s="34"/>
      <c r="BD648" s="34"/>
      <c r="BE648" s="34"/>
      <c r="BF648" s="34"/>
      <c r="BG648" s="34"/>
      <c r="BH648" s="34"/>
      <c r="BI648" s="34"/>
      <c r="BJ648" s="34"/>
      <c r="BK648" s="34"/>
      <c r="BL648" s="34"/>
      <c r="BM648" s="34"/>
      <c r="DX648" s="1375" t="e">
        <f t="shared" si="3"/>
        <v>#VALUE!</v>
      </c>
      <c r="DY648" s="1375"/>
      <c r="DZ648" s="1375"/>
      <c r="EA648" s="1375"/>
      <c r="EB648" s="1375"/>
      <c r="EC648" s="1375" t="e">
        <f t="shared" si="4"/>
        <v>#VALUE!</v>
      </c>
      <c r="ED648" s="1375"/>
      <c r="EE648" s="1375"/>
      <c r="EF648" s="1375"/>
      <c r="EG648" s="1375"/>
      <c r="EH648" s="1375" t="e">
        <f t="shared" si="5"/>
        <v>#VALUE!</v>
      </c>
      <c r="EI648" s="1375"/>
      <c r="EJ648" s="1375"/>
      <c r="EK648" s="1375"/>
      <c r="EL648" s="1375"/>
      <c r="EM648" s="1375" t="e">
        <f t="shared" si="6"/>
        <v>#VALUE!</v>
      </c>
      <c r="EN648" s="1375"/>
      <c r="EO648" s="1375"/>
      <c r="EP648" s="1375"/>
      <c r="EQ648" s="1375"/>
      <c r="ER648" s="1375" t="e">
        <f t="shared" si="7"/>
        <v>#VALUE!</v>
      </c>
      <c r="ES648" s="1375"/>
      <c r="ET648" s="1375"/>
      <c r="EU648" s="1375"/>
      <c r="EV648" s="1375"/>
      <c r="EW648" s="1375" t="e">
        <f t="shared" si="8"/>
        <v>#VALUE!</v>
      </c>
      <c r="EX648" s="1375"/>
      <c r="EY648" s="1375"/>
      <c r="EZ648" s="1375"/>
      <c r="FA648" s="1375"/>
    </row>
    <row r="649" spans="1:157" ht="12.95" customHeight="1">
      <c r="A649" s="22"/>
      <c r="B649" t="s">
        <v>20</v>
      </c>
      <c r="N649" s="1508" t="s">
        <v>545</v>
      </c>
      <c r="O649" s="1508"/>
      <c r="T649" s="22"/>
      <c r="U649" t="s">
        <v>20</v>
      </c>
      <c r="AG649" s="1508" t="s">
        <v>545</v>
      </c>
      <c r="AH649" s="1508"/>
      <c r="AZ649" s="34"/>
      <c r="BA649" s="34"/>
      <c r="BB649" s="34"/>
      <c r="BC649" s="34"/>
      <c r="BD649" s="34"/>
      <c r="BE649" s="34"/>
      <c r="BF649" s="34"/>
      <c r="BG649" s="34"/>
      <c r="BH649" s="34"/>
      <c r="BI649" s="34"/>
      <c r="BJ649" s="34"/>
      <c r="BK649" s="34"/>
      <c r="BL649" s="34"/>
      <c r="BM649" s="34"/>
      <c r="DX649" s="1375" t="e">
        <f t="shared" si="3"/>
        <v>#VALUE!</v>
      </c>
      <c r="DY649" s="1375"/>
      <c r="DZ649" s="1375"/>
      <c r="EA649" s="1375"/>
      <c r="EB649" s="1375"/>
      <c r="EC649" s="1375" t="e">
        <f t="shared" si="4"/>
        <v>#VALUE!</v>
      </c>
      <c r="ED649" s="1375"/>
      <c r="EE649" s="1375"/>
      <c r="EF649" s="1375"/>
      <c r="EG649" s="1375"/>
      <c r="EH649" s="1375" t="e">
        <f t="shared" si="5"/>
        <v>#VALUE!</v>
      </c>
      <c r="EI649" s="1375"/>
      <c r="EJ649" s="1375"/>
      <c r="EK649" s="1375"/>
      <c r="EL649" s="1375"/>
      <c r="EM649" s="1375" t="e">
        <f t="shared" si="6"/>
        <v>#VALUE!</v>
      </c>
      <c r="EN649" s="1375"/>
      <c r="EO649" s="1375"/>
      <c r="EP649" s="1375"/>
      <c r="EQ649" s="1375"/>
      <c r="ER649" s="1375" t="e">
        <f t="shared" si="7"/>
        <v>#VALUE!</v>
      </c>
      <c r="ES649" s="1375"/>
      <c r="ET649" s="1375"/>
      <c r="EU649" s="1375"/>
      <c r="EV649" s="1375"/>
      <c r="EW649" s="1375" t="e">
        <f t="shared" si="8"/>
        <v>#VALUE!</v>
      </c>
      <c r="EX649" s="1375"/>
      <c r="EY649" s="1375"/>
      <c r="EZ649" s="1375"/>
      <c r="FA649" s="1375"/>
    </row>
    <row r="650" spans="1:157" ht="12.95" customHeight="1">
      <c r="A650" s="22"/>
      <c r="T650" s="22"/>
      <c r="AZ650" s="34"/>
      <c r="BA650" s="34"/>
      <c r="BB650" s="34"/>
      <c r="BC650" s="34"/>
      <c r="BD650" s="34"/>
      <c r="BE650" s="34"/>
      <c r="BF650" s="34"/>
      <c r="BG650" s="34"/>
      <c r="BH650" s="34"/>
      <c r="BI650" s="34"/>
      <c r="BJ650" s="34"/>
      <c r="BK650" s="34"/>
      <c r="BL650" s="34"/>
      <c r="BM650" s="34"/>
      <c r="DX650" s="1375" t="e">
        <f t="shared" si="3"/>
        <v>#VALUE!</v>
      </c>
      <c r="DY650" s="1375"/>
      <c r="DZ650" s="1375"/>
      <c r="EA650" s="1375"/>
      <c r="EB650" s="1375"/>
      <c r="EC650" s="1375" t="e">
        <f t="shared" si="4"/>
        <v>#VALUE!</v>
      </c>
      <c r="ED650" s="1375"/>
      <c r="EE650" s="1375"/>
      <c r="EF650" s="1375"/>
      <c r="EG650" s="1375"/>
      <c r="EH650" s="1375" t="e">
        <f t="shared" si="5"/>
        <v>#VALUE!</v>
      </c>
      <c r="EI650" s="1375"/>
      <c r="EJ650" s="1375"/>
      <c r="EK650" s="1375"/>
      <c r="EL650" s="1375"/>
      <c r="EM650" s="1375" t="e">
        <f t="shared" si="6"/>
        <v>#VALUE!</v>
      </c>
      <c r="EN650" s="1375"/>
      <c r="EO650" s="1375"/>
      <c r="EP650" s="1375"/>
      <c r="EQ650" s="1375"/>
      <c r="ER650" s="1375" t="e">
        <f t="shared" si="7"/>
        <v>#VALUE!</v>
      </c>
      <c r="ES650" s="1375"/>
      <c r="ET650" s="1375"/>
      <c r="EU650" s="1375"/>
      <c r="EV650" s="1375"/>
      <c r="EW650" s="1375" t="e">
        <f t="shared" si="8"/>
        <v>#VALUE!</v>
      </c>
      <c r="EX650" s="1375"/>
      <c r="EY650" s="1375"/>
      <c r="EZ650" s="1375"/>
      <c r="FA650" s="1375"/>
    </row>
    <row r="651" spans="1:157" ht="12.95" customHeight="1">
      <c r="A651" s="55" t="s">
        <v>119</v>
      </c>
      <c r="B651" t="s">
        <v>463</v>
      </c>
      <c r="G651" s="1496" t="str">
        <f>C629</f>
        <v>Seller Note - Castlewood II, Corporation</v>
      </c>
      <c r="H651" s="1496"/>
      <c r="I651" s="1496"/>
      <c r="J651" s="1496"/>
      <c r="K651" s="1496"/>
      <c r="L651" s="1496"/>
      <c r="M651" s="1496"/>
      <c r="N651" s="1496"/>
      <c r="O651" s="1496"/>
      <c r="P651" s="1496"/>
      <c r="Q651" s="1496"/>
      <c r="R651" s="1496"/>
      <c r="T651" s="55" t="s">
        <v>581</v>
      </c>
      <c r="U651" t="s">
        <v>463</v>
      </c>
      <c r="Z651" s="1496" t="str">
        <f>C630</f>
        <v>Reserve Carryover - Castlewood Terrace, Inc.</v>
      </c>
      <c r="AA651" s="1496"/>
      <c r="AB651" s="1496"/>
      <c r="AC651" s="1496"/>
      <c r="AD651" s="1496"/>
      <c r="AE651" s="1496"/>
      <c r="AF651" s="1496"/>
      <c r="AG651" s="1496"/>
      <c r="AH651" s="1496"/>
      <c r="AI651" s="1496"/>
      <c r="AJ651" s="1496"/>
      <c r="AK651" s="1496"/>
      <c r="AZ651" s="34"/>
      <c r="BA651" s="34"/>
      <c r="BB651" s="34"/>
      <c r="BC651" s="34"/>
      <c r="BD651" s="34"/>
      <c r="BE651" s="34"/>
      <c r="BF651" s="34"/>
      <c r="BG651" s="34"/>
      <c r="BH651" s="34"/>
      <c r="BI651" s="34"/>
      <c r="BJ651" s="34"/>
      <c r="BK651" s="34"/>
      <c r="BL651" s="34"/>
      <c r="BM651" s="34"/>
      <c r="DX651" s="1375" t="e">
        <f t="shared" si="3"/>
        <v>#VALUE!</v>
      </c>
      <c r="DY651" s="1375"/>
      <c r="DZ651" s="1375"/>
      <c r="EA651" s="1375"/>
      <c r="EB651" s="1375"/>
      <c r="EC651" s="1375" t="e">
        <f t="shared" si="4"/>
        <v>#VALUE!</v>
      </c>
      <c r="ED651" s="1375"/>
      <c r="EE651" s="1375"/>
      <c r="EF651" s="1375"/>
      <c r="EG651" s="1375"/>
      <c r="EH651" s="1375" t="e">
        <f t="shared" si="5"/>
        <v>#VALUE!</v>
      </c>
      <c r="EI651" s="1375"/>
      <c r="EJ651" s="1375"/>
      <c r="EK651" s="1375"/>
      <c r="EL651" s="1375"/>
      <c r="EM651" s="1375" t="e">
        <f t="shared" si="6"/>
        <v>#VALUE!</v>
      </c>
      <c r="EN651" s="1375"/>
      <c r="EO651" s="1375"/>
      <c r="EP651" s="1375"/>
      <c r="EQ651" s="1375"/>
      <c r="ER651" s="1375" t="e">
        <f t="shared" si="7"/>
        <v>#VALUE!</v>
      </c>
      <c r="ES651" s="1375"/>
      <c r="ET651" s="1375"/>
      <c r="EU651" s="1375"/>
      <c r="EV651" s="1375"/>
      <c r="EW651" s="1375" t="e">
        <f t="shared" si="8"/>
        <v>#VALUE!</v>
      </c>
      <c r="EX651" s="1375"/>
      <c r="EY651" s="1375"/>
      <c r="EZ651" s="1375"/>
      <c r="FA651" s="1375"/>
    </row>
    <row r="652" spans="1:157" ht="12.95" customHeight="1">
      <c r="A652" s="22"/>
      <c r="B652" t="s">
        <v>85</v>
      </c>
      <c r="G652" s="1423" t="s">
        <v>2717</v>
      </c>
      <c r="H652" s="1423"/>
      <c r="I652" s="1423"/>
      <c r="J652" s="1423"/>
      <c r="K652" s="1423"/>
      <c r="L652" s="1423"/>
      <c r="M652" s="1423"/>
      <c r="N652" s="1423"/>
      <c r="O652" s="1423"/>
      <c r="P652" s="1423"/>
      <c r="Q652" s="1423"/>
      <c r="R652" s="1423"/>
      <c r="T652" s="22"/>
      <c r="U652" t="s">
        <v>85</v>
      </c>
      <c r="Z652" s="1423" t="s">
        <v>2717</v>
      </c>
      <c r="AA652" s="1423"/>
      <c r="AB652" s="1423"/>
      <c r="AC652" s="1423"/>
      <c r="AD652" s="1423"/>
      <c r="AE652" s="1423"/>
      <c r="AF652" s="1423"/>
      <c r="AG652" s="1423"/>
      <c r="AH652" s="1423"/>
      <c r="AI652" s="1423"/>
      <c r="AJ652" s="1423"/>
      <c r="AK652" s="1423"/>
      <c r="AZ652" s="34"/>
      <c r="BA652" s="34"/>
      <c r="BB652" s="34"/>
      <c r="BC652" s="34"/>
      <c r="BD652" s="34"/>
      <c r="BE652" s="34"/>
      <c r="BF652" s="34"/>
      <c r="BG652" s="34"/>
      <c r="BH652" s="34"/>
      <c r="BI652" s="34"/>
      <c r="BJ652" s="34"/>
      <c r="BK652" s="34"/>
      <c r="BL652" s="34"/>
      <c r="BM652" s="34"/>
      <c r="DX652" s="1375" t="e">
        <f t="shared" si="3"/>
        <v>#VALUE!</v>
      </c>
      <c r="DY652" s="1375"/>
      <c r="DZ652" s="1375"/>
      <c r="EA652" s="1375"/>
      <c r="EB652" s="1375"/>
      <c r="EC652" s="1375" t="e">
        <f t="shared" si="4"/>
        <v>#VALUE!</v>
      </c>
      <c r="ED652" s="1375"/>
      <c r="EE652" s="1375"/>
      <c r="EF652" s="1375"/>
      <c r="EG652" s="1375"/>
      <c r="EH652" s="1375" t="e">
        <f t="shared" si="5"/>
        <v>#VALUE!</v>
      </c>
      <c r="EI652" s="1375"/>
      <c r="EJ652" s="1375"/>
      <c r="EK652" s="1375"/>
      <c r="EL652" s="1375"/>
      <c r="EM652" s="1375" t="e">
        <f t="shared" si="6"/>
        <v>#VALUE!</v>
      </c>
      <c r="EN652" s="1375"/>
      <c r="EO652" s="1375"/>
      <c r="EP652" s="1375"/>
      <c r="EQ652" s="1375"/>
      <c r="ER652" s="1375" t="e">
        <f t="shared" si="7"/>
        <v>#VALUE!</v>
      </c>
      <c r="ES652" s="1375"/>
      <c r="ET652" s="1375"/>
      <c r="EU652" s="1375"/>
      <c r="EV652" s="1375"/>
      <c r="EW652" s="1375" t="e">
        <f t="shared" si="8"/>
        <v>#VALUE!</v>
      </c>
      <c r="EX652" s="1375"/>
      <c r="EY652" s="1375"/>
      <c r="EZ652" s="1375"/>
      <c r="FA652" s="1375"/>
    </row>
    <row r="653" spans="1:157" ht="12.95" customHeight="1">
      <c r="A653" s="22"/>
      <c r="B653" t="s">
        <v>580</v>
      </c>
      <c r="G653" s="1377" t="s">
        <v>2706</v>
      </c>
      <c r="H653" s="1377"/>
      <c r="I653" s="1377"/>
      <c r="J653" s="1377"/>
      <c r="K653" s="1377"/>
      <c r="L653" s="1377"/>
      <c r="M653" s="1377"/>
      <c r="N653" s="1377"/>
      <c r="O653" s="1377"/>
      <c r="P653" s="1377"/>
      <c r="Q653" s="1377"/>
      <c r="R653" s="1377"/>
      <c r="T653" s="22"/>
      <c r="U653" t="s">
        <v>580</v>
      </c>
      <c r="Z653" s="1377" t="s">
        <v>2706</v>
      </c>
      <c r="AA653" s="1377"/>
      <c r="AB653" s="1377"/>
      <c r="AC653" s="1377"/>
      <c r="AD653" s="1377"/>
      <c r="AE653" s="1377"/>
      <c r="AF653" s="1377"/>
      <c r="AG653" s="1377"/>
      <c r="AH653" s="1377"/>
      <c r="AI653" s="1377"/>
      <c r="AJ653" s="1377"/>
      <c r="AK653" s="1377"/>
      <c r="AZ653" s="34"/>
      <c r="BA653" s="34"/>
      <c r="BB653" s="34"/>
      <c r="BC653" s="34"/>
      <c r="BD653" s="34"/>
      <c r="BE653" s="34"/>
      <c r="BF653" s="34"/>
      <c r="BG653" s="34"/>
      <c r="BH653" s="34"/>
      <c r="BI653" s="34"/>
      <c r="BJ653" s="34"/>
      <c r="BK653" s="34"/>
      <c r="BL653" s="34"/>
      <c r="BM653" s="34"/>
      <c r="DX653" s="1375" t="e">
        <f t="shared" si="3"/>
        <v>#VALUE!</v>
      </c>
      <c r="DY653" s="1375"/>
      <c r="DZ653" s="1375"/>
      <c r="EA653" s="1375"/>
      <c r="EB653" s="1375"/>
      <c r="EC653" s="1375" t="e">
        <f t="shared" si="4"/>
        <v>#VALUE!</v>
      </c>
      <c r="ED653" s="1375"/>
      <c r="EE653" s="1375"/>
      <c r="EF653" s="1375"/>
      <c r="EG653" s="1375"/>
      <c r="EH653" s="1375" t="e">
        <f t="shared" si="5"/>
        <v>#VALUE!</v>
      </c>
      <c r="EI653" s="1375"/>
      <c r="EJ653" s="1375"/>
      <c r="EK653" s="1375"/>
      <c r="EL653" s="1375"/>
      <c r="EM653" s="1375" t="e">
        <f t="shared" si="6"/>
        <v>#VALUE!</v>
      </c>
      <c r="EN653" s="1375"/>
      <c r="EO653" s="1375"/>
      <c r="EP653" s="1375"/>
      <c r="EQ653" s="1375"/>
      <c r="ER653" s="1375" t="e">
        <f t="shared" si="7"/>
        <v>#VALUE!</v>
      </c>
      <c r="ES653" s="1375"/>
      <c r="ET653" s="1375"/>
      <c r="EU653" s="1375"/>
      <c r="EV653" s="1375"/>
      <c r="EW653" s="1375" t="e">
        <f t="shared" si="8"/>
        <v>#VALUE!</v>
      </c>
      <c r="EX653" s="1375"/>
      <c r="EY653" s="1375"/>
      <c r="EZ653" s="1375"/>
      <c r="FA653" s="1375"/>
    </row>
    <row r="654" spans="1:157" ht="12.95" customHeight="1">
      <c r="A654" s="22"/>
      <c r="B654" t="s">
        <v>17</v>
      </c>
      <c r="G654" s="1377" t="s">
        <v>2748</v>
      </c>
      <c r="H654" s="1377"/>
      <c r="I654" s="1377"/>
      <c r="J654" s="1377"/>
      <c r="K654" s="1377"/>
      <c r="L654" s="1377"/>
      <c r="M654" s="1377"/>
      <c r="N654" s="1377"/>
      <c r="O654" s="1377"/>
      <c r="P654" s="1377"/>
      <c r="Q654" s="1377"/>
      <c r="R654" s="1377"/>
      <c r="T654" s="22"/>
      <c r="U654" t="s">
        <v>17</v>
      </c>
      <c r="Z654" s="1377" t="s">
        <v>2748</v>
      </c>
      <c r="AA654" s="1377"/>
      <c r="AB654" s="1377"/>
      <c r="AC654" s="1377"/>
      <c r="AD654" s="1377"/>
      <c r="AE654" s="1377"/>
      <c r="AF654" s="1377"/>
      <c r="AG654" s="1377"/>
      <c r="AH654" s="1377"/>
      <c r="AI654" s="1377"/>
      <c r="AJ654" s="1377"/>
      <c r="AK654" s="1377"/>
      <c r="AZ654" s="34"/>
      <c r="BA654" s="34"/>
      <c r="BB654" s="34"/>
      <c r="BC654" s="34"/>
      <c r="BD654" s="34"/>
      <c r="BE654" s="34"/>
      <c r="BF654" s="34"/>
      <c r="BG654" s="34"/>
      <c r="BH654" s="34"/>
      <c r="BI654" s="34"/>
      <c r="BJ654" s="34"/>
      <c r="BK654" s="34"/>
      <c r="BL654" s="34"/>
      <c r="BM654" s="34"/>
      <c r="DX654" s="1375" t="e">
        <f t="shared" si="3"/>
        <v>#VALUE!</v>
      </c>
      <c r="DY654" s="1375"/>
      <c r="DZ654" s="1375"/>
      <c r="EA654" s="1375"/>
      <c r="EB654" s="1375"/>
      <c r="EC654" s="1375" t="e">
        <f t="shared" si="4"/>
        <v>#VALUE!</v>
      </c>
      <c r="ED654" s="1375"/>
      <c r="EE654" s="1375"/>
      <c r="EF654" s="1375"/>
      <c r="EG654" s="1375"/>
      <c r="EH654" s="1375" t="e">
        <f t="shared" si="5"/>
        <v>#VALUE!</v>
      </c>
      <c r="EI654" s="1375"/>
      <c r="EJ654" s="1375"/>
      <c r="EK654" s="1375"/>
      <c r="EL654" s="1375"/>
      <c r="EM654" s="1375" t="e">
        <f t="shared" si="6"/>
        <v>#VALUE!</v>
      </c>
      <c r="EN654" s="1375"/>
      <c r="EO654" s="1375"/>
      <c r="EP654" s="1375"/>
      <c r="EQ654" s="1375"/>
      <c r="ER654" s="1375" t="e">
        <f t="shared" si="7"/>
        <v>#VALUE!</v>
      </c>
      <c r="ES654" s="1375"/>
      <c r="ET654" s="1375"/>
      <c r="EU654" s="1375"/>
      <c r="EV654" s="1375"/>
      <c r="EW654" s="1375" t="e">
        <f t="shared" si="8"/>
        <v>#VALUE!</v>
      </c>
      <c r="EX654" s="1375"/>
      <c r="EY654" s="1375"/>
      <c r="EZ654" s="1375"/>
      <c r="FA654" s="1375"/>
    </row>
    <row r="655" spans="1:157" ht="12.95" customHeight="1">
      <c r="A655" s="22"/>
      <c r="B655" t="s">
        <v>316</v>
      </c>
      <c r="G655" s="1492" t="s">
        <v>2749</v>
      </c>
      <c r="H655" s="1492"/>
      <c r="I655" s="1492"/>
      <c r="J655" s="1492"/>
      <c r="K655" s="1492"/>
      <c r="L655" s="1492"/>
      <c r="O655" s="33" t="s">
        <v>206</v>
      </c>
      <c r="P655" s="1472"/>
      <c r="Q655" s="1472"/>
      <c r="R655" s="1472"/>
      <c r="T655" s="22"/>
      <c r="U655" t="s">
        <v>316</v>
      </c>
      <c r="Z655" s="1492" t="s">
        <v>2749</v>
      </c>
      <c r="AA655" s="1492"/>
      <c r="AB655" s="1492"/>
      <c r="AC655" s="1492"/>
      <c r="AD655" s="1492"/>
      <c r="AE655" s="1492"/>
      <c r="AH655" s="33" t="s">
        <v>206</v>
      </c>
      <c r="AI655" s="1472"/>
      <c r="AJ655" s="1472"/>
      <c r="AK655" s="1472"/>
      <c r="AZ655" s="34"/>
      <c r="BA655" s="34"/>
      <c r="BB655" s="34"/>
      <c r="BC655" s="34"/>
      <c r="BD655" s="34"/>
      <c r="BE655" s="34"/>
      <c r="BF655" s="34"/>
      <c r="BG655" s="34"/>
      <c r="BH655" s="34"/>
      <c r="BI655" s="34"/>
      <c r="BJ655" s="34"/>
      <c r="BK655" s="34"/>
      <c r="BL655" s="34"/>
      <c r="BM655" s="34"/>
      <c r="DX655" s="1375" t="e">
        <f t="shared" si="3"/>
        <v>#VALUE!</v>
      </c>
      <c r="DY655" s="1375"/>
      <c r="DZ655" s="1375"/>
      <c r="EA655" s="1375"/>
      <c r="EB655" s="1375"/>
      <c r="EC655" s="1375" t="e">
        <f t="shared" si="4"/>
        <v>#VALUE!</v>
      </c>
      <c r="ED655" s="1375"/>
      <c r="EE655" s="1375"/>
      <c r="EF655" s="1375"/>
      <c r="EG655" s="1375"/>
      <c r="EH655" s="1375" t="e">
        <f t="shared" si="5"/>
        <v>#VALUE!</v>
      </c>
      <c r="EI655" s="1375"/>
      <c r="EJ655" s="1375"/>
      <c r="EK655" s="1375"/>
      <c r="EL655" s="1375"/>
      <c r="EM655" s="1375" t="e">
        <f t="shared" si="6"/>
        <v>#VALUE!</v>
      </c>
      <c r="EN655" s="1375"/>
      <c r="EO655" s="1375"/>
      <c r="EP655" s="1375"/>
      <c r="EQ655" s="1375"/>
      <c r="ER655" s="1375" t="e">
        <f t="shared" si="7"/>
        <v>#VALUE!</v>
      </c>
      <c r="ES655" s="1375"/>
      <c r="ET655" s="1375"/>
      <c r="EU655" s="1375"/>
      <c r="EV655" s="1375"/>
      <c r="EW655" s="1375" t="e">
        <f t="shared" si="8"/>
        <v>#VALUE!</v>
      </c>
      <c r="EX655" s="1375"/>
      <c r="EY655" s="1375"/>
      <c r="EZ655" s="1375"/>
      <c r="FA655" s="1375"/>
    </row>
    <row r="656" spans="1:157" ht="12.95" customHeight="1">
      <c r="A656" s="22"/>
      <c r="B656" t="s">
        <v>18</v>
      </c>
      <c r="H656" s="1423" t="s">
        <v>2776</v>
      </c>
      <c r="I656" s="1423"/>
      <c r="J656" s="1423"/>
      <c r="K656" s="1423"/>
      <c r="L656" s="1423"/>
      <c r="M656" s="1423"/>
      <c r="N656" s="1423"/>
      <c r="O656" s="1423"/>
      <c r="P656" s="1423"/>
      <c r="Q656" s="1423"/>
      <c r="R656" s="1423"/>
      <c r="T656" s="22"/>
      <c r="U656" t="s">
        <v>18</v>
      </c>
      <c r="AA656" s="1423" t="s">
        <v>2777</v>
      </c>
      <c r="AB656" s="1423"/>
      <c r="AC656" s="1423"/>
      <c r="AD656" s="1423"/>
      <c r="AE656" s="1423"/>
      <c r="AF656" s="1423"/>
      <c r="AG656" s="1423"/>
      <c r="AH656" s="1423"/>
      <c r="AI656" s="1423"/>
      <c r="AJ656" s="1423"/>
      <c r="AK656" s="1423"/>
      <c r="AZ656" s="34"/>
      <c r="BA656" s="34"/>
      <c r="BB656" s="34"/>
      <c r="BC656" s="34"/>
      <c r="BD656" s="34"/>
      <c r="BE656" s="34"/>
      <c r="BF656" s="34"/>
      <c r="BG656" s="34"/>
      <c r="BH656" s="34"/>
      <c r="BI656" s="34"/>
      <c r="BJ656" s="34"/>
      <c r="BK656" s="34"/>
      <c r="BL656" s="34"/>
      <c r="BM656" s="34"/>
      <c r="DX656" s="1375" t="e">
        <f t="shared" si="3"/>
        <v>#VALUE!</v>
      </c>
      <c r="DY656" s="1375"/>
      <c r="DZ656" s="1375"/>
      <c r="EA656" s="1375"/>
      <c r="EB656" s="1375"/>
      <c r="EC656" s="1375" t="e">
        <f t="shared" si="4"/>
        <v>#VALUE!</v>
      </c>
      <c r="ED656" s="1375"/>
      <c r="EE656" s="1375"/>
      <c r="EF656" s="1375"/>
      <c r="EG656" s="1375"/>
      <c r="EH656" s="1375" t="e">
        <f t="shared" si="5"/>
        <v>#VALUE!</v>
      </c>
      <c r="EI656" s="1375"/>
      <c r="EJ656" s="1375"/>
      <c r="EK656" s="1375"/>
      <c r="EL656" s="1375"/>
      <c r="EM656" s="1375" t="e">
        <f t="shared" si="6"/>
        <v>#VALUE!</v>
      </c>
      <c r="EN656" s="1375"/>
      <c r="EO656" s="1375"/>
      <c r="EP656" s="1375"/>
      <c r="EQ656" s="1375"/>
      <c r="ER656" s="1375" t="e">
        <f t="shared" si="7"/>
        <v>#VALUE!</v>
      </c>
      <c r="ES656" s="1375"/>
      <c r="ET656" s="1375"/>
      <c r="EU656" s="1375"/>
      <c r="EV656" s="1375"/>
      <c r="EW656" s="1375" t="e">
        <f t="shared" si="8"/>
        <v>#VALUE!</v>
      </c>
      <c r="EX656" s="1375"/>
      <c r="EY656" s="1375"/>
      <c r="EZ656" s="1375"/>
      <c r="FA656" s="1375"/>
    </row>
    <row r="657" spans="1:157" ht="12.95" customHeight="1">
      <c r="A657" s="22"/>
      <c r="B657" t="s">
        <v>20</v>
      </c>
      <c r="N657" s="1508" t="s">
        <v>545</v>
      </c>
      <c r="O657" s="1508"/>
      <c r="T657" s="22"/>
      <c r="U657" t="s">
        <v>20</v>
      </c>
      <c r="AG657" s="1508" t="s">
        <v>545</v>
      </c>
      <c r="AH657" s="1508"/>
      <c r="AZ657" s="34"/>
      <c r="BA657" s="34"/>
      <c r="BB657" s="34"/>
      <c r="BC657" s="34"/>
      <c r="BD657" s="34"/>
      <c r="BE657" s="34"/>
      <c r="BF657" s="34"/>
      <c r="BG657" s="34"/>
      <c r="BH657" s="34"/>
      <c r="BI657" s="34"/>
      <c r="BJ657" s="34"/>
      <c r="BK657" s="34"/>
      <c r="BL657" s="34"/>
      <c r="BM657" s="34"/>
      <c r="DX657" s="1375" t="e">
        <f t="shared" si="3"/>
        <v>#VALUE!</v>
      </c>
      <c r="DY657" s="1375"/>
      <c r="DZ657" s="1375"/>
      <c r="EA657" s="1375"/>
      <c r="EB657" s="1375"/>
      <c r="EC657" s="1375" t="e">
        <f t="shared" si="4"/>
        <v>#VALUE!</v>
      </c>
      <c r="ED657" s="1375"/>
      <c r="EE657" s="1375"/>
      <c r="EF657" s="1375"/>
      <c r="EG657" s="1375"/>
      <c r="EH657" s="1375" t="e">
        <f t="shared" si="5"/>
        <v>#VALUE!</v>
      </c>
      <c r="EI657" s="1375"/>
      <c r="EJ657" s="1375"/>
      <c r="EK657" s="1375"/>
      <c r="EL657" s="1375"/>
      <c r="EM657" s="1375" t="e">
        <f t="shared" si="6"/>
        <v>#VALUE!</v>
      </c>
      <c r="EN657" s="1375"/>
      <c r="EO657" s="1375"/>
      <c r="EP657" s="1375"/>
      <c r="EQ657" s="1375"/>
      <c r="ER657" s="1375" t="e">
        <f t="shared" si="7"/>
        <v>#VALUE!</v>
      </c>
      <c r="ES657" s="1375"/>
      <c r="ET657" s="1375"/>
      <c r="EU657" s="1375"/>
      <c r="EV657" s="1375"/>
      <c r="EW657" s="1375" t="e">
        <f t="shared" si="8"/>
        <v>#VALUE!</v>
      </c>
      <c r="EX657" s="1375"/>
      <c r="EY657" s="1375"/>
      <c r="EZ657" s="1375"/>
      <c r="FA657" s="1375"/>
    </row>
    <row r="658" spans="1:157" ht="12.95" customHeight="1">
      <c r="A658" s="22"/>
      <c r="T658" s="22"/>
      <c r="AZ658" s="34"/>
      <c r="BA658" s="34"/>
      <c r="BB658" s="34"/>
      <c r="BC658" s="34"/>
      <c r="BD658" s="34"/>
      <c r="BE658" s="34"/>
      <c r="BF658" s="34"/>
      <c r="BG658" s="34"/>
      <c r="BH658" s="34"/>
      <c r="BI658" s="34"/>
      <c r="BJ658" s="34"/>
      <c r="BK658" s="34"/>
      <c r="BL658" s="34"/>
      <c r="BM658" s="34"/>
      <c r="DX658" s="1375" t="e">
        <f t="shared" si="3"/>
        <v>#VALUE!</v>
      </c>
      <c r="DY658" s="1375"/>
      <c r="DZ658" s="1375"/>
      <c r="EA658" s="1375"/>
      <c r="EB658" s="1375"/>
      <c r="EC658" s="1375" t="e">
        <f t="shared" si="4"/>
        <v>#VALUE!</v>
      </c>
      <c r="ED658" s="1375"/>
      <c r="EE658" s="1375"/>
      <c r="EF658" s="1375"/>
      <c r="EG658" s="1375"/>
      <c r="EH658" s="1375" t="e">
        <f t="shared" si="5"/>
        <v>#VALUE!</v>
      </c>
      <c r="EI658" s="1375"/>
      <c r="EJ658" s="1375"/>
      <c r="EK658" s="1375"/>
      <c r="EL658" s="1375"/>
      <c r="EM658" s="1375" t="e">
        <f t="shared" si="6"/>
        <v>#VALUE!</v>
      </c>
      <c r="EN658" s="1375"/>
      <c r="EO658" s="1375"/>
      <c r="EP658" s="1375"/>
      <c r="EQ658" s="1375"/>
      <c r="ER658" s="1375" t="e">
        <f t="shared" si="7"/>
        <v>#VALUE!</v>
      </c>
      <c r="ES658" s="1375"/>
      <c r="ET658" s="1375"/>
      <c r="EU658" s="1375"/>
      <c r="EV658" s="1375"/>
      <c r="EW658" s="1375" t="e">
        <f t="shared" si="8"/>
        <v>#VALUE!</v>
      </c>
      <c r="EX658" s="1375"/>
      <c r="EY658" s="1375"/>
      <c r="EZ658" s="1375"/>
      <c r="FA658" s="1375"/>
    </row>
    <row r="659" spans="1:157" ht="12.95" customHeight="1">
      <c r="A659" s="55" t="s">
        <v>762</v>
      </c>
      <c r="B659" t="s">
        <v>463</v>
      </c>
      <c r="G659" s="1496" t="str">
        <f>C631</f>
        <v>Reserve Carryover - Castlewood II, Corporation</v>
      </c>
      <c r="H659" s="1496"/>
      <c r="I659" s="1496"/>
      <c r="J659" s="1496"/>
      <c r="K659" s="1496"/>
      <c r="L659" s="1496"/>
      <c r="M659" s="1496"/>
      <c r="N659" s="1496"/>
      <c r="O659" s="1496"/>
      <c r="P659" s="1496"/>
      <c r="Q659" s="1496"/>
      <c r="R659" s="1496"/>
      <c r="T659" s="55" t="s">
        <v>584</v>
      </c>
      <c r="U659" t="s">
        <v>463</v>
      </c>
      <c r="Z659" s="1496" t="str">
        <f>C632</f>
        <v xml:space="preserve">Deferred Developer Fee - Mansermar Development, LLC </v>
      </c>
      <c r="AA659" s="1496"/>
      <c r="AB659" s="1496"/>
      <c r="AC659" s="1496"/>
      <c r="AD659" s="1496"/>
      <c r="AE659" s="1496"/>
      <c r="AF659" s="1496"/>
      <c r="AG659" s="1496"/>
      <c r="AH659" s="1496"/>
      <c r="AI659" s="1496"/>
      <c r="AJ659" s="1496"/>
      <c r="AK659" s="1496"/>
      <c r="AZ659" s="34"/>
      <c r="BA659" s="34"/>
      <c r="BB659" s="34"/>
      <c r="BC659" s="34"/>
      <c r="BD659" s="34"/>
      <c r="BE659" s="34"/>
      <c r="BF659" s="34"/>
      <c r="BG659" s="34"/>
      <c r="BH659" s="34"/>
      <c r="BI659" s="34"/>
      <c r="BJ659" s="34"/>
      <c r="BK659" s="34"/>
      <c r="BL659" s="34"/>
      <c r="BM659" s="34"/>
      <c r="DX659" s="1375" t="e">
        <f t="shared" si="3"/>
        <v>#VALUE!</v>
      </c>
      <c r="DY659" s="1375"/>
      <c r="DZ659" s="1375"/>
      <c r="EA659" s="1375"/>
      <c r="EB659" s="1375"/>
      <c r="EC659" s="1375" t="e">
        <f t="shared" si="4"/>
        <v>#VALUE!</v>
      </c>
      <c r="ED659" s="1375"/>
      <c r="EE659" s="1375"/>
      <c r="EF659" s="1375"/>
      <c r="EG659" s="1375"/>
      <c r="EH659" s="1375" t="e">
        <f t="shared" si="5"/>
        <v>#VALUE!</v>
      </c>
      <c r="EI659" s="1375"/>
      <c r="EJ659" s="1375"/>
      <c r="EK659" s="1375"/>
      <c r="EL659" s="1375"/>
      <c r="EM659" s="1375" t="e">
        <f t="shared" si="6"/>
        <v>#VALUE!</v>
      </c>
      <c r="EN659" s="1375"/>
      <c r="EO659" s="1375"/>
      <c r="EP659" s="1375"/>
      <c r="EQ659" s="1375"/>
      <c r="ER659" s="1375" t="e">
        <f t="shared" si="7"/>
        <v>#VALUE!</v>
      </c>
      <c r="ES659" s="1375"/>
      <c r="ET659" s="1375"/>
      <c r="EU659" s="1375"/>
      <c r="EV659" s="1375"/>
      <c r="EW659" s="1375" t="e">
        <f t="shared" si="8"/>
        <v>#VALUE!</v>
      </c>
      <c r="EX659" s="1375"/>
      <c r="EY659" s="1375"/>
      <c r="EZ659" s="1375"/>
      <c r="FA659" s="1375"/>
    </row>
    <row r="660" spans="1:157" ht="12.95" customHeight="1">
      <c r="A660" s="22"/>
      <c r="B660" t="s">
        <v>85</v>
      </c>
      <c r="G660" s="1423" t="s">
        <v>2717</v>
      </c>
      <c r="H660" s="1423"/>
      <c r="I660" s="1423"/>
      <c r="J660" s="1423"/>
      <c r="K660" s="1423"/>
      <c r="L660" s="1423"/>
      <c r="M660" s="1423"/>
      <c r="N660" s="1423"/>
      <c r="O660" s="1423"/>
      <c r="P660" s="1423"/>
      <c r="Q660" s="1423"/>
      <c r="R660" s="1423"/>
      <c r="T660" s="22"/>
      <c r="U660" t="s">
        <v>85</v>
      </c>
      <c r="Z660" s="1423" t="s">
        <v>2626</v>
      </c>
      <c r="AA660" s="1423"/>
      <c r="AB660" s="1423"/>
      <c r="AC660" s="1423"/>
      <c r="AD660" s="1423"/>
      <c r="AE660" s="1423"/>
      <c r="AF660" s="1423"/>
      <c r="AG660" s="1423"/>
      <c r="AH660" s="1423"/>
      <c r="AI660" s="1423"/>
      <c r="AJ660" s="1423"/>
      <c r="AK660" s="1423"/>
      <c r="AZ660" s="34"/>
      <c r="BA660" s="34"/>
      <c r="BB660" s="34"/>
      <c r="BC660" s="34"/>
      <c r="BD660" s="34"/>
      <c r="BE660" s="34"/>
      <c r="BF660" s="34"/>
      <c r="BG660" s="34"/>
      <c r="BH660" s="34"/>
      <c r="BI660" s="34"/>
      <c r="BJ660" s="34"/>
      <c r="BK660" s="34"/>
      <c r="BL660" s="34"/>
      <c r="BM660" s="34"/>
      <c r="DX660" s="1375" t="e">
        <f t="shared" si="3"/>
        <v>#VALUE!</v>
      </c>
      <c r="DY660" s="1375"/>
      <c r="DZ660" s="1375"/>
      <c r="EA660" s="1375"/>
      <c r="EB660" s="1375"/>
      <c r="EC660" s="1375" t="e">
        <f t="shared" si="4"/>
        <v>#VALUE!</v>
      </c>
      <c r="ED660" s="1375"/>
      <c r="EE660" s="1375"/>
      <c r="EF660" s="1375"/>
      <c r="EG660" s="1375"/>
      <c r="EH660" s="1375" t="e">
        <f t="shared" si="5"/>
        <v>#VALUE!</v>
      </c>
      <c r="EI660" s="1375"/>
      <c r="EJ660" s="1375"/>
      <c r="EK660" s="1375"/>
      <c r="EL660" s="1375"/>
      <c r="EM660" s="1375" t="e">
        <f t="shared" si="6"/>
        <v>#VALUE!</v>
      </c>
      <c r="EN660" s="1375"/>
      <c r="EO660" s="1375"/>
      <c r="EP660" s="1375"/>
      <c r="EQ660" s="1375"/>
      <c r="ER660" s="1375" t="e">
        <f t="shared" si="7"/>
        <v>#VALUE!</v>
      </c>
      <c r="ES660" s="1375"/>
      <c r="ET660" s="1375"/>
      <c r="EU660" s="1375"/>
      <c r="EV660" s="1375"/>
      <c r="EW660" s="1375" t="e">
        <f t="shared" si="8"/>
        <v>#VALUE!</v>
      </c>
      <c r="EX660" s="1375"/>
      <c r="EY660" s="1375"/>
      <c r="EZ660" s="1375"/>
      <c r="FA660" s="1375"/>
    </row>
    <row r="661" spans="1:157" ht="12.95" customHeight="1">
      <c r="A661" s="22"/>
      <c r="B661" t="s">
        <v>580</v>
      </c>
      <c r="G661" s="1423" t="s">
        <v>2706</v>
      </c>
      <c r="H661" s="1423"/>
      <c r="I661" s="1423"/>
      <c r="J661" s="1423"/>
      <c r="K661" s="1423"/>
      <c r="L661" s="1423"/>
      <c r="M661" s="1423"/>
      <c r="N661" s="1423"/>
      <c r="O661" s="1423"/>
      <c r="P661" s="1423"/>
      <c r="Q661" s="1423"/>
      <c r="R661" s="1423"/>
      <c r="T661" s="22"/>
      <c r="U661" t="s">
        <v>580</v>
      </c>
      <c r="Z661" s="1377" t="s">
        <v>2642</v>
      </c>
      <c r="AA661" s="1377"/>
      <c r="AB661" s="1377"/>
      <c r="AC661" s="1377"/>
      <c r="AD661" s="1377"/>
      <c r="AE661" s="1377"/>
      <c r="AF661" s="1377"/>
      <c r="AG661" s="1377"/>
      <c r="AH661" s="1377"/>
      <c r="AI661" s="1377"/>
      <c r="AJ661" s="1377"/>
      <c r="AK661" s="1377"/>
      <c r="AZ661" s="34"/>
      <c r="BA661" s="34"/>
      <c r="BB661" s="34"/>
      <c r="BC661" s="34"/>
      <c r="BD661" s="34"/>
      <c r="BE661" s="34"/>
      <c r="BF661" s="34"/>
      <c r="BG661" s="34"/>
      <c r="BH661" s="34"/>
      <c r="BI661" s="34"/>
      <c r="BJ661" s="34"/>
      <c r="BK661" s="34"/>
      <c r="BL661" s="34"/>
      <c r="BM661" s="34"/>
      <c r="DX661" s="1375" t="e">
        <f t="shared" si="3"/>
        <v>#VALUE!</v>
      </c>
      <c r="DY661" s="1375"/>
      <c r="DZ661" s="1375"/>
      <c r="EA661" s="1375"/>
      <c r="EB661" s="1375"/>
      <c r="EC661" s="1375" t="e">
        <f t="shared" si="4"/>
        <v>#VALUE!</v>
      </c>
      <c r="ED661" s="1375"/>
      <c r="EE661" s="1375"/>
      <c r="EF661" s="1375"/>
      <c r="EG661" s="1375"/>
      <c r="EH661" s="1375" t="e">
        <f t="shared" si="5"/>
        <v>#VALUE!</v>
      </c>
      <c r="EI661" s="1375"/>
      <c r="EJ661" s="1375"/>
      <c r="EK661" s="1375"/>
      <c r="EL661" s="1375"/>
      <c r="EM661" s="1375" t="e">
        <f t="shared" si="6"/>
        <v>#VALUE!</v>
      </c>
      <c r="EN661" s="1375"/>
      <c r="EO661" s="1375"/>
      <c r="EP661" s="1375"/>
      <c r="EQ661" s="1375"/>
      <c r="ER661" s="1375" t="e">
        <f t="shared" si="7"/>
        <v>#VALUE!</v>
      </c>
      <c r="ES661" s="1375"/>
      <c r="ET661" s="1375"/>
      <c r="EU661" s="1375"/>
      <c r="EV661" s="1375"/>
      <c r="EW661" s="1375" t="e">
        <f t="shared" si="8"/>
        <v>#VALUE!</v>
      </c>
      <c r="EX661" s="1375"/>
      <c r="EY661" s="1375"/>
      <c r="EZ661" s="1375"/>
      <c r="FA661" s="1375"/>
    </row>
    <row r="662" spans="1:157" ht="12.95" customHeight="1">
      <c r="A662" s="22"/>
      <c r="B662" t="s">
        <v>17</v>
      </c>
      <c r="G662" s="1423" t="s">
        <v>2748</v>
      </c>
      <c r="H662" s="1423"/>
      <c r="I662" s="1423"/>
      <c r="J662" s="1423"/>
      <c r="K662" s="1423"/>
      <c r="L662" s="1423"/>
      <c r="M662" s="1423"/>
      <c r="N662" s="1423"/>
      <c r="O662" s="1423"/>
      <c r="P662" s="1423"/>
      <c r="Q662" s="1423"/>
      <c r="R662" s="1423"/>
      <c r="T662" s="22"/>
      <c r="U662" t="s">
        <v>17</v>
      </c>
      <c r="Z662" s="1377" t="s">
        <v>2751</v>
      </c>
      <c r="AA662" s="1377"/>
      <c r="AB662" s="1377"/>
      <c r="AC662" s="1377"/>
      <c r="AD662" s="1377"/>
      <c r="AE662" s="1377"/>
      <c r="AF662" s="1377"/>
      <c r="AG662" s="1377"/>
      <c r="AH662" s="1377"/>
      <c r="AI662" s="1377"/>
      <c r="AJ662" s="1377"/>
      <c r="AK662" s="137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5" t="e">
        <f t="shared" si="3"/>
        <v>#VALUE!</v>
      </c>
      <c r="DY662" s="1375"/>
      <c r="DZ662" s="1375"/>
      <c r="EA662" s="1375"/>
      <c r="EB662" s="1375"/>
      <c r="EC662" s="1375" t="e">
        <f t="shared" si="4"/>
        <v>#VALUE!</v>
      </c>
      <c r="ED662" s="1375"/>
      <c r="EE662" s="1375"/>
      <c r="EF662" s="1375"/>
      <c r="EG662" s="1375"/>
      <c r="EH662" s="1375" t="e">
        <f t="shared" si="5"/>
        <v>#VALUE!</v>
      </c>
      <c r="EI662" s="1375"/>
      <c r="EJ662" s="1375"/>
      <c r="EK662" s="1375"/>
      <c r="EL662" s="1375"/>
      <c r="EM662" s="1375" t="e">
        <f t="shared" si="6"/>
        <v>#VALUE!</v>
      </c>
      <c r="EN662" s="1375"/>
      <c r="EO662" s="1375"/>
      <c r="EP662" s="1375"/>
      <c r="EQ662" s="1375"/>
      <c r="ER662" s="1375" t="e">
        <f t="shared" si="7"/>
        <v>#VALUE!</v>
      </c>
      <c r="ES662" s="1375"/>
      <c r="ET662" s="1375"/>
      <c r="EU662" s="1375"/>
      <c r="EV662" s="1375"/>
      <c r="EW662" s="1375" t="e">
        <f t="shared" si="8"/>
        <v>#VALUE!</v>
      </c>
      <c r="EX662" s="1375"/>
      <c r="EY662" s="1375"/>
      <c r="EZ662" s="1375"/>
      <c r="FA662" s="1375"/>
    </row>
    <row r="663" spans="1:157" ht="12.95" customHeight="1">
      <c r="A663" s="22"/>
      <c r="B663" t="s">
        <v>316</v>
      </c>
      <c r="G663" s="1492" t="s">
        <v>2749</v>
      </c>
      <c r="H663" s="1492"/>
      <c r="I663" s="1492"/>
      <c r="J663" s="1492"/>
      <c r="K663" s="1492"/>
      <c r="L663" s="1492"/>
      <c r="O663" s="33" t="s">
        <v>206</v>
      </c>
      <c r="P663" s="1472"/>
      <c r="Q663" s="1472"/>
      <c r="R663" s="1472"/>
      <c r="T663" s="22"/>
      <c r="U663" t="s">
        <v>316</v>
      </c>
      <c r="Z663" s="1492" t="s">
        <v>2755</v>
      </c>
      <c r="AA663" s="1492"/>
      <c r="AB663" s="1492"/>
      <c r="AC663" s="1492"/>
      <c r="AD663" s="1492"/>
      <c r="AE663" s="1492"/>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5" t="e">
        <f t="shared" si="3"/>
        <v>#VALUE!</v>
      </c>
      <c r="DY663" s="1375"/>
      <c r="DZ663" s="1375"/>
      <c r="EA663" s="1375"/>
      <c r="EB663" s="1375"/>
      <c r="EC663" s="1375" t="e">
        <f t="shared" si="4"/>
        <v>#VALUE!</v>
      </c>
      <c r="ED663" s="1375"/>
      <c r="EE663" s="1375"/>
      <c r="EF663" s="1375"/>
      <c r="EG663" s="1375"/>
      <c r="EH663" s="1375" t="e">
        <f t="shared" si="5"/>
        <v>#VALUE!</v>
      </c>
      <c r="EI663" s="1375"/>
      <c r="EJ663" s="1375"/>
      <c r="EK663" s="1375"/>
      <c r="EL663" s="1375"/>
      <c r="EM663" s="1375" t="e">
        <f t="shared" si="6"/>
        <v>#VALUE!</v>
      </c>
      <c r="EN663" s="1375"/>
      <c r="EO663" s="1375"/>
      <c r="EP663" s="1375"/>
      <c r="EQ663" s="1375"/>
      <c r="ER663" s="1375" t="e">
        <f t="shared" si="7"/>
        <v>#VALUE!</v>
      </c>
      <c r="ES663" s="1375"/>
      <c r="ET663" s="1375"/>
      <c r="EU663" s="1375"/>
      <c r="EV663" s="1375"/>
      <c r="EW663" s="1375" t="e">
        <f t="shared" si="8"/>
        <v>#VALUE!</v>
      </c>
      <c r="EX663" s="1375"/>
      <c r="EY663" s="1375"/>
      <c r="EZ663" s="1375"/>
      <c r="FA663" s="1375"/>
    </row>
    <row r="664" spans="1:157" ht="12.95" customHeight="1">
      <c r="A664" s="22"/>
      <c r="B664" t="s">
        <v>18</v>
      </c>
      <c r="H664" s="1423" t="s">
        <v>2777</v>
      </c>
      <c r="I664" s="1423"/>
      <c r="J664" s="1423"/>
      <c r="K664" s="1423"/>
      <c r="L664" s="1423"/>
      <c r="M664" s="1423"/>
      <c r="N664" s="1423"/>
      <c r="O664" s="1423"/>
      <c r="P664" s="1423"/>
      <c r="Q664" s="1423"/>
      <c r="R664" s="1423"/>
      <c r="T664" s="22"/>
      <c r="U664" t="s">
        <v>18</v>
      </c>
      <c r="AA664" s="1423" t="s">
        <v>2318</v>
      </c>
      <c r="AB664" s="1423"/>
      <c r="AC664" s="1423"/>
      <c r="AD664" s="1423"/>
      <c r="AE664" s="1423"/>
      <c r="AF664" s="1423"/>
      <c r="AG664" s="1423"/>
      <c r="AH664" s="1423"/>
      <c r="AI664" s="1423"/>
      <c r="AJ664" s="1423"/>
      <c r="AK664" s="142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5" t="e">
        <f t="shared" si="3"/>
        <v>#VALUE!</v>
      </c>
      <c r="DY664" s="1375"/>
      <c r="DZ664" s="1375"/>
      <c r="EA664" s="1375"/>
      <c r="EB664" s="1375"/>
      <c r="EC664" s="1375" t="e">
        <f t="shared" si="4"/>
        <v>#VALUE!</v>
      </c>
      <c r="ED664" s="1375"/>
      <c r="EE664" s="1375"/>
      <c r="EF664" s="1375"/>
      <c r="EG664" s="1375"/>
      <c r="EH664" s="1375" t="e">
        <f t="shared" si="5"/>
        <v>#VALUE!</v>
      </c>
      <c r="EI664" s="1375"/>
      <c r="EJ664" s="1375"/>
      <c r="EK664" s="1375"/>
      <c r="EL664" s="1375"/>
      <c r="EM664" s="1375" t="e">
        <f t="shared" si="6"/>
        <v>#VALUE!</v>
      </c>
      <c r="EN664" s="1375"/>
      <c r="EO664" s="1375"/>
      <c r="EP664" s="1375"/>
      <c r="EQ664" s="1375"/>
      <c r="ER664" s="1375" t="e">
        <f t="shared" si="7"/>
        <v>#VALUE!</v>
      </c>
      <c r="ES664" s="1375"/>
      <c r="ET664" s="1375"/>
      <c r="EU664" s="1375"/>
      <c r="EV664" s="1375"/>
      <c r="EW664" s="1375" t="e">
        <f t="shared" si="8"/>
        <v>#VALUE!</v>
      </c>
      <c r="EX664" s="1375"/>
      <c r="EY664" s="1375"/>
      <c r="EZ664" s="1375"/>
      <c r="FA664" s="1375"/>
    </row>
    <row r="665" spans="1:157" ht="12.95" customHeight="1">
      <c r="A665" s="22"/>
      <c r="B665" t="s">
        <v>20</v>
      </c>
      <c r="N665" s="1508" t="s">
        <v>545</v>
      </c>
      <c r="O665" s="1508"/>
      <c r="T665" s="22"/>
      <c r="U665" t="s">
        <v>20</v>
      </c>
      <c r="AG665" s="1508" t="s">
        <v>545</v>
      </c>
      <c r="AH665" s="150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5" t="e">
        <f t="shared" si="3"/>
        <v>#VALUE!</v>
      </c>
      <c r="DY665" s="1375"/>
      <c r="DZ665" s="1375"/>
      <c r="EA665" s="1375"/>
      <c r="EB665" s="1375"/>
      <c r="EC665" s="1375" t="e">
        <f t="shared" si="4"/>
        <v>#VALUE!</v>
      </c>
      <c r="ED665" s="1375"/>
      <c r="EE665" s="1375"/>
      <c r="EF665" s="1375"/>
      <c r="EG665" s="1375"/>
      <c r="EH665" s="1375" t="e">
        <f t="shared" si="5"/>
        <v>#VALUE!</v>
      </c>
      <c r="EI665" s="1375"/>
      <c r="EJ665" s="1375"/>
      <c r="EK665" s="1375"/>
      <c r="EL665" s="1375"/>
      <c r="EM665" s="1375" t="e">
        <f t="shared" si="6"/>
        <v>#VALUE!</v>
      </c>
      <c r="EN665" s="1375"/>
      <c r="EO665" s="1375"/>
      <c r="EP665" s="1375"/>
      <c r="EQ665" s="1375"/>
      <c r="ER665" s="1375" t="e">
        <f t="shared" si="7"/>
        <v>#VALUE!</v>
      </c>
      <c r="ES665" s="1375"/>
      <c r="ET665" s="1375"/>
      <c r="EU665" s="1375"/>
      <c r="EV665" s="1375"/>
      <c r="EW665" s="1375" t="e">
        <f t="shared" si="8"/>
        <v>#VALUE!</v>
      </c>
      <c r="EX665" s="1375"/>
      <c r="EY665" s="1375"/>
      <c r="EZ665" s="1375"/>
      <c r="FA665" s="137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5" t="e">
        <f t="shared" si="3"/>
        <v>#VALUE!</v>
      </c>
      <c r="DY666" s="1375"/>
      <c r="DZ666" s="1375"/>
      <c r="EA666" s="1375"/>
      <c r="EB666" s="1375"/>
      <c r="EC666" s="1375" t="e">
        <f t="shared" si="4"/>
        <v>#VALUE!</v>
      </c>
      <c r="ED666" s="1375"/>
      <c r="EE666" s="1375"/>
      <c r="EF666" s="1375"/>
      <c r="EG666" s="1375"/>
      <c r="EH666" s="1375" t="e">
        <f t="shared" si="5"/>
        <v>#VALUE!</v>
      </c>
      <c r="EI666" s="1375"/>
      <c r="EJ666" s="1375"/>
      <c r="EK666" s="1375"/>
      <c r="EL666" s="1375"/>
      <c r="EM666" s="1375" t="e">
        <f t="shared" si="6"/>
        <v>#VALUE!</v>
      </c>
      <c r="EN666" s="1375"/>
      <c r="EO666" s="1375"/>
      <c r="EP666" s="1375"/>
      <c r="EQ666" s="1375"/>
      <c r="ER666" s="1375" t="e">
        <f t="shared" si="7"/>
        <v>#VALUE!</v>
      </c>
      <c r="ES666" s="1375"/>
      <c r="ET666" s="1375"/>
      <c r="EU666" s="1375"/>
      <c r="EV666" s="1375"/>
      <c r="EW666" s="1375" t="e">
        <f t="shared" si="8"/>
        <v>#VALUE!</v>
      </c>
      <c r="EX666" s="1375"/>
      <c r="EY666" s="1375"/>
      <c r="EZ666" s="1375"/>
      <c r="FA666" s="1375"/>
    </row>
    <row r="667" spans="1:157" ht="12.95" customHeight="1">
      <c r="A667" s="55" t="s">
        <v>455</v>
      </c>
      <c r="B667" t="s">
        <v>463</v>
      </c>
      <c r="G667" s="1496" t="str">
        <f>C633</f>
        <v>Operating Income - Castlewood Terrace, LP</v>
      </c>
      <c r="H667" s="1496"/>
      <c r="I667" s="1496"/>
      <c r="J667" s="1496"/>
      <c r="K667" s="1496"/>
      <c r="L667" s="1496"/>
      <c r="M667" s="1496"/>
      <c r="N667" s="1496"/>
      <c r="O667" s="1496"/>
      <c r="P667" s="1496"/>
      <c r="Q667" s="1496"/>
      <c r="R667" s="1496"/>
      <c r="T667" s="55" t="s">
        <v>456</v>
      </c>
      <c r="U667" t="s">
        <v>463</v>
      </c>
      <c r="Z667" s="1496" t="str">
        <f>C634</f>
        <v>HUD GRRP Surplus Cash Loan</v>
      </c>
      <c r="AA667" s="1496"/>
      <c r="AB667" s="1496"/>
      <c r="AC667" s="1496"/>
      <c r="AD667" s="1496"/>
      <c r="AE667" s="1496"/>
      <c r="AF667" s="1496"/>
      <c r="AG667" s="1496"/>
      <c r="AH667" s="1496"/>
      <c r="AI667" s="1496"/>
      <c r="AJ667" s="1496"/>
      <c r="AK667" s="149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5" t="e">
        <f t="shared" si="3"/>
        <v>#VALUE!</v>
      </c>
      <c r="DY667" s="1375"/>
      <c r="DZ667" s="1375"/>
      <c r="EA667" s="1375"/>
      <c r="EB667" s="1375"/>
      <c r="EC667" s="1375" t="e">
        <f t="shared" si="4"/>
        <v>#VALUE!</v>
      </c>
      <c r="ED667" s="1375"/>
      <c r="EE667" s="1375"/>
      <c r="EF667" s="1375"/>
      <c r="EG667" s="1375"/>
      <c r="EH667" s="1375" t="e">
        <f t="shared" si="5"/>
        <v>#VALUE!</v>
      </c>
      <c r="EI667" s="1375"/>
      <c r="EJ667" s="1375"/>
      <c r="EK667" s="1375"/>
      <c r="EL667" s="1375"/>
      <c r="EM667" s="1375" t="e">
        <f t="shared" si="6"/>
        <v>#VALUE!</v>
      </c>
      <c r="EN667" s="1375"/>
      <c r="EO667" s="1375"/>
      <c r="EP667" s="1375"/>
      <c r="EQ667" s="1375"/>
      <c r="ER667" s="1375" t="e">
        <f t="shared" si="7"/>
        <v>#VALUE!</v>
      </c>
      <c r="ES667" s="1375"/>
      <c r="ET667" s="1375"/>
      <c r="EU667" s="1375"/>
      <c r="EV667" s="1375"/>
      <c r="EW667" s="1375" t="e">
        <f t="shared" si="8"/>
        <v>#VALUE!</v>
      </c>
      <c r="EX667" s="1375"/>
      <c r="EY667" s="1375"/>
      <c r="EZ667" s="1375"/>
      <c r="FA667" s="1375"/>
    </row>
    <row r="668" spans="1:157" ht="12.95" customHeight="1">
      <c r="A668" s="22"/>
      <c r="B668" t="s">
        <v>85</v>
      </c>
      <c r="G668" s="1423" t="s">
        <v>2626</v>
      </c>
      <c r="H668" s="1423"/>
      <c r="I668" s="1423"/>
      <c r="J668" s="1423"/>
      <c r="K668" s="1423"/>
      <c r="L668" s="1423"/>
      <c r="M668" s="1423"/>
      <c r="N668" s="1423"/>
      <c r="O668" s="1423"/>
      <c r="P668" s="1423"/>
      <c r="Q668" s="1423"/>
      <c r="R668" s="1423"/>
      <c r="T668" s="22"/>
      <c r="U668" t="s">
        <v>85</v>
      </c>
      <c r="Z668" s="1423" t="s">
        <v>2752</v>
      </c>
      <c r="AA668" s="1423"/>
      <c r="AB668" s="1423"/>
      <c r="AC668" s="1423" t="s">
        <v>2752</v>
      </c>
      <c r="AD668" s="1423"/>
      <c r="AE668" s="1423"/>
      <c r="AF668" s="1423" t="s">
        <v>2752</v>
      </c>
      <c r="AG668" s="1423"/>
      <c r="AH668" s="1423"/>
      <c r="AI668" s="1423" t="s">
        <v>2752</v>
      </c>
      <c r="AJ668" s="1423"/>
      <c r="AK668" s="142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5" t="e">
        <f t="shared" si="3"/>
        <v>#VALUE!</v>
      </c>
      <c r="DY668" s="1375"/>
      <c r="DZ668" s="1375"/>
      <c r="EA668" s="1375"/>
      <c r="EB668" s="1375"/>
      <c r="EC668" s="1375" t="e">
        <f t="shared" si="4"/>
        <v>#VALUE!</v>
      </c>
      <c r="ED668" s="1375"/>
      <c r="EE668" s="1375"/>
      <c r="EF668" s="1375"/>
      <c r="EG668" s="1375"/>
      <c r="EH668" s="1375" t="e">
        <f t="shared" si="5"/>
        <v>#VALUE!</v>
      </c>
      <c r="EI668" s="1375"/>
      <c r="EJ668" s="1375"/>
      <c r="EK668" s="1375"/>
      <c r="EL668" s="1375"/>
      <c r="EM668" s="1375" t="e">
        <f t="shared" si="6"/>
        <v>#VALUE!</v>
      </c>
      <c r="EN668" s="1375"/>
      <c r="EO668" s="1375"/>
      <c r="EP668" s="1375"/>
      <c r="EQ668" s="1375"/>
      <c r="ER668" s="1375" t="e">
        <f t="shared" si="7"/>
        <v>#VALUE!</v>
      </c>
      <c r="ES668" s="1375"/>
      <c r="ET668" s="1375"/>
      <c r="EU668" s="1375"/>
      <c r="EV668" s="1375"/>
      <c r="EW668" s="1375" t="e">
        <f t="shared" si="8"/>
        <v>#VALUE!</v>
      </c>
      <c r="EX668" s="1375"/>
      <c r="EY668" s="1375"/>
      <c r="EZ668" s="1375"/>
      <c r="FA668" s="1375"/>
    </row>
    <row r="669" spans="1:157" ht="12.95" customHeight="1">
      <c r="A669" s="22"/>
      <c r="B669" t="s">
        <v>580</v>
      </c>
      <c r="G669" s="1423" t="s">
        <v>2642</v>
      </c>
      <c r="H669" s="1423"/>
      <c r="I669" s="1423"/>
      <c r="J669" s="1423"/>
      <c r="K669" s="1423"/>
      <c r="L669" s="1423"/>
      <c r="M669" s="1423"/>
      <c r="N669" s="1423"/>
      <c r="O669" s="1423"/>
      <c r="P669" s="1423"/>
      <c r="Q669" s="1423"/>
      <c r="R669" s="1423"/>
      <c r="T669" s="22"/>
      <c r="U669" t="s">
        <v>580</v>
      </c>
      <c r="Z669" s="1377" t="s">
        <v>2753</v>
      </c>
      <c r="AA669" s="1377"/>
      <c r="AB669" s="1377"/>
      <c r="AC669" s="1377" t="s">
        <v>2753</v>
      </c>
      <c r="AD669" s="1377"/>
      <c r="AE669" s="1377"/>
      <c r="AF669" s="1377" t="s">
        <v>2753</v>
      </c>
      <c r="AG669" s="1377"/>
      <c r="AH669" s="1377"/>
      <c r="AI669" s="1377" t="s">
        <v>2753</v>
      </c>
      <c r="AJ669" s="1377"/>
      <c r="AK669" s="137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5" t="e">
        <f t="shared" si="3"/>
        <v>#VALUE!</v>
      </c>
      <c r="DY669" s="1375"/>
      <c r="DZ669" s="1375"/>
      <c r="EA669" s="1375"/>
      <c r="EB669" s="1375"/>
      <c r="EC669" s="1375" t="e">
        <f t="shared" si="4"/>
        <v>#VALUE!</v>
      </c>
      <c r="ED669" s="1375"/>
      <c r="EE669" s="1375"/>
      <c r="EF669" s="1375"/>
      <c r="EG669" s="1375"/>
      <c r="EH669" s="1375" t="e">
        <f t="shared" si="5"/>
        <v>#VALUE!</v>
      </c>
      <c r="EI669" s="1375"/>
      <c r="EJ669" s="1375"/>
      <c r="EK669" s="1375"/>
      <c r="EL669" s="1375"/>
      <c r="EM669" s="1375" t="e">
        <f t="shared" si="6"/>
        <v>#VALUE!</v>
      </c>
      <c r="EN669" s="1375"/>
      <c r="EO669" s="1375"/>
      <c r="EP669" s="1375"/>
      <c r="EQ669" s="1375"/>
      <c r="ER669" s="1375" t="e">
        <f t="shared" si="7"/>
        <v>#VALUE!</v>
      </c>
      <c r="ES669" s="1375"/>
      <c r="ET669" s="1375"/>
      <c r="EU669" s="1375"/>
      <c r="EV669" s="1375"/>
      <c r="EW669" s="1375" t="e">
        <f t="shared" si="8"/>
        <v>#VALUE!</v>
      </c>
      <c r="EX669" s="1375"/>
      <c r="EY669" s="1375"/>
      <c r="EZ669" s="1375"/>
      <c r="FA669" s="1375"/>
    </row>
    <row r="670" spans="1:157" ht="12.95" customHeight="1">
      <c r="A670" s="22"/>
      <c r="B670" t="s">
        <v>17</v>
      </c>
      <c r="G670" s="1423" t="s">
        <v>2628</v>
      </c>
      <c r="H670" s="1423"/>
      <c r="I670" s="1423"/>
      <c r="J670" s="1423"/>
      <c r="K670" s="1423"/>
      <c r="L670" s="1423"/>
      <c r="M670" s="1423"/>
      <c r="N670" s="1423"/>
      <c r="O670" s="1423"/>
      <c r="P670" s="1423"/>
      <c r="Q670" s="1423"/>
      <c r="R670" s="1423"/>
      <c r="T670" s="22"/>
      <c r="U670" t="s">
        <v>17</v>
      </c>
      <c r="Z670" s="1377" t="s">
        <v>2779</v>
      </c>
      <c r="AA670" s="1377"/>
      <c r="AB670" s="1377"/>
      <c r="AC670" s="1377"/>
      <c r="AD670" s="1377"/>
      <c r="AE670" s="1377"/>
      <c r="AF670" s="1377"/>
      <c r="AG670" s="1377"/>
      <c r="AH670" s="1377"/>
      <c r="AI670" s="1377"/>
      <c r="AJ670" s="1377"/>
      <c r="AK670" s="137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5">
        <f>SUMIF(DX635:EB669,"&gt;0")</f>
        <v>0</v>
      </c>
      <c r="DY670" s="1375"/>
      <c r="DZ670" s="1375"/>
      <c r="EA670" s="1375"/>
      <c r="EB670" s="1375"/>
      <c r="EC670" s="1375">
        <f>SUMIF(EC635:EG669,"&gt;0")</f>
        <v>1544.656050955414</v>
      </c>
      <c r="ED670" s="1375"/>
      <c r="EE670" s="1375"/>
      <c r="EF670" s="1375"/>
      <c r="EG670" s="1375"/>
      <c r="EH670" s="1375">
        <f>SUMIF(EH635:EL669,"&gt;0")</f>
        <v>0</v>
      </c>
      <c r="EI670" s="1375"/>
      <c r="EJ670" s="1375"/>
      <c r="EK670" s="1375"/>
      <c r="EL670" s="1375"/>
      <c r="EM670" s="1375">
        <f>SUMIF(EM635:EQ669,"&gt;0")</f>
        <v>0</v>
      </c>
      <c r="EN670" s="1375"/>
      <c r="EO670" s="1375"/>
      <c r="EP670" s="1375"/>
      <c r="EQ670" s="1375"/>
      <c r="ER670" s="1375">
        <f>SUMIF(ER635:EV669,"&gt;0")</f>
        <v>0</v>
      </c>
      <c r="ES670" s="1375"/>
      <c r="ET670" s="1375"/>
      <c r="EU670" s="1375"/>
      <c r="EV670" s="1375"/>
      <c r="EW670" s="1375">
        <f>SUMIF(EW635:FA669,"&gt;0")</f>
        <v>0</v>
      </c>
      <c r="EX670" s="1375"/>
      <c r="EY670" s="1375"/>
      <c r="EZ670" s="1375"/>
      <c r="FA670" s="1375"/>
    </row>
    <row r="671" spans="1:157" ht="12.95" customHeight="1">
      <c r="A671" s="22"/>
      <c r="B671" t="s">
        <v>316</v>
      </c>
      <c r="G671" s="1492" t="s">
        <v>2754</v>
      </c>
      <c r="H671" s="1492"/>
      <c r="I671" s="1492"/>
      <c r="J671" s="1492"/>
      <c r="K671" s="1492"/>
      <c r="L671" s="1492"/>
      <c r="O671" s="33" t="s">
        <v>206</v>
      </c>
      <c r="P671" s="1472"/>
      <c r="Q671" s="1472"/>
      <c r="R671" s="1472"/>
      <c r="T671" s="22"/>
      <c r="U671" t="s">
        <v>316</v>
      </c>
      <c r="Z671" s="1492" t="s">
        <v>2780</v>
      </c>
      <c r="AA671" s="1492"/>
      <c r="AB671" s="1492"/>
      <c r="AC671" s="1492" t="s">
        <v>2780</v>
      </c>
      <c r="AD671" s="1492"/>
      <c r="AE671" s="1492"/>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23" t="s">
        <v>2778</v>
      </c>
      <c r="I672" s="1423"/>
      <c r="J672" s="1423"/>
      <c r="K672" s="1423"/>
      <c r="L672" s="1423"/>
      <c r="M672" s="1423"/>
      <c r="N672" s="1423"/>
      <c r="O672" s="1423"/>
      <c r="P672" s="1423"/>
      <c r="Q672" s="1423"/>
      <c r="R672" s="1423"/>
      <c r="T672" s="22"/>
      <c r="U672" t="s">
        <v>18</v>
      </c>
      <c r="AA672" s="1423" t="s">
        <v>2780</v>
      </c>
      <c r="AB672" s="1423"/>
      <c r="AC672" s="1423"/>
      <c r="AD672" s="1423"/>
      <c r="AE672" s="1423"/>
      <c r="AF672" s="1423"/>
      <c r="AG672" s="1423"/>
      <c r="AH672" s="1423"/>
      <c r="AI672" s="1423"/>
      <c r="AJ672" s="1423"/>
      <c r="AK672" s="142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508" t="s">
        <v>545</v>
      </c>
      <c r="O673" s="1508"/>
      <c r="T673" s="22"/>
      <c r="U673" t="s">
        <v>20</v>
      </c>
      <c r="AG673" s="1508" t="s">
        <v>545</v>
      </c>
      <c r="AH673" s="1508"/>
      <c r="AZ673" s="3"/>
    </row>
    <row r="674" spans="1:52" ht="12.95" customHeight="1">
      <c r="A674" s="22"/>
      <c r="T674" s="22"/>
      <c r="AZ674" s="3"/>
    </row>
    <row r="675" spans="1:52" ht="12.95" customHeight="1">
      <c r="A675" s="55" t="s">
        <v>461</v>
      </c>
      <c r="B675" t="s">
        <v>463</v>
      </c>
      <c r="G675" s="1496" t="str">
        <f>C635</f>
        <v xml:space="preserve">GP Capital Contribution </v>
      </c>
      <c r="H675" s="1496"/>
      <c r="I675" s="1496"/>
      <c r="J675" s="1496"/>
      <c r="K675" s="1496"/>
      <c r="L675" s="1496"/>
      <c r="M675" s="1496"/>
      <c r="N675" s="1496"/>
      <c r="O675" s="1496"/>
      <c r="P675" s="1496"/>
      <c r="Q675" s="1496"/>
      <c r="R675" s="1496"/>
      <c r="T675" s="55" t="s">
        <v>645</v>
      </c>
      <c r="U675" t="s">
        <v>463</v>
      </c>
      <c r="Z675" s="1496">
        <f>C636</f>
        <v>0</v>
      </c>
      <c r="AA675" s="1496"/>
      <c r="AB675" s="1496"/>
      <c r="AC675" s="1496"/>
      <c r="AD675" s="1496"/>
      <c r="AE675" s="1496"/>
      <c r="AF675" s="1496"/>
      <c r="AG675" s="1496"/>
      <c r="AH675" s="1496"/>
      <c r="AI675" s="1496"/>
      <c r="AJ675" s="1496"/>
      <c r="AK675" s="1496"/>
      <c r="AZ675" s="3"/>
    </row>
    <row r="676" spans="1:52" ht="12.95" customHeight="1">
      <c r="A676" s="22"/>
      <c r="B676" t="s">
        <v>85</v>
      </c>
      <c r="G676" s="1423" t="s">
        <v>2626</v>
      </c>
      <c r="H676" s="1423"/>
      <c r="I676" s="1423"/>
      <c r="J676" s="1423"/>
      <c r="K676" s="1423"/>
      <c r="L676" s="1423"/>
      <c r="M676" s="1423"/>
      <c r="N676" s="1423"/>
      <c r="O676" s="1423"/>
      <c r="P676" s="1423"/>
      <c r="Q676" s="1423"/>
      <c r="R676" s="1423"/>
      <c r="T676" s="22"/>
      <c r="U676" t="s">
        <v>85</v>
      </c>
      <c r="Z676" s="1423"/>
      <c r="AA676" s="1423"/>
      <c r="AB676" s="1423"/>
      <c r="AC676" s="1423"/>
      <c r="AD676" s="1423"/>
      <c r="AE676" s="1423"/>
      <c r="AF676" s="1423"/>
      <c r="AG676" s="1423"/>
      <c r="AH676" s="1423"/>
      <c r="AI676" s="1423"/>
      <c r="AJ676" s="1423"/>
      <c r="AK676" s="1423"/>
      <c r="AZ676" s="3"/>
    </row>
    <row r="677" spans="1:52" ht="12.95" customHeight="1">
      <c r="A677" s="22"/>
      <c r="B677" t="s">
        <v>580</v>
      </c>
      <c r="G677" s="1423" t="s">
        <v>2642</v>
      </c>
      <c r="H677" s="1423"/>
      <c r="I677" s="1423"/>
      <c r="J677" s="1423"/>
      <c r="K677" s="1423"/>
      <c r="L677" s="1423"/>
      <c r="M677" s="1423"/>
      <c r="N677" s="1423"/>
      <c r="O677" s="1423"/>
      <c r="P677" s="1423"/>
      <c r="Q677" s="1423"/>
      <c r="R677" s="1423"/>
      <c r="T677" s="22"/>
      <c r="U677" t="s">
        <v>580</v>
      </c>
      <c r="Z677" s="1377"/>
      <c r="AA677" s="1377"/>
      <c r="AB677" s="1377"/>
      <c r="AC677" s="1377"/>
      <c r="AD677" s="1377"/>
      <c r="AE677" s="1377"/>
      <c r="AF677" s="1377"/>
      <c r="AG677" s="1377"/>
      <c r="AH677" s="1377"/>
      <c r="AI677" s="1377"/>
      <c r="AJ677" s="1377"/>
      <c r="AK677" s="1377"/>
      <c r="AZ677" s="3"/>
    </row>
    <row r="678" spans="1:52" ht="12.95" customHeight="1">
      <c r="A678" s="22"/>
      <c r="B678" t="s">
        <v>17</v>
      </c>
      <c r="G678" s="1423" t="s">
        <v>2628</v>
      </c>
      <c r="H678" s="1423"/>
      <c r="I678" s="1423"/>
      <c r="J678" s="1423"/>
      <c r="K678" s="1423"/>
      <c r="L678" s="1423"/>
      <c r="M678" s="1423"/>
      <c r="N678" s="1423"/>
      <c r="O678" s="1423"/>
      <c r="P678" s="1423"/>
      <c r="Q678" s="1423"/>
      <c r="R678" s="1423"/>
      <c r="T678" s="22"/>
      <c r="U678" t="s">
        <v>17</v>
      </c>
      <c r="Z678" s="1377"/>
      <c r="AA678" s="1377"/>
      <c r="AB678" s="1377"/>
      <c r="AC678" s="1377"/>
      <c r="AD678" s="1377"/>
      <c r="AE678" s="1377"/>
      <c r="AF678" s="1377"/>
      <c r="AG678" s="1377"/>
      <c r="AH678" s="1377"/>
      <c r="AI678" s="1377"/>
      <c r="AJ678" s="1377"/>
      <c r="AK678" s="1377"/>
      <c r="AZ678" s="3"/>
    </row>
    <row r="679" spans="1:52" ht="12.95" customHeight="1">
      <c r="A679" s="22"/>
      <c r="B679" t="s">
        <v>316</v>
      </c>
      <c r="G679" s="1492" t="s">
        <v>2754</v>
      </c>
      <c r="H679" s="1492"/>
      <c r="I679" s="1492"/>
      <c r="J679" s="1492"/>
      <c r="K679" s="1492"/>
      <c r="L679" s="1492"/>
      <c r="O679" s="33" t="s">
        <v>206</v>
      </c>
      <c r="P679" s="1472"/>
      <c r="Q679" s="1472"/>
      <c r="R679" s="1472"/>
      <c r="T679" s="22"/>
      <c r="U679" t="s">
        <v>316</v>
      </c>
      <c r="Z679" s="1492"/>
      <c r="AA679" s="1492"/>
      <c r="AB679" s="1492"/>
      <c r="AC679" s="1492"/>
      <c r="AD679" s="1492"/>
      <c r="AE679" s="1492"/>
      <c r="AH679" s="33" t="s">
        <v>206</v>
      </c>
      <c r="AI679" s="1472"/>
      <c r="AJ679" s="1472"/>
      <c r="AK679" s="1472"/>
      <c r="AZ679" s="3"/>
    </row>
    <row r="680" spans="1:52" ht="12.95" customHeight="1">
      <c r="A680" s="22"/>
      <c r="B680" t="s">
        <v>18</v>
      </c>
      <c r="H680" s="1423" t="s">
        <v>2107</v>
      </c>
      <c r="I680" s="1423"/>
      <c r="J680" s="1423"/>
      <c r="K680" s="1423"/>
      <c r="L680" s="1423"/>
      <c r="M680" s="1423"/>
      <c r="N680" s="1423"/>
      <c r="O680" s="1423"/>
      <c r="P680" s="1423"/>
      <c r="Q680" s="1423"/>
      <c r="R680" s="1423"/>
      <c r="T680" s="22"/>
      <c r="U680" t="s">
        <v>18</v>
      </c>
      <c r="AA680" s="1423"/>
      <c r="AB680" s="1423"/>
      <c r="AC680" s="1423"/>
      <c r="AD680" s="1423"/>
      <c r="AE680" s="1423"/>
      <c r="AF680" s="1423"/>
      <c r="AG680" s="1423"/>
      <c r="AH680" s="1423"/>
      <c r="AI680" s="1423"/>
      <c r="AJ680" s="1423"/>
      <c r="AK680" s="1423"/>
      <c r="AZ680" s="3"/>
    </row>
    <row r="681" spans="1:52" ht="12.95" customHeight="1">
      <c r="A681" s="22"/>
      <c r="B681" t="s">
        <v>20</v>
      </c>
      <c r="N681" s="1508" t="s">
        <v>545</v>
      </c>
      <c r="O681" s="1508"/>
      <c r="T681" s="22"/>
      <c r="U681" t="s">
        <v>20</v>
      </c>
      <c r="AG681" s="1508" t="s">
        <v>668</v>
      </c>
      <c r="AH681" s="1508"/>
      <c r="AZ681" s="3"/>
    </row>
    <row r="682" spans="1:52" ht="12.95" customHeight="1">
      <c r="A682" s="22"/>
      <c r="T682" s="22"/>
      <c r="AZ682" s="3"/>
    </row>
    <row r="683" spans="1:52" ht="12.95" customHeight="1">
      <c r="A683" s="55" t="s">
        <v>361</v>
      </c>
      <c r="B683" t="s">
        <v>463</v>
      </c>
      <c r="G683" s="1496">
        <f>C637</f>
        <v>0</v>
      </c>
      <c r="H683" s="1496"/>
      <c r="I683" s="1496"/>
      <c r="J683" s="1496"/>
      <c r="K683" s="1496"/>
      <c r="L683" s="1496"/>
      <c r="M683" s="1496"/>
      <c r="N683" s="1496"/>
      <c r="O683" s="1496"/>
      <c r="P683" s="1496"/>
      <c r="Q683" s="1496"/>
      <c r="R683" s="1496"/>
      <c r="T683" s="55" t="s">
        <v>362</v>
      </c>
      <c r="U683" t="s">
        <v>463</v>
      </c>
      <c r="Z683" s="1496">
        <f>C638</f>
        <v>0</v>
      </c>
      <c r="AA683" s="1496"/>
      <c r="AB683" s="1496"/>
      <c r="AC683" s="1496"/>
      <c r="AD683" s="1496"/>
      <c r="AE683" s="1496"/>
      <c r="AF683" s="1496"/>
      <c r="AG683" s="1496"/>
      <c r="AH683" s="1496"/>
      <c r="AI683" s="1496"/>
      <c r="AJ683" s="1496"/>
      <c r="AK683" s="1496"/>
      <c r="AZ683" s="3"/>
    </row>
    <row r="684" spans="1:52" ht="12.95" customHeight="1">
      <c r="B684" t="s">
        <v>85</v>
      </c>
      <c r="G684" s="1423"/>
      <c r="H684" s="1423"/>
      <c r="I684" s="1423"/>
      <c r="J684" s="1423"/>
      <c r="K684" s="1423"/>
      <c r="L684" s="1423"/>
      <c r="M684" s="1423"/>
      <c r="N684" s="1423"/>
      <c r="O684" s="1423"/>
      <c r="P684" s="1423"/>
      <c r="Q684" s="1423"/>
      <c r="R684" s="1423"/>
      <c r="T684" s="22"/>
      <c r="U684" t="s">
        <v>85</v>
      </c>
      <c r="Z684" s="1423"/>
      <c r="AA684" s="1423"/>
      <c r="AB684" s="1423"/>
      <c r="AC684" s="1423"/>
      <c r="AD684" s="1423"/>
      <c r="AE684" s="1423"/>
      <c r="AF684" s="1423"/>
      <c r="AG684" s="1423"/>
      <c r="AH684" s="1423"/>
      <c r="AI684" s="1423"/>
      <c r="AJ684" s="1423"/>
      <c r="AK684" s="1423"/>
      <c r="AZ684" s="3"/>
    </row>
    <row r="685" spans="1:52" ht="12.95" customHeight="1">
      <c r="B685" t="s">
        <v>580</v>
      </c>
      <c r="G685" s="1423"/>
      <c r="H685" s="1423"/>
      <c r="I685" s="1423"/>
      <c r="J685" s="1423"/>
      <c r="K685" s="1423"/>
      <c r="L685" s="1423"/>
      <c r="M685" s="1423"/>
      <c r="N685" s="1423"/>
      <c r="O685" s="1423"/>
      <c r="P685" s="1423"/>
      <c r="Q685" s="1423"/>
      <c r="R685" s="1423"/>
      <c r="U685" t="s">
        <v>580</v>
      </c>
      <c r="Z685" s="1377"/>
      <c r="AA685" s="1377"/>
      <c r="AB685" s="1377"/>
      <c r="AC685" s="1377"/>
      <c r="AD685" s="1377"/>
      <c r="AE685" s="1377"/>
      <c r="AF685" s="1377"/>
      <c r="AG685" s="1377"/>
      <c r="AH685" s="1377"/>
      <c r="AI685" s="1377"/>
      <c r="AJ685" s="1377"/>
      <c r="AK685" s="1377"/>
      <c r="AZ685" s="3"/>
    </row>
    <row r="686" spans="1:52" ht="12.95" customHeight="1">
      <c r="B686" t="s">
        <v>17</v>
      </c>
      <c r="G686" s="1423"/>
      <c r="H686" s="1423"/>
      <c r="I686" s="1423"/>
      <c r="J686" s="1423"/>
      <c r="K686" s="1423"/>
      <c r="L686" s="1423"/>
      <c r="M686" s="1423"/>
      <c r="N686" s="1423"/>
      <c r="O686" s="1423"/>
      <c r="P686" s="1423"/>
      <c r="Q686" s="1423"/>
      <c r="R686" s="1423"/>
      <c r="U686" t="s">
        <v>17</v>
      </c>
      <c r="Z686" s="1377"/>
      <c r="AA686" s="1377"/>
      <c r="AB686" s="1377"/>
      <c r="AC686" s="1377"/>
      <c r="AD686" s="1377"/>
      <c r="AE686" s="1377"/>
      <c r="AF686" s="1377"/>
      <c r="AG686" s="1377"/>
      <c r="AH686" s="1377"/>
      <c r="AI686" s="1377"/>
      <c r="AJ686" s="1377"/>
      <c r="AK686" s="1377"/>
      <c r="AZ686" s="3"/>
    </row>
    <row r="687" spans="1:52" ht="12.95" customHeight="1">
      <c r="B687" t="s">
        <v>316</v>
      </c>
      <c r="G687" s="1492"/>
      <c r="H687" s="1492"/>
      <c r="I687" s="1492"/>
      <c r="J687" s="1492"/>
      <c r="K687" s="1492"/>
      <c r="L687" s="1492"/>
      <c r="O687" s="33" t="s">
        <v>206</v>
      </c>
      <c r="P687" s="1472"/>
      <c r="Q687" s="1472"/>
      <c r="R687" s="1472"/>
      <c r="U687" t="s">
        <v>316</v>
      </c>
      <c r="Z687" s="1492"/>
      <c r="AA687" s="1492"/>
      <c r="AB687" s="1492"/>
      <c r="AC687" s="1492"/>
      <c r="AD687" s="1492"/>
      <c r="AE687" s="1492"/>
      <c r="AH687" s="33" t="s">
        <v>206</v>
      </c>
      <c r="AI687" s="1472"/>
      <c r="AJ687" s="1472"/>
      <c r="AK687" s="1472"/>
      <c r="AZ687" s="3"/>
    </row>
    <row r="688" spans="1:52" ht="12.95" customHeight="1">
      <c r="B688" t="s">
        <v>18</v>
      </c>
      <c r="H688" s="1423"/>
      <c r="I688" s="1423"/>
      <c r="J688" s="1423"/>
      <c r="K688" s="1423"/>
      <c r="L688" s="1423"/>
      <c r="M688" s="1423"/>
      <c r="N688" s="1423"/>
      <c r="O688" s="1423"/>
      <c r="P688" s="1423"/>
      <c r="Q688" s="1423"/>
      <c r="R688" s="1423"/>
      <c r="U688" t="s">
        <v>18</v>
      </c>
      <c r="AA688" s="1423"/>
      <c r="AB688" s="1423"/>
      <c r="AC688" s="1423"/>
      <c r="AD688" s="1423"/>
      <c r="AE688" s="1423"/>
      <c r="AF688" s="1423"/>
      <c r="AG688" s="1423"/>
      <c r="AH688" s="1423"/>
      <c r="AI688" s="1423"/>
      <c r="AJ688" s="1423"/>
      <c r="AK688" s="1423"/>
      <c r="AZ688" s="3"/>
    </row>
    <row r="689" spans="1:67" ht="12.95" customHeight="1">
      <c r="B689" t="s">
        <v>20</v>
      </c>
      <c r="N689" s="1508" t="s">
        <v>668</v>
      </c>
      <c r="O689" s="1508"/>
      <c r="U689" t="s">
        <v>20</v>
      </c>
      <c r="AG689" s="1508" t="s">
        <v>668</v>
      </c>
      <c r="AH689" s="1508"/>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508" t="s">
        <v>668</v>
      </c>
      <c r="AF693" s="1508"/>
      <c r="AZ693" s="3"/>
    </row>
    <row r="694" spans="1:67" ht="12.95" customHeight="1">
      <c r="B694" s="135"/>
      <c r="C694" s="135"/>
      <c r="D694" s="136" t="s">
        <v>437</v>
      </c>
      <c r="E694" s="135"/>
      <c r="F694" s="135"/>
      <c r="G694" s="135"/>
      <c r="H694" s="135"/>
      <c r="AE694" s="1508" t="s">
        <v>545</v>
      </c>
      <c r="AF694" s="1508"/>
      <c r="AZ694" s="3"/>
    </row>
    <row r="695" spans="1:67" ht="12.95" customHeight="1">
      <c r="B695" s="135"/>
      <c r="C695" s="135"/>
      <c r="D695" s="136" t="s">
        <v>919</v>
      </c>
      <c r="E695" s="135"/>
      <c r="F695" s="135"/>
      <c r="G695" s="135"/>
      <c r="H695" s="135"/>
      <c r="AE695" s="1553">
        <v>45909</v>
      </c>
      <c r="AF695" s="1553"/>
      <c r="AG695" s="1553"/>
      <c r="AH695" s="1553"/>
      <c r="AI695" s="1553"/>
    </row>
    <row r="696" spans="1:67" ht="12.95" customHeight="1">
      <c r="B696" s="135"/>
      <c r="C696" s="135"/>
      <c r="D696" s="317" t="s">
        <v>981</v>
      </c>
      <c r="E696" s="135"/>
      <c r="F696" s="135"/>
      <c r="G696" s="135"/>
      <c r="H696" s="135"/>
      <c r="AE696" s="1671">
        <v>45980</v>
      </c>
      <c r="AF696" s="1671"/>
      <c r="AG696" s="1671"/>
      <c r="AH696" s="1671"/>
      <c r="AI696" s="1671"/>
    </row>
    <row r="697" spans="1:67" ht="12.95" customHeight="1">
      <c r="B697" s="135"/>
      <c r="C697" s="135"/>
    </row>
    <row r="698" spans="1:67" ht="12.95" customHeight="1">
      <c r="B698" s="135"/>
      <c r="C698" s="135"/>
      <c r="D698" s="136" t="s">
        <v>815</v>
      </c>
      <c r="E698" s="135"/>
      <c r="F698" s="135"/>
      <c r="G698" s="135"/>
      <c r="H698" s="135"/>
      <c r="AE698" s="1553">
        <v>46143</v>
      </c>
      <c r="AF698" s="1553"/>
      <c r="AG698" s="1553"/>
      <c r="AH698" s="1553"/>
      <c r="AI698" s="1553"/>
    </row>
    <row r="699" spans="1:67" ht="12.95" customHeight="1">
      <c r="B699" s="135"/>
      <c r="C699" s="135"/>
      <c r="D699" s="136" t="s">
        <v>435</v>
      </c>
      <c r="E699" s="135"/>
      <c r="F699" s="135"/>
      <c r="G699" s="135"/>
      <c r="H699" s="135"/>
      <c r="AE699" s="1687">
        <v>0.3</v>
      </c>
      <c r="AF699" s="1687"/>
      <c r="AG699" s="1687"/>
      <c r="AH699" s="1687"/>
      <c r="AI699" s="1687"/>
    </row>
    <row r="700" spans="1:67" ht="12.95" customHeight="1">
      <c r="B700" s="135"/>
      <c r="C700" s="135"/>
      <c r="D700" s="136" t="s">
        <v>436</v>
      </c>
      <c r="E700" s="135"/>
      <c r="F700" s="135"/>
      <c r="G700" s="135"/>
      <c r="H700" s="135"/>
      <c r="W700" s="1496" t="str">
        <f>H335</f>
        <v>Los Angeles Housing Department</v>
      </c>
      <c r="X700" s="1496"/>
      <c r="Y700" s="1496"/>
      <c r="Z700" s="1496"/>
      <c r="AA700" s="1496"/>
      <c r="AB700" s="1496"/>
      <c r="AC700" s="1496"/>
      <c r="AD700" s="1496"/>
      <c r="AE700" s="1496"/>
      <c r="AF700" s="1496"/>
      <c r="AG700" s="1496"/>
      <c r="AH700" s="1496"/>
      <c r="AI700" s="1496"/>
      <c r="AJ700" s="1496"/>
      <c r="AK700" s="1496"/>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508" t="s">
        <v>668</v>
      </c>
      <c r="AF702" s="1508"/>
      <c r="AZ702" s="4" t="s">
        <v>324</v>
      </c>
    </row>
    <row r="703" spans="1:67" ht="12.95" customHeight="1">
      <c r="B703" s="135"/>
      <c r="C703" s="135"/>
      <c r="D703" s="136" t="s">
        <v>442</v>
      </c>
      <c r="E703" s="135"/>
      <c r="F703" s="135"/>
      <c r="G703" s="135"/>
      <c r="H703" s="135"/>
      <c r="W703" s="1423"/>
      <c r="X703" s="1423"/>
      <c r="Y703" s="1423"/>
      <c r="Z703" s="1423"/>
      <c r="AA703" s="1423"/>
      <c r="AB703" s="1423"/>
      <c r="AC703" s="1423"/>
      <c r="AD703" s="1423"/>
      <c r="AE703" s="1423"/>
      <c r="AF703" s="1423"/>
      <c r="AG703" s="1423"/>
      <c r="AH703" s="1423"/>
      <c r="AI703" s="1423"/>
      <c r="AJ703" s="1423"/>
      <c r="AK703" s="1423"/>
      <c r="AZ703" s="4" t="s">
        <v>325</v>
      </c>
    </row>
    <row r="704" spans="1:67" ht="12.95" customHeight="1">
      <c r="B704" s="135"/>
      <c r="C704" s="135"/>
      <c r="D704" s="136" t="s">
        <v>87</v>
      </c>
      <c r="E704" s="135"/>
      <c r="F704" s="135"/>
      <c r="G704" s="135"/>
      <c r="H704" s="135"/>
      <c r="J704" s="1423"/>
      <c r="K704" s="1423"/>
      <c r="L704" s="1423"/>
      <c r="M704" s="1423"/>
      <c r="N704" s="1423"/>
      <c r="O704" s="1423"/>
      <c r="P704" s="1423"/>
      <c r="Q704" s="1423"/>
      <c r="R704" s="1423"/>
      <c r="S704" s="1423"/>
      <c r="T704" s="1423"/>
      <c r="U704" s="1423"/>
      <c r="V704" s="1423"/>
      <c r="W704" s="1423"/>
      <c r="X704" s="1423"/>
      <c r="AZ704" s="4" t="s">
        <v>163</v>
      </c>
      <c r="BB704" s="34"/>
      <c r="BC704" s="34"/>
      <c r="BD704" s="34"/>
      <c r="BE704" s="3"/>
      <c r="BF704" s="3"/>
      <c r="BJ704" s="3"/>
      <c r="BK704" s="3"/>
      <c r="BL704" s="3"/>
      <c r="BM704" s="3"/>
      <c r="BN704" s="34"/>
      <c r="BO704" s="34"/>
    </row>
    <row r="705" spans="1:185" ht="12.95" customHeight="1">
      <c r="B705" s="135"/>
      <c r="C705" s="135"/>
      <c r="D705" s="136" t="s">
        <v>88</v>
      </c>
      <c r="J705" s="1492"/>
      <c r="K705" s="1492"/>
      <c r="L705" s="1492"/>
      <c r="M705" s="1492"/>
      <c r="N705" s="1492"/>
      <c r="O705" s="1492"/>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23" t="s">
        <v>307</v>
      </c>
      <c r="X706" s="1423"/>
      <c r="Y706" s="1423"/>
      <c r="Z706" s="1423"/>
      <c r="AA706" s="1423"/>
      <c r="AB706" s="1423"/>
      <c r="AC706" s="1423"/>
      <c r="AD706" s="1423"/>
      <c r="AE706" s="1423"/>
      <c r="AF706" s="1423"/>
      <c r="AG706" s="1423"/>
      <c r="AH706" s="1423"/>
      <c r="AI706" s="1423"/>
      <c r="AJ706" s="1423"/>
      <c r="AK706" s="142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23" t="s">
        <v>334</v>
      </c>
      <c r="F707" s="1423"/>
      <c r="G707" s="1423"/>
      <c r="H707" s="1423"/>
      <c r="I707" s="1423"/>
      <c r="J707" s="1423"/>
      <c r="K707" s="1423"/>
      <c r="L707" s="1423"/>
      <c r="M707" s="1423"/>
      <c r="N707" s="1423"/>
      <c r="O707" s="1423"/>
      <c r="P707" s="1423"/>
      <c r="Q707" s="1423"/>
      <c r="R707" s="1423"/>
      <c r="S707" s="1423"/>
      <c r="T707" s="1423"/>
      <c r="U707" s="1423"/>
      <c r="V707" s="1423"/>
      <c r="W707" s="1423"/>
      <c r="X707" s="1423"/>
      <c r="Y707" s="1423"/>
      <c r="Z707" s="1423"/>
      <c r="AA707" s="1423"/>
      <c r="AB707" s="1423"/>
      <c r="AC707" s="1423"/>
      <c r="AD707" s="1423"/>
      <c r="AE707" s="1423"/>
      <c r="AF707" s="1423"/>
      <c r="AG707" s="1423"/>
      <c r="AH707" s="1423"/>
      <c r="AI707" s="1423"/>
      <c r="AJ707" s="1423"/>
      <c r="AK707" s="142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14" t="s">
        <v>388</v>
      </c>
      <c r="C714" s="1415"/>
      <c r="D714" s="1415"/>
      <c r="E714" s="1415"/>
      <c r="F714" s="1416"/>
      <c r="G714" s="1414" t="s">
        <v>285</v>
      </c>
      <c r="H714" s="1415"/>
      <c r="I714" s="1415"/>
      <c r="J714" s="1416"/>
      <c r="K714" s="1521" t="s">
        <v>1677</v>
      </c>
      <c r="L714" s="1522"/>
      <c r="M714" s="1522"/>
      <c r="N714" s="1523"/>
      <c r="O714" s="1414" t="s">
        <v>447</v>
      </c>
      <c r="P714" s="1415"/>
      <c r="Q714" s="1415"/>
      <c r="R714" s="1415"/>
      <c r="S714" s="1416"/>
      <c r="T714" s="1672" t="s">
        <v>1947</v>
      </c>
      <c r="U714" s="1415"/>
      <c r="V714" s="1415"/>
      <c r="W714" s="1416"/>
      <c r="X714" s="1672" t="s">
        <v>1949</v>
      </c>
      <c r="Y714" s="1415"/>
      <c r="Z714" s="1415"/>
      <c r="AA714" s="1415"/>
      <c r="AB714" s="1416"/>
      <c r="AC714" s="1672" t="s">
        <v>1948</v>
      </c>
      <c r="AD714" s="1415"/>
      <c r="AE714" s="1415"/>
      <c r="AF714" s="1415"/>
      <c r="AG714" s="1416"/>
      <c r="AH714" s="1672" t="s">
        <v>1950</v>
      </c>
      <c r="AI714" s="1415"/>
      <c r="AJ714" s="1416"/>
      <c r="AK714" s="1672" t="s">
        <v>1977</v>
      </c>
      <c r="AL714" s="1415"/>
      <c r="AM714" s="1415"/>
      <c r="AN714" s="1415"/>
      <c r="AO714" s="141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17"/>
      <c r="C715" s="1418"/>
      <c r="D715" s="1418"/>
      <c r="E715" s="1418"/>
      <c r="F715" s="1419"/>
      <c r="G715" s="1417"/>
      <c r="H715" s="1418"/>
      <c r="I715" s="1418"/>
      <c r="J715" s="1419"/>
      <c r="K715" s="1524"/>
      <c r="L715" s="1525"/>
      <c r="M715" s="1525"/>
      <c r="N715" s="1526"/>
      <c r="O715" s="1417"/>
      <c r="P715" s="1418"/>
      <c r="Q715" s="1418"/>
      <c r="R715" s="1418"/>
      <c r="S715" s="1419"/>
      <c r="T715" s="1417"/>
      <c r="U715" s="1418"/>
      <c r="V715" s="1418"/>
      <c r="W715" s="1419"/>
      <c r="X715" s="1417"/>
      <c r="Y715" s="1418"/>
      <c r="Z715" s="1418"/>
      <c r="AA715" s="1418"/>
      <c r="AB715" s="1419"/>
      <c r="AC715" s="1417"/>
      <c r="AD715" s="1418"/>
      <c r="AE715" s="1418"/>
      <c r="AF715" s="1418"/>
      <c r="AG715" s="1419"/>
      <c r="AH715" s="1417"/>
      <c r="AI715" s="1418"/>
      <c r="AJ715" s="1419"/>
      <c r="AK715" s="1417"/>
      <c r="AL715" s="1418"/>
      <c r="AM715" s="1418"/>
      <c r="AN715" s="1418"/>
      <c r="AO715" s="141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17"/>
      <c r="C716" s="1418"/>
      <c r="D716" s="1418"/>
      <c r="E716" s="1418"/>
      <c r="F716" s="1419"/>
      <c r="G716" s="1417"/>
      <c r="H716" s="1418"/>
      <c r="I716" s="1418"/>
      <c r="J716" s="1419"/>
      <c r="K716" s="1524"/>
      <c r="L716" s="1525"/>
      <c r="M716" s="1525"/>
      <c r="N716" s="1526"/>
      <c r="O716" s="1417"/>
      <c r="P716" s="1418"/>
      <c r="Q716" s="1418"/>
      <c r="R716" s="1418"/>
      <c r="S716" s="1419"/>
      <c r="T716" s="1417"/>
      <c r="U716" s="1418"/>
      <c r="V716" s="1418"/>
      <c r="W716" s="1419"/>
      <c r="X716" s="1417"/>
      <c r="Y716" s="1418"/>
      <c r="Z716" s="1418"/>
      <c r="AA716" s="1418"/>
      <c r="AB716" s="1419"/>
      <c r="AC716" s="1417"/>
      <c r="AD716" s="1418"/>
      <c r="AE716" s="1418"/>
      <c r="AF716" s="1418"/>
      <c r="AG716" s="1419"/>
      <c r="AH716" s="1417"/>
      <c r="AI716" s="1418"/>
      <c r="AJ716" s="1419"/>
      <c r="AK716" s="1417"/>
      <c r="AL716" s="1418"/>
      <c r="AM716" s="1418"/>
      <c r="AN716" s="1418"/>
      <c r="AO716" s="1419"/>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20"/>
      <c r="C717" s="1421"/>
      <c r="D717" s="1421"/>
      <c r="E717" s="1421"/>
      <c r="F717" s="1422"/>
      <c r="G717" s="1420"/>
      <c r="H717" s="1421"/>
      <c r="I717" s="1421"/>
      <c r="J717" s="1422"/>
      <c r="K717" s="1524"/>
      <c r="L717" s="1525"/>
      <c r="M717" s="1525"/>
      <c r="N717" s="1526"/>
      <c r="O717" s="1420"/>
      <c r="P717" s="1421"/>
      <c r="Q717" s="1421"/>
      <c r="R717" s="1421"/>
      <c r="S717" s="1422"/>
      <c r="T717" s="1420"/>
      <c r="U717" s="1421"/>
      <c r="V717" s="1421"/>
      <c r="W717" s="1422"/>
      <c r="X717" s="1420"/>
      <c r="Y717" s="1421"/>
      <c r="Z717" s="1421"/>
      <c r="AA717" s="1421"/>
      <c r="AB717" s="1422"/>
      <c r="AC717" s="1420"/>
      <c r="AD717" s="1421"/>
      <c r="AE717" s="1421"/>
      <c r="AF717" s="1421"/>
      <c r="AG717" s="1422"/>
      <c r="AH717" s="1420"/>
      <c r="AI717" s="1421"/>
      <c r="AJ717" s="1422"/>
      <c r="AK717" s="1420"/>
      <c r="AL717" s="1421"/>
      <c r="AM717" s="1421"/>
      <c r="AN717" s="1421"/>
      <c r="AO717" s="1422"/>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41"/>
      <c r="CJ717" s="1343"/>
      <c r="CK717" s="121" t="s">
        <v>475</v>
      </c>
      <c r="CL717" s="122"/>
      <c r="CM717" s="1341"/>
      <c r="CN717" s="1343"/>
      <c r="CO717" s="3"/>
      <c r="CP717" s="1768" t="s">
        <v>632</v>
      </c>
      <c r="CQ717" s="1769"/>
      <c r="CR717" s="1769"/>
      <c r="CS717" s="1769"/>
      <c r="CT717" s="1770"/>
      <c r="CU717" s="1506" t="s">
        <v>325</v>
      </c>
      <c r="CV717" s="1506"/>
      <c r="CW717" s="1506"/>
      <c r="CX717" s="1506"/>
      <c r="CY717" s="1506"/>
      <c r="CZ717" s="1506" t="s">
        <v>163</v>
      </c>
      <c r="DA717" s="1506"/>
      <c r="DB717" s="1506"/>
      <c r="DC717" s="1506"/>
      <c r="DD717" s="1506"/>
      <c r="DE717" s="1506" t="s">
        <v>164</v>
      </c>
      <c r="DF717" s="1506"/>
      <c r="DG717" s="1506"/>
      <c r="DH717" s="1506"/>
      <c r="DI717" s="1506"/>
      <c r="DJ717" s="1506" t="s">
        <v>460</v>
      </c>
      <c r="DK717" s="1506"/>
      <c r="DL717" s="1506"/>
      <c r="DM717" s="1506"/>
      <c r="DN717" s="1506"/>
      <c r="DO717" s="1506" t="s">
        <v>30</v>
      </c>
      <c r="DP717" s="1506"/>
      <c r="DQ717" s="1506"/>
      <c r="DR717" s="1506"/>
      <c r="DS717" s="1506"/>
      <c r="DT717" s="89"/>
      <c r="DU717" s="1506" t="s">
        <v>632</v>
      </c>
      <c r="DV717" s="1506"/>
      <c r="DW717" s="1506"/>
      <c r="DX717" s="1506"/>
      <c r="DY717" s="1506"/>
      <c r="DZ717" s="1506" t="s">
        <v>325</v>
      </c>
      <c r="EA717" s="1506"/>
      <c r="EB717" s="1506"/>
      <c r="EC717" s="1506"/>
      <c r="ED717" s="1506"/>
      <c r="EE717" s="1506" t="s">
        <v>163</v>
      </c>
      <c r="EF717" s="1506"/>
      <c r="EG717" s="1506"/>
      <c r="EH717" s="1506"/>
      <c r="EI717" s="1506"/>
      <c r="EJ717" s="1506" t="s">
        <v>164</v>
      </c>
      <c r="EK717" s="1506"/>
      <c r="EL717" s="1506"/>
      <c r="EM717" s="1506"/>
      <c r="EN717" s="1506"/>
      <c r="EO717" s="1506" t="s">
        <v>460</v>
      </c>
      <c r="EP717" s="1506"/>
      <c r="EQ717" s="1506"/>
      <c r="ER717" s="1506"/>
      <c r="ES717" s="1506"/>
      <c r="ET717" s="1506" t="s">
        <v>30</v>
      </c>
      <c r="EU717" s="1506"/>
      <c r="EV717" s="1506"/>
      <c r="EW717" s="1506"/>
      <c r="EX717" s="1506"/>
      <c r="EY717" s="4"/>
      <c r="EZ717" s="1506" t="s">
        <v>632</v>
      </c>
      <c r="FA717" s="1506"/>
      <c r="FB717" s="1506"/>
      <c r="FC717" s="1506"/>
      <c r="FD717" s="1506"/>
      <c r="FE717" s="1506" t="s">
        <v>325</v>
      </c>
      <c r="FF717" s="1506"/>
      <c r="FG717" s="1506"/>
      <c r="FH717" s="1506"/>
      <c r="FI717" s="1506"/>
      <c r="FJ717" s="1506" t="s">
        <v>163</v>
      </c>
      <c r="FK717" s="1506"/>
      <c r="FL717" s="1506"/>
      <c r="FM717" s="1506"/>
      <c r="FN717" s="1506"/>
      <c r="FO717" s="1506" t="s">
        <v>164</v>
      </c>
      <c r="FP717" s="1506"/>
      <c r="FQ717" s="1506"/>
      <c r="FR717" s="1506"/>
      <c r="FS717" s="1506"/>
      <c r="FT717" s="1506" t="s">
        <v>460</v>
      </c>
      <c r="FU717" s="1506"/>
      <c r="FV717" s="1506"/>
      <c r="FW717" s="1506"/>
      <c r="FX717" s="1506"/>
      <c r="FY717" s="1506" t="s">
        <v>30</v>
      </c>
      <c r="FZ717" s="1506"/>
      <c r="GA717" s="1506"/>
      <c r="GB717" s="1506"/>
      <c r="GC717" s="1506"/>
    </row>
    <row r="718" spans="1:185" ht="12.95" customHeight="1">
      <c r="A718" s="4"/>
      <c r="B718" s="1361" t="s">
        <v>325</v>
      </c>
      <c r="C718" s="1362"/>
      <c r="D718" s="1362"/>
      <c r="E718" s="1362"/>
      <c r="F718" s="1363"/>
      <c r="G718" s="1370">
        <v>53</v>
      </c>
      <c r="H718" s="1371"/>
      <c r="I718" s="1371"/>
      <c r="J718" s="1372"/>
      <c r="K718" s="1607">
        <v>550</v>
      </c>
      <c r="L718" s="1608"/>
      <c r="M718" s="1608"/>
      <c r="N718" s="1609"/>
      <c r="O718" s="1469">
        <f>1704-T718</f>
        <v>1661</v>
      </c>
      <c r="P718" s="1470"/>
      <c r="Q718" s="1470"/>
      <c r="R718" s="1470"/>
      <c r="S718" s="1471"/>
      <c r="T718" s="1469">
        <v>43</v>
      </c>
      <c r="U718" s="1470"/>
      <c r="V718" s="1470"/>
      <c r="W718" s="1471"/>
      <c r="X718" s="1364">
        <f t="shared" ref="X718:X741" si="9">O718+T718</f>
        <v>1704</v>
      </c>
      <c r="Y718" s="1365"/>
      <c r="Z718" s="1365"/>
      <c r="AA718" s="1365"/>
      <c r="AB718" s="1366"/>
      <c r="AC718" s="1614">
        <v>0.6</v>
      </c>
      <c r="AD718" s="1615"/>
      <c r="AE718" s="1615"/>
      <c r="AF718" s="1615"/>
      <c r="AG718" s="1616"/>
      <c r="AH718" s="1367">
        <f>IF($AC718&gt;0,($X718/$AZ718), "")</f>
        <v>0.6</v>
      </c>
      <c r="AI718" s="1368"/>
      <c r="AJ718" s="1369"/>
      <c r="AK718" s="1361" t="s">
        <v>591</v>
      </c>
      <c r="AL718" s="1362"/>
      <c r="AM718" s="1362"/>
      <c r="AN718" s="1362"/>
      <c r="AO718" s="1363"/>
      <c r="AP718" s="3"/>
      <c r="AQ718" s="3"/>
      <c r="AR718" s="3"/>
      <c r="AS718" s="3"/>
      <c r="AZ718" s="118">
        <f t="shared" ref="AZ718:AZ752" si="10">IF($G718=0,"N/A",VLOOKUP($T$189,TC_Rent,(MATCH($B718,bedrooms,FALSE)),FALSE))</f>
        <v>2840</v>
      </c>
      <c r="BA718" s="3"/>
      <c r="BB718" s="3"/>
      <c r="BC718" s="3"/>
      <c r="BD718" s="3"/>
      <c r="BE718" s="204"/>
      <c r="BF718" s="293">
        <f t="shared" ref="BF718:BF752" si="11">G718</f>
        <v>53</v>
      </c>
      <c r="BG718" s="297">
        <f t="shared" ref="BG718:BG752" si="12">IF($BF$753=0,0,BF718/$BF$753)</f>
        <v>0.33757961783439489</v>
      </c>
      <c r="BH718" s="298">
        <f t="shared" ref="BH718:BH752" si="13">IF(BG718=0,"",BG718*AC718)</f>
        <v>0.20254777070063693</v>
      </c>
      <c r="BI718" s="3"/>
      <c r="BJ718" s="3"/>
      <c r="BK718" s="3"/>
      <c r="BL718" s="3"/>
      <c r="BM718" s="3"/>
      <c r="BN718" s="3"/>
      <c r="BS718" s="293">
        <f t="shared" ref="BS718:BS752" si="14">G718</f>
        <v>53</v>
      </c>
      <c r="BT718" s="297">
        <f t="shared" ref="BT718:BT752" si="15">IF($BS$753=0,0,BS718/$BS$753)</f>
        <v>0.33757961783439489</v>
      </c>
      <c r="BU718" s="298">
        <f t="shared" ref="BU718:BU752" si="16">IF(BT718=0,"",BT718*AH718)</f>
        <v>0.20254777070063693</v>
      </c>
      <c r="CC718" s="3"/>
      <c r="CD718" s="3"/>
      <c r="CE718" s="3"/>
      <c r="CF718" s="3"/>
      <c r="CG718" s="1357">
        <f>IF(AND(AC718&lt;=0.5,AC718&gt;=0.36),1,0)</f>
        <v>0</v>
      </c>
      <c r="CH718" s="1359"/>
      <c r="CI718" s="1341">
        <f>IF(CG718=1,G718,0)</f>
        <v>0</v>
      </c>
      <c r="CJ718" s="1343"/>
      <c r="CK718" s="1357">
        <f t="shared" ref="CK718:CK752" si="17">IF(AND(AC718&lt;=0.35,AC718&gt;0),1,0)</f>
        <v>0</v>
      </c>
      <c r="CL718" s="1359"/>
      <c r="CM718" s="1341">
        <f t="shared" ref="CM718:CM752" si="18">IF(CK718=1,G718,0)</f>
        <v>0</v>
      </c>
      <c r="CN718" s="1343"/>
      <c r="CO718" s="3"/>
      <c r="CP718" s="1338">
        <f t="shared" ref="CP718:CP752" si="19">IF(B718="SRO/Studio",G718,0)</f>
        <v>0</v>
      </c>
      <c r="CQ718" s="1339"/>
      <c r="CR718" s="1339"/>
      <c r="CS718" s="1339"/>
      <c r="CT718" s="1340"/>
      <c r="CU718" s="1360">
        <f t="shared" ref="CU718:CU752" si="20">IF(B718="1 Bedroom",G718,0)</f>
        <v>53</v>
      </c>
      <c r="CV718" s="1360"/>
      <c r="CW718" s="1360"/>
      <c r="CX718" s="1360"/>
      <c r="CY718" s="1360"/>
      <c r="CZ718" s="1360">
        <f t="shared" ref="CZ718:CZ752" si="21">IF(B718="2 Bedrooms",G718,0)</f>
        <v>0</v>
      </c>
      <c r="DA718" s="1360"/>
      <c r="DB718" s="1360"/>
      <c r="DC718" s="1360"/>
      <c r="DD718" s="1360"/>
      <c r="DE718" s="1360">
        <f t="shared" ref="DE718:DE752" si="22">IF(B718="3 Bedrooms",G718,0)</f>
        <v>0</v>
      </c>
      <c r="DF718" s="1360"/>
      <c r="DG718" s="1360"/>
      <c r="DH718" s="1360"/>
      <c r="DI718" s="1360"/>
      <c r="DJ718" s="1360">
        <f t="shared" ref="DJ718:DJ752" si="23">IF(B718="4 Bedrooms",G718,0)</f>
        <v>0</v>
      </c>
      <c r="DK718" s="1360"/>
      <c r="DL718" s="1360"/>
      <c r="DM718" s="1360"/>
      <c r="DN718" s="1360"/>
      <c r="DO718" s="1360">
        <f t="shared" ref="DO718:DO752" si="24">IF(B718="5 Bedrooms",G718,0)</f>
        <v>0</v>
      </c>
      <c r="DP718" s="1360"/>
      <c r="DQ718" s="1360"/>
      <c r="DR718" s="1360"/>
      <c r="DS718" s="1360"/>
      <c r="DT718" s="6"/>
      <c r="DU718" s="1374">
        <f t="shared" ref="DU718:DU752" si="25">IF(AND(B718="SRO/Studio",AC718&lt;=0.3),G718,0)</f>
        <v>0</v>
      </c>
      <c r="DV718" s="1374"/>
      <c r="DW718" s="1374"/>
      <c r="DX718" s="1374"/>
      <c r="DY718" s="1374"/>
      <c r="DZ718" s="1374">
        <f t="shared" ref="DZ718:DZ752" si="26">IF(AND(B718="1 Bedroom",AC718&lt;=0.3),G718,0)</f>
        <v>0</v>
      </c>
      <c r="EA718" s="1374"/>
      <c r="EB718" s="1374"/>
      <c r="EC718" s="1374"/>
      <c r="ED718" s="1374"/>
      <c r="EE718" s="1374">
        <f t="shared" ref="EE718:EE752" si="27">IF(AND(B718="2 Bedrooms",AC718&lt;=0.3),G718,0)</f>
        <v>0</v>
      </c>
      <c r="EF718" s="1374"/>
      <c r="EG718" s="1374"/>
      <c r="EH718" s="1374"/>
      <c r="EI718" s="1374"/>
      <c r="EJ718" s="1374">
        <f t="shared" ref="EJ718:EJ752" si="28">IF(AND(B718="3 Bedrooms",AC718&lt;=0.3),G718,0)</f>
        <v>0</v>
      </c>
      <c r="EK718" s="1374"/>
      <c r="EL718" s="1374"/>
      <c r="EM718" s="1374"/>
      <c r="EN718" s="1374"/>
      <c r="EO718" s="1374">
        <f t="shared" ref="EO718:EO752" si="29">IF(AND(B718="4 Bedrooms",AC718&lt;=0.3),G718,0)</f>
        <v>0</v>
      </c>
      <c r="EP718" s="1374"/>
      <c r="EQ718" s="1374"/>
      <c r="ER718" s="1374"/>
      <c r="ES718" s="1374"/>
      <c r="ET718" s="1374">
        <f t="shared" ref="ET718:ET752" si="30">IF(AND(B718="5 Bedrooms",AC718&lt;=0.3),G718,0)</f>
        <v>0</v>
      </c>
      <c r="EU718" s="1374"/>
      <c r="EV718" s="1374"/>
      <c r="EW718" s="1374"/>
      <c r="EX718" s="1374"/>
      <c r="EY718" s="4"/>
      <c r="EZ718" s="1357" t="str">
        <f t="shared" ref="EZ718:EZ752" si="31">IF(CP718&gt;0,O718,"")</f>
        <v/>
      </c>
      <c r="FA718" s="1358"/>
      <c r="FB718" s="1358"/>
      <c r="FC718" s="1358"/>
      <c r="FD718" s="1359"/>
      <c r="FE718" s="1357">
        <f t="shared" ref="FE718:FE752" si="32">IF(CU718&gt;0,O718,"")</f>
        <v>1661</v>
      </c>
      <c r="FF718" s="1358"/>
      <c r="FG718" s="1358"/>
      <c r="FH718" s="1358"/>
      <c r="FI718" s="1359"/>
      <c r="FJ718" s="1357" t="str">
        <f t="shared" ref="FJ718:FJ752" si="33">IF(CZ718&gt;0,O718,"")</f>
        <v/>
      </c>
      <c r="FK718" s="1358"/>
      <c r="FL718" s="1358"/>
      <c r="FM718" s="1358"/>
      <c r="FN718" s="1359"/>
      <c r="FO718" s="1357" t="str">
        <f t="shared" ref="FO718:FO752" si="34">IF(DE718&gt;0,O718,"")</f>
        <v/>
      </c>
      <c r="FP718" s="1358"/>
      <c r="FQ718" s="1358"/>
      <c r="FR718" s="1358"/>
      <c r="FS718" s="1359"/>
      <c r="FT718" s="1357" t="str">
        <f t="shared" ref="FT718:FT752" si="35">IF(DJ718&gt;0,O718,"")</f>
        <v/>
      </c>
      <c r="FU718" s="1358"/>
      <c r="FV718" s="1358"/>
      <c r="FW718" s="1358"/>
      <c r="FX718" s="1359"/>
      <c r="FY718" s="1357" t="str">
        <f t="shared" ref="FY718:FY752" si="36">IF(DO718&gt;0,O718,"")</f>
        <v/>
      </c>
      <c r="FZ718" s="1358"/>
      <c r="GA718" s="1358"/>
      <c r="GB718" s="1358"/>
      <c r="GC718" s="1359"/>
    </row>
    <row r="719" spans="1:185" ht="12.95" customHeight="1">
      <c r="A719" s="4"/>
      <c r="B719" s="1361" t="s">
        <v>325</v>
      </c>
      <c r="C719" s="1362"/>
      <c r="D719" s="1362"/>
      <c r="E719" s="1362"/>
      <c r="F719" s="1363"/>
      <c r="G719" s="1370">
        <v>7</v>
      </c>
      <c r="H719" s="1371"/>
      <c r="I719" s="1371"/>
      <c r="J719" s="1372"/>
      <c r="K719" s="1607">
        <v>550</v>
      </c>
      <c r="L719" s="1608"/>
      <c r="M719" s="1608"/>
      <c r="N719" s="1609"/>
      <c r="O719" s="1469">
        <f>1420-T719</f>
        <v>1377</v>
      </c>
      <c r="P719" s="1470"/>
      <c r="Q719" s="1470"/>
      <c r="R719" s="1470"/>
      <c r="S719" s="1471"/>
      <c r="T719" s="1469">
        <v>43</v>
      </c>
      <c r="U719" s="1470"/>
      <c r="V719" s="1470"/>
      <c r="W719" s="1471"/>
      <c r="X719" s="1364">
        <f t="shared" si="9"/>
        <v>1420</v>
      </c>
      <c r="Y719" s="1365"/>
      <c r="Z719" s="1365"/>
      <c r="AA719" s="1365"/>
      <c r="AB719" s="1366"/>
      <c r="AC719" s="1614">
        <v>0.5</v>
      </c>
      <c r="AD719" s="1615"/>
      <c r="AE719" s="1615"/>
      <c r="AF719" s="1615"/>
      <c r="AG719" s="1616"/>
      <c r="AH719" s="1367">
        <f t="shared" ref="AH719:AH752" si="37">IF($AC719&gt;0,($X719/$AZ719), "")</f>
        <v>0.5</v>
      </c>
      <c r="AI719" s="1368"/>
      <c r="AJ719" s="1369"/>
      <c r="AK719" s="1361" t="s">
        <v>591</v>
      </c>
      <c r="AL719" s="1362"/>
      <c r="AM719" s="1362"/>
      <c r="AN719" s="1362"/>
      <c r="AO719" s="1363"/>
      <c r="AP719" s="3"/>
      <c r="AQ719" s="3"/>
      <c r="AR719" s="3"/>
      <c r="AS719" s="3"/>
      <c r="AZ719" s="118">
        <f t="shared" si="10"/>
        <v>2840</v>
      </c>
      <c r="BA719" s="3"/>
      <c r="BB719" s="3"/>
      <c r="BC719" s="3"/>
      <c r="BD719" s="3"/>
      <c r="BE719" s="204"/>
      <c r="BF719" s="294">
        <f t="shared" si="11"/>
        <v>7</v>
      </c>
      <c r="BG719" s="297">
        <f t="shared" si="12"/>
        <v>4.4585987261146494E-2</v>
      </c>
      <c r="BH719" s="298">
        <f t="shared" si="13"/>
        <v>2.2292993630573247E-2</v>
      </c>
      <c r="BI719" s="3"/>
      <c r="BJ719" s="3"/>
      <c r="BK719" s="3"/>
      <c r="BL719" s="3"/>
      <c r="BM719" s="3"/>
      <c r="BN719" s="3"/>
      <c r="BS719" s="294">
        <f t="shared" si="14"/>
        <v>7</v>
      </c>
      <c r="BT719" s="297">
        <f t="shared" si="15"/>
        <v>4.4585987261146494E-2</v>
      </c>
      <c r="BU719" s="298">
        <f t="shared" si="16"/>
        <v>2.2292993630573247E-2</v>
      </c>
      <c r="CC719" s="3"/>
      <c r="CD719" s="3"/>
      <c r="CE719" s="3"/>
      <c r="CF719" s="3"/>
      <c r="CG719" s="1357">
        <f t="shared" ref="CG719:CG752" si="38">IF(AND(AC719&lt;=0.5,AC719&gt;=0.36),1,0)</f>
        <v>1</v>
      </c>
      <c r="CH719" s="1359"/>
      <c r="CI719" s="1341">
        <f t="shared" ref="CI719:CI752" si="39">IF(CG719=1,G719,0)</f>
        <v>7</v>
      </c>
      <c r="CJ719" s="1343"/>
      <c r="CK719" s="1357">
        <f t="shared" si="17"/>
        <v>0</v>
      </c>
      <c r="CL719" s="1359"/>
      <c r="CM719" s="1341">
        <f t="shared" si="18"/>
        <v>0</v>
      </c>
      <c r="CN719" s="1343"/>
      <c r="CO719" s="3"/>
      <c r="CP719" s="1338">
        <f t="shared" si="19"/>
        <v>0</v>
      </c>
      <c r="CQ719" s="1339"/>
      <c r="CR719" s="1339"/>
      <c r="CS719" s="1339"/>
      <c r="CT719" s="1340"/>
      <c r="CU719" s="1360">
        <f t="shared" si="20"/>
        <v>7</v>
      </c>
      <c r="CV719" s="1360"/>
      <c r="CW719" s="1360"/>
      <c r="CX719" s="1360"/>
      <c r="CY719" s="1360"/>
      <c r="CZ719" s="1360">
        <f t="shared" si="21"/>
        <v>0</v>
      </c>
      <c r="DA719" s="1360"/>
      <c r="DB719" s="1360"/>
      <c r="DC719" s="1360"/>
      <c r="DD719" s="1360"/>
      <c r="DE719" s="1360">
        <f t="shared" si="22"/>
        <v>0</v>
      </c>
      <c r="DF719" s="1360"/>
      <c r="DG719" s="1360"/>
      <c r="DH719" s="1360"/>
      <c r="DI719" s="1360"/>
      <c r="DJ719" s="1360">
        <f t="shared" si="23"/>
        <v>0</v>
      </c>
      <c r="DK719" s="1360"/>
      <c r="DL719" s="1360"/>
      <c r="DM719" s="1360"/>
      <c r="DN719" s="1360"/>
      <c r="DO719" s="1360">
        <f t="shared" si="24"/>
        <v>0</v>
      </c>
      <c r="DP719" s="1360"/>
      <c r="DQ719" s="1360"/>
      <c r="DR719" s="1360"/>
      <c r="DS719" s="1360"/>
      <c r="DT719" s="6"/>
      <c r="DU719" s="1374">
        <f t="shared" si="25"/>
        <v>0</v>
      </c>
      <c r="DV719" s="1374"/>
      <c r="DW719" s="1374"/>
      <c r="DX719" s="1374"/>
      <c r="DY719" s="1374"/>
      <c r="DZ719" s="1374">
        <f t="shared" si="26"/>
        <v>0</v>
      </c>
      <c r="EA719" s="1374"/>
      <c r="EB719" s="1374"/>
      <c r="EC719" s="1374"/>
      <c r="ED719" s="1374"/>
      <c r="EE719" s="1374">
        <f t="shared" si="27"/>
        <v>0</v>
      </c>
      <c r="EF719" s="1374"/>
      <c r="EG719" s="1374"/>
      <c r="EH719" s="1374"/>
      <c r="EI719" s="1374"/>
      <c r="EJ719" s="1374">
        <f t="shared" si="28"/>
        <v>0</v>
      </c>
      <c r="EK719" s="1374"/>
      <c r="EL719" s="1374"/>
      <c r="EM719" s="1374"/>
      <c r="EN719" s="1374"/>
      <c r="EO719" s="1374">
        <f t="shared" si="29"/>
        <v>0</v>
      </c>
      <c r="EP719" s="1374"/>
      <c r="EQ719" s="1374"/>
      <c r="ER719" s="1374"/>
      <c r="ES719" s="1374"/>
      <c r="ET719" s="1374">
        <f t="shared" si="30"/>
        <v>0</v>
      </c>
      <c r="EU719" s="1374"/>
      <c r="EV719" s="1374"/>
      <c r="EW719" s="1374"/>
      <c r="EX719" s="1374"/>
      <c r="EY719" s="4"/>
      <c r="EZ719" s="1357" t="str">
        <f t="shared" si="31"/>
        <v/>
      </c>
      <c r="FA719" s="1358"/>
      <c r="FB719" s="1358"/>
      <c r="FC719" s="1358"/>
      <c r="FD719" s="1359"/>
      <c r="FE719" s="1357">
        <f t="shared" si="32"/>
        <v>1377</v>
      </c>
      <c r="FF719" s="1358"/>
      <c r="FG719" s="1358"/>
      <c r="FH719" s="1358"/>
      <c r="FI719" s="1359"/>
      <c r="FJ719" s="1357" t="str">
        <f t="shared" si="33"/>
        <v/>
      </c>
      <c r="FK719" s="1358"/>
      <c r="FL719" s="1358"/>
      <c r="FM719" s="1358"/>
      <c r="FN719" s="1359"/>
      <c r="FO719" s="1357" t="str">
        <f t="shared" si="34"/>
        <v/>
      </c>
      <c r="FP719" s="1358"/>
      <c r="FQ719" s="1358"/>
      <c r="FR719" s="1358"/>
      <c r="FS719" s="1359"/>
      <c r="FT719" s="1357" t="str">
        <f t="shared" si="35"/>
        <v/>
      </c>
      <c r="FU719" s="1358"/>
      <c r="FV719" s="1358"/>
      <c r="FW719" s="1358"/>
      <c r="FX719" s="1359"/>
      <c r="FY719" s="1357" t="str">
        <f t="shared" si="36"/>
        <v/>
      </c>
      <c r="FZ719" s="1358"/>
      <c r="GA719" s="1358"/>
      <c r="GB719" s="1358"/>
      <c r="GC719" s="1359"/>
    </row>
    <row r="720" spans="1:185" ht="12.95" customHeight="1">
      <c r="A720" s="4"/>
      <c r="B720" s="1361" t="s">
        <v>325</v>
      </c>
      <c r="C720" s="1362"/>
      <c r="D720" s="1362"/>
      <c r="E720" s="1362"/>
      <c r="F720" s="1363"/>
      <c r="G720" s="1370">
        <v>7</v>
      </c>
      <c r="H720" s="1371"/>
      <c r="I720" s="1371"/>
      <c r="J720" s="1372"/>
      <c r="K720" s="1607">
        <v>550</v>
      </c>
      <c r="L720" s="1608"/>
      <c r="M720" s="1608"/>
      <c r="N720" s="1609"/>
      <c r="O720" s="1469">
        <f>852-T720</f>
        <v>809</v>
      </c>
      <c r="P720" s="1470"/>
      <c r="Q720" s="1470"/>
      <c r="R720" s="1470"/>
      <c r="S720" s="1471"/>
      <c r="T720" s="1469">
        <v>43</v>
      </c>
      <c r="U720" s="1470"/>
      <c r="V720" s="1470"/>
      <c r="W720" s="1471"/>
      <c r="X720" s="1364">
        <f t="shared" si="9"/>
        <v>852</v>
      </c>
      <c r="Y720" s="1365"/>
      <c r="Z720" s="1365"/>
      <c r="AA720" s="1365"/>
      <c r="AB720" s="1366"/>
      <c r="AC720" s="1614">
        <v>0.3</v>
      </c>
      <c r="AD720" s="1615"/>
      <c r="AE720" s="1615"/>
      <c r="AF720" s="1615"/>
      <c r="AG720" s="1616"/>
      <c r="AH720" s="1367">
        <f t="shared" si="37"/>
        <v>0.3</v>
      </c>
      <c r="AI720" s="1368"/>
      <c r="AJ720" s="1369"/>
      <c r="AK720" s="1361" t="s">
        <v>591</v>
      </c>
      <c r="AL720" s="1362"/>
      <c r="AM720" s="1362"/>
      <c r="AN720" s="1362"/>
      <c r="AO720" s="1363"/>
      <c r="AP720" s="3"/>
      <c r="AQ720" s="3"/>
      <c r="AR720" s="3"/>
      <c r="AS720" s="3"/>
      <c r="AZ720" s="118">
        <f t="shared" si="10"/>
        <v>2840</v>
      </c>
      <c r="BA720" s="3"/>
      <c r="BB720" s="3"/>
      <c r="BC720" s="3"/>
      <c r="BD720" s="3"/>
      <c r="BE720" s="204"/>
      <c r="BF720" s="294">
        <f t="shared" si="11"/>
        <v>7</v>
      </c>
      <c r="BG720" s="297">
        <f t="shared" si="12"/>
        <v>4.4585987261146494E-2</v>
      </c>
      <c r="BH720" s="298">
        <f t="shared" si="13"/>
        <v>1.3375796178343948E-2</v>
      </c>
      <c r="BI720" s="3"/>
      <c r="BJ720" s="3"/>
      <c r="BK720" s="3"/>
      <c r="BL720" s="3"/>
      <c r="BM720" s="3"/>
      <c r="BN720" s="3"/>
      <c r="BS720" s="294">
        <f t="shared" si="14"/>
        <v>7</v>
      </c>
      <c r="BT720" s="297">
        <f t="shared" si="15"/>
        <v>4.4585987261146494E-2</v>
      </c>
      <c r="BU720" s="298">
        <f t="shared" si="16"/>
        <v>1.3375796178343948E-2</v>
      </c>
      <c r="CC720" s="3"/>
      <c r="CD720" s="3"/>
      <c r="CE720" s="3"/>
      <c r="CF720" s="3"/>
      <c r="CG720" s="1357">
        <f t="shared" si="38"/>
        <v>0</v>
      </c>
      <c r="CH720" s="1359"/>
      <c r="CI720" s="1341">
        <f t="shared" si="39"/>
        <v>0</v>
      </c>
      <c r="CJ720" s="1343"/>
      <c r="CK720" s="1357">
        <f t="shared" si="17"/>
        <v>1</v>
      </c>
      <c r="CL720" s="1359"/>
      <c r="CM720" s="1341">
        <f t="shared" si="18"/>
        <v>7</v>
      </c>
      <c r="CN720" s="1343"/>
      <c r="CO720" s="3"/>
      <c r="CP720" s="1338">
        <f t="shared" si="19"/>
        <v>0</v>
      </c>
      <c r="CQ720" s="1339"/>
      <c r="CR720" s="1339"/>
      <c r="CS720" s="1339"/>
      <c r="CT720" s="1340"/>
      <c r="CU720" s="1360">
        <f t="shared" si="20"/>
        <v>7</v>
      </c>
      <c r="CV720" s="1360"/>
      <c r="CW720" s="1360"/>
      <c r="CX720" s="1360"/>
      <c r="CY720" s="1360"/>
      <c r="CZ720" s="1360">
        <f t="shared" si="21"/>
        <v>0</v>
      </c>
      <c r="DA720" s="1360"/>
      <c r="DB720" s="1360"/>
      <c r="DC720" s="1360"/>
      <c r="DD720" s="1360"/>
      <c r="DE720" s="1360">
        <f t="shared" si="22"/>
        <v>0</v>
      </c>
      <c r="DF720" s="1360"/>
      <c r="DG720" s="1360"/>
      <c r="DH720" s="1360"/>
      <c r="DI720" s="1360"/>
      <c r="DJ720" s="1360">
        <f t="shared" si="23"/>
        <v>0</v>
      </c>
      <c r="DK720" s="1360"/>
      <c r="DL720" s="1360"/>
      <c r="DM720" s="1360"/>
      <c r="DN720" s="1360"/>
      <c r="DO720" s="1360">
        <f t="shared" si="24"/>
        <v>0</v>
      </c>
      <c r="DP720" s="1360"/>
      <c r="DQ720" s="1360"/>
      <c r="DR720" s="1360"/>
      <c r="DS720" s="1360"/>
      <c r="DT720" s="6"/>
      <c r="DU720" s="1374">
        <f t="shared" si="25"/>
        <v>0</v>
      </c>
      <c r="DV720" s="1374"/>
      <c r="DW720" s="1374"/>
      <c r="DX720" s="1374"/>
      <c r="DY720" s="1374"/>
      <c r="DZ720" s="1374">
        <f t="shared" si="26"/>
        <v>7</v>
      </c>
      <c r="EA720" s="1374"/>
      <c r="EB720" s="1374"/>
      <c r="EC720" s="1374"/>
      <c r="ED720" s="1374"/>
      <c r="EE720" s="1374">
        <f t="shared" si="27"/>
        <v>0</v>
      </c>
      <c r="EF720" s="1374"/>
      <c r="EG720" s="1374"/>
      <c r="EH720" s="1374"/>
      <c r="EI720" s="1374"/>
      <c r="EJ720" s="1374">
        <f t="shared" si="28"/>
        <v>0</v>
      </c>
      <c r="EK720" s="1374"/>
      <c r="EL720" s="1374"/>
      <c r="EM720" s="1374"/>
      <c r="EN720" s="1374"/>
      <c r="EO720" s="1374">
        <f t="shared" si="29"/>
        <v>0</v>
      </c>
      <c r="EP720" s="1374"/>
      <c r="EQ720" s="1374"/>
      <c r="ER720" s="1374"/>
      <c r="ES720" s="1374"/>
      <c r="ET720" s="1374">
        <f t="shared" si="30"/>
        <v>0</v>
      </c>
      <c r="EU720" s="1374"/>
      <c r="EV720" s="1374"/>
      <c r="EW720" s="1374"/>
      <c r="EX720" s="1374"/>
      <c r="EZ720" s="1357" t="str">
        <f t="shared" si="31"/>
        <v/>
      </c>
      <c r="FA720" s="1358"/>
      <c r="FB720" s="1358"/>
      <c r="FC720" s="1358"/>
      <c r="FD720" s="1359"/>
      <c r="FE720" s="1357">
        <f t="shared" si="32"/>
        <v>809</v>
      </c>
      <c r="FF720" s="1358"/>
      <c r="FG720" s="1358"/>
      <c r="FH720" s="1358"/>
      <c r="FI720" s="1359"/>
      <c r="FJ720" s="1357" t="str">
        <f t="shared" si="33"/>
        <v/>
      </c>
      <c r="FK720" s="1358"/>
      <c r="FL720" s="1358"/>
      <c r="FM720" s="1358"/>
      <c r="FN720" s="1359"/>
      <c r="FO720" s="1357" t="str">
        <f t="shared" si="34"/>
        <v/>
      </c>
      <c r="FP720" s="1358"/>
      <c r="FQ720" s="1358"/>
      <c r="FR720" s="1358"/>
      <c r="FS720" s="1359"/>
      <c r="FT720" s="1357" t="str">
        <f t="shared" si="35"/>
        <v/>
      </c>
      <c r="FU720" s="1358"/>
      <c r="FV720" s="1358"/>
      <c r="FW720" s="1358"/>
      <c r="FX720" s="1359"/>
      <c r="FY720" s="1357" t="str">
        <f t="shared" si="36"/>
        <v/>
      </c>
      <c r="FZ720" s="1358"/>
      <c r="GA720" s="1358"/>
      <c r="GB720" s="1358"/>
      <c r="GC720" s="1359"/>
    </row>
    <row r="721" spans="1:185" ht="12.95" customHeight="1">
      <c r="B721" s="1361" t="s">
        <v>325</v>
      </c>
      <c r="C721" s="1362"/>
      <c r="D721" s="1362"/>
      <c r="E721" s="1362"/>
      <c r="F721" s="1363"/>
      <c r="G721" s="1370">
        <v>72</v>
      </c>
      <c r="H721" s="1371"/>
      <c r="I721" s="1371"/>
      <c r="J721" s="1372"/>
      <c r="K721" s="1607">
        <v>450</v>
      </c>
      <c r="L721" s="1608"/>
      <c r="M721" s="1608"/>
      <c r="N721" s="1609"/>
      <c r="O721" s="1469">
        <f>1704-T721</f>
        <v>1660</v>
      </c>
      <c r="P721" s="1470"/>
      <c r="Q721" s="1470"/>
      <c r="R721" s="1470"/>
      <c r="S721" s="1471"/>
      <c r="T721" s="1469">
        <v>44</v>
      </c>
      <c r="U721" s="1470"/>
      <c r="V721" s="1470"/>
      <c r="W721" s="1471"/>
      <c r="X721" s="1364">
        <f t="shared" si="9"/>
        <v>1704</v>
      </c>
      <c r="Y721" s="1365"/>
      <c r="Z721" s="1365"/>
      <c r="AA721" s="1365"/>
      <c r="AB721" s="1366"/>
      <c r="AC721" s="1614">
        <v>0.6</v>
      </c>
      <c r="AD721" s="1615"/>
      <c r="AE721" s="1615"/>
      <c r="AF721" s="1615"/>
      <c r="AG721" s="1616"/>
      <c r="AH721" s="1367">
        <f t="shared" si="37"/>
        <v>0.6</v>
      </c>
      <c r="AI721" s="1368"/>
      <c r="AJ721" s="1369"/>
      <c r="AK721" s="1361" t="s">
        <v>591</v>
      </c>
      <c r="AL721" s="1362"/>
      <c r="AM721" s="1362"/>
      <c r="AN721" s="1362"/>
      <c r="AO721" s="1363"/>
      <c r="AP721" s="3"/>
      <c r="AQ721" s="3"/>
      <c r="AR721" s="3"/>
      <c r="AS721" s="3"/>
      <c r="AY721" s="116"/>
      <c r="AZ721" s="118">
        <f t="shared" si="10"/>
        <v>2840</v>
      </c>
      <c r="BA721" s="3"/>
      <c r="BB721" s="3"/>
      <c r="BC721" s="3"/>
      <c r="BD721" s="3"/>
      <c r="BE721" s="204"/>
      <c r="BF721" s="294">
        <f t="shared" si="11"/>
        <v>72</v>
      </c>
      <c r="BG721" s="297">
        <f t="shared" si="12"/>
        <v>0.45859872611464969</v>
      </c>
      <c r="BH721" s="298">
        <f t="shared" si="13"/>
        <v>0.2751592356687898</v>
      </c>
      <c r="BI721" s="3"/>
      <c r="BJ721" s="3"/>
      <c r="BK721" s="3"/>
      <c r="BL721" s="3"/>
      <c r="BM721" s="3"/>
      <c r="BN721" s="3"/>
      <c r="BS721" s="294">
        <f t="shared" si="14"/>
        <v>72</v>
      </c>
      <c r="BT721" s="297">
        <f t="shared" si="15"/>
        <v>0.45859872611464969</v>
      </c>
      <c r="BU721" s="298">
        <f t="shared" si="16"/>
        <v>0.2751592356687898</v>
      </c>
      <c r="CC721" s="3"/>
      <c r="CD721" s="3"/>
      <c r="CE721" s="3"/>
      <c r="CF721" s="3"/>
      <c r="CG721" s="1357">
        <f t="shared" si="38"/>
        <v>0</v>
      </c>
      <c r="CH721" s="1359"/>
      <c r="CI721" s="1341">
        <f t="shared" si="39"/>
        <v>0</v>
      </c>
      <c r="CJ721" s="1343"/>
      <c r="CK721" s="1357">
        <f t="shared" si="17"/>
        <v>0</v>
      </c>
      <c r="CL721" s="1359"/>
      <c r="CM721" s="1341">
        <f t="shared" si="18"/>
        <v>0</v>
      </c>
      <c r="CN721" s="1343"/>
      <c r="CO721" s="3"/>
      <c r="CP721" s="1338">
        <f t="shared" si="19"/>
        <v>0</v>
      </c>
      <c r="CQ721" s="1339"/>
      <c r="CR721" s="1339"/>
      <c r="CS721" s="1339"/>
      <c r="CT721" s="1340"/>
      <c r="CU721" s="1360">
        <f t="shared" si="20"/>
        <v>72</v>
      </c>
      <c r="CV721" s="1360"/>
      <c r="CW721" s="1360"/>
      <c r="CX721" s="1360"/>
      <c r="CY721" s="1360"/>
      <c r="CZ721" s="1360">
        <f t="shared" si="21"/>
        <v>0</v>
      </c>
      <c r="DA721" s="1360"/>
      <c r="DB721" s="1360"/>
      <c r="DC721" s="1360"/>
      <c r="DD721" s="1360"/>
      <c r="DE721" s="1360">
        <f t="shared" si="22"/>
        <v>0</v>
      </c>
      <c r="DF721" s="1360"/>
      <c r="DG721" s="1360"/>
      <c r="DH721" s="1360"/>
      <c r="DI721" s="1360"/>
      <c r="DJ721" s="1360">
        <f t="shared" si="23"/>
        <v>0</v>
      </c>
      <c r="DK721" s="1360"/>
      <c r="DL721" s="1360"/>
      <c r="DM721" s="1360"/>
      <c r="DN721" s="1360"/>
      <c r="DO721" s="1360">
        <f t="shared" si="24"/>
        <v>0</v>
      </c>
      <c r="DP721" s="1360"/>
      <c r="DQ721" s="1360"/>
      <c r="DR721" s="1360"/>
      <c r="DS721" s="1360"/>
      <c r="DT721" s="6"/>
      <c r="DU721" s="1374">
        <f t="shared" si="25"/>
        <v>0</v>
      </c>
      <c r="DV721" s="1374"/>
      <c r="DW721" s="1374"/>
      <c r="DX721" s="1374"/>
      <c r="DY721" s="1374"/>
      <c r="DZ721" s="1374">
        <f t="shared" si="26"/>
        <v>0</v>
      </c>
      <c r="EA721" s="1374"/>
      <c r="EB721" s="1374"/>
      <c r="EC721" s="1374"/>
      <c r="ED721" s="1374"/>
      <c r="EE721" s="1374">
        <f t="shared" si="27"/>
        <v>0</v>
      </c>
      <c r="EF721" s="1374"/>
      <c r="EG721" s="1374"/>
      <c r="EH721" s="1374"/>
      <c r="EI721" s="1374"/>
      <c r="EJ721" s="1374">
        <f t="shared" si="28"/>
        <v>0</v>
      </c>
      <c r="EK721" s="1374"/>
      <c r="EL721" s="1374"/>
      <c r="EM721" s="1374"/>
      <c r="EN721" s="1374"/>
      <c r="EO721" s="1374">
        <f t="shared" si="29"/>
        <v>0</v>
      </c>
      <c r="EP721" s="1374"/>
      <c r="EQ721" s="1374"/>
      <c r="ER721" s="1374"/>
      <c r="ES721" s="1374"/>
      <c r="ET721" s="1374">
        <f t="shared" si="30"/>
        <v>0</v>
      </c>
      <c r="EU721" s="1374"/>
      <c r="EV721" s="1374"/>
      <c r="EW721" s="1374"/>
      <c r="EX721" s="1374"/>
      <c r="EZ721" s="1357" t="str">
        <f t="shared" si="31"/>
        <v/>
      </c>
      <c r="FA721" s="1358"/>
      <c r="FB721" s="1358"/>
      <c r="FC721" s="1358"/>
      <c r="FD721" s="1359"/>
      <c r="FE721" s="1357">
        <f t="shared" si="32"/>
        <v>1660</v>
      </c>
      <c r="FF721" s="1358"/>
      <c r="FG721" s="1358"/>
      <c r="FH721" s="1358"/>
      <c r="FI721" s="1359"/>
      <c r="FJ721" s="1357" t="str">
        <f t="shared" si="33"/>
        <v/>
      </c>
      <c r="FK721" s="1358"/>
      <c r="FL721" s="1358"/>
      <c r="FM721" s="1358"/>
      <c r="FN721" s="1359"/>
      <c r="FO721" s="1357" t="str">
        <f t="shared" si="34"/>
        <v/>
      </c>
      <c r="FP721" s="1358"/>
      <c r="FQ721" s="1358"/>
      <c r="FR721" s="1358"/>
      <c r="FS721" s="1359"/>
      <c r="FT721" s="1357" t="str">
        <f t="shared" si="35"/>
        <v/>
      </c>
      <c r="FU721" s="1358"/>
      <c r="FV721" s="1358"/>
      <c r="FW721" s="1358"/>
      <c r="FX721" s="1359"/>
      <c r="FY721" s="1357" t="str">
        <f t="shared" si="36"/>
        <v/>
      </c>
      <c r="FZ721" s="1358"/>
      <c r="GA721" s="1358"/>
      <c r="GB721" s="1358"/>
      <c r="GC721" s="1359"/>
    </row>
    <row r="722" spans="1:185" ht="12.95" customHeight="1">
      <c r="B722" s="1361" t="s">
        <v>325</v>
      </c>
      <c r="C722" s="1362"/>
      <c r="D722" s="1362"/>
      <c r="E722" s="1362"/>
      <c r="F722" s="1363"/>
      <c r="G722" s="1370">
        <v>9</v>
      </c>
      <c r="H722" s="1371"/>
      <c r="I722" s="1371"/>
      <c r="J722" s="1372"/>
      <c r="K722" s="1607">
        <v>450</v>
      </c>
      <c r="L722" s="1608"/>
      <c r="M722" s="1608"/>
      <c r="N722" s="1609"/>
      <c r="O722" s="1469">
        <f>1420-T722</f>
        <v>1376</v>
      </c>
      <c r="P722" s="1470"/>
      <c r="Q722" s="1470"/>
      <c r="R722" s="1470"/>
      <c r="S722" s="1471"/>
      <c r="T722" s="1469">
        <v>44</v>
      </c>
      <c r="U722" s="1470"/>
      <c r="V722" s="1470"/>
      <c r="W722" s="1471"/>
      <c r="X722" s="1364">
        <f t="shared" si="9"/>
        <v>1420</v>
      </c>
      <c r="Y722" s="1365"/>
      <c r="Z722" s="1365"/>
      <c r="AA722" s="1365"/>
      <c r="AB722" s="1366"/>
      <c r="AC722" s="1614">
        <v>0.5</v>
      </c>
      <c r="AD722" s="1615"/>
      <c r="AE722" s="1615"/>
      <c r="AF722" s="1615"/>
      <c r="AG722" s="1616"/>
      <c r="AH722" s="1367">
        <f t="shared" si="37"/>
        <v>0.5</v>
      </c>
      <c r="AI722" s="1368"/>
      <c r="AJ722" s="1369"/>
      <c r="AK722" s="1361" t="s">
        <v>591</v>
      </c>
      <c r="AL722" s="1362"/>
      <c r="AM722" s="1362"/>
      <c r="AN722" s="1362"/>
      <c r="AO722" s="1363"/>
      <c r="AP722" s="3"/>
      <c r="AQ722" s="3"/>
      <c r="AR722" s="3"/>
      <c r="AS722" s="3"/>
      <c r="AY722" s="116"/>
      <c r="AZ722" s="118">
        <f t="shared" si="10"/>
        <v>2840</v>
      </c>
      <c r="BA722" s="3"/>
      <c r="BB722" s="3"/>
      <c r="BC722" s="3"/>
      <c r="BD722" s="3"/>
      <c r="BE722" s="204"/>
      <c r="BF722" s="294">
        <f t="shared" si="11"/>
        <v>9</v>
      </c>
      <c r="BG722" s="297">
        <f t="shared" si="12"/>
        <v>5.7324840764331211E-2</v>
      </c>
      <c r="BH722" s="298">
        <f t="shared" si="13"/>
        <v>2.8662420382165606E-2</v>
      </c>
      <c r="BI722" s="3"/>
      <c r="BJ722" s="3"/>
      <c r="BK722" s="3"/>
      <c r="BL722" s="3"/>
      <c r="BM722" s="3"/>
      <c r="BN722" s="3"/>
      <c r="BS722" s="294">
        <f t="shared" si="14"/>
        <v>9</v>
      </c>
      <c r="BT722" s="297">
        <f t="shared" si="15"/>
        <v>5.7324840764331211E-2</v>
      </c>
      <c r="BU722" s="298">
        <f t="shared" si="16"/>
        <v>2.8662420382165606E-2</v>
      </c>
      <c r="CC722" s="3"/>
      <c r="CD722" s="3"/>
      <c r="CE722" s="3"/>
      <c r="CF722" s="3"/>
      <c r="CG722" s="1357">
        <f t="shared" si="38"/>
        <v>1</v>
      </c>
      <c r="CH722" s="1359"/>
      <c r="CI722" s="1341">
        <f t="shared" si="39"/>
        <v>9</v>
      </c>
      <c r="CJ722" s="1343"/>
      <c r="CK722" s="1357">
        <f t="shared" si="17"/>
        <v>0</v>
      </c>
      <c r="CL722" s="1359"/>
      <c r="CM722" s="1341">
        <f t="shared" si="18"/>
        <v>0</v>
      </c>
      <c r="CN722" s="1343"/>
      <c r="CO722" s="3"/>
      <c r="CP722" s="1338">
        <f t="shared" si="19"/>
        <v>0</v>
      </c>
      <c r="CQ722" s="1339"/>
      <c r="CR722" s="1339"/>
      <c r="CS722" s="1339"/>
      <c r="CT722" s="1340"/>
      <c r="CU722" s="1360">
        <f t="shared" si="20"/>
        <v>9</v>
      </c>
      <c r="CV722" s="1360"/>
      <c r="CW722" s="1360"/>
      <c r="CX722" s="1360"/>
      <c r="CY722" s="1360"/>
      <c r="CZ722" s="1360">
        <f t="shared" si="21"/>
        <v>0</v>
      </c>
      <c r="DA722" s="1360"/>
      <c r="DB722" s="1360"/>
      <c r="DC722" s="1360"/>
      <c r="DD722" s="1360"/>
      <c r="DE722" s="1360">
        <f t="shared" si="22"/>
        <v>0</v>
      </c>
      <c r="DF722" s="1360"/>
      <c r="DG722" s="1360"/>
      <c r="DH722" s="1360"/>
      <c r="DI722" s="1360"/>
      <c r="DJ722" s="1360">
        <f t="shared" si="23"/>
        <v>0</v>
      </c>
      <c r="DK722" s="1360"/>
      <c r="DL722" s="1360"/>
      <c r="DM722" s="1360"/>
      <c r="DN722" s="1360"/>
      <c r="DO722" s="1360">
        <f t="shared" si="24"/>
        <v>0</v>
      </c>
      <c r="DP722" s="1360"/>
      <c r="DQ722" s="1360"/>
      <c r="DR722" s="1360"/>
      <c r="DS722" s="1360"/>
      <c r="DT722" s="6"/>
      <c r="DU722" s="1374">
        <f t="shared" si="25"/>
        <v>0</v>
      </c>
      <c r="DV722" s="1374"/>
      <c r="DW722" s="1374"/>
      <c r="DX722" s="1374"/>
      <c r="DY722" s="1374"/>
      <c r="DZ722" s="1374">
        <f t="shared" si="26"/>
        <v>0</v>
      </c>
      <c r="EA722" s="1374"/>
      <c r="EB722" s="1374"/>
      <c r="EC722" s="1374"/>
      <c r="ED722" s="1374"/>
      <c r="EE722" s="1374">
        <f t="shared" si="27"/>
        <v>0</v>
      </c>
      <c r="EF722" s="1374"/>
      <c r="EG722" s="1374"/>
      <c r="EH722" s="1374"/>
      <c r="EI722" s="1374"/>
      <c r="EJ722" s="1374">
        <f t="shared" si="28"/>
        <v>0</v>
      </c>
      <c r="EK722" s="1374"/>
      <c r="EL722" s="1374"/>
      <c r="EM722" s="1374"/>
      <c r="EN722" s="1374"/>
      <c r="EO722" s="1374">
        <f t="shared" si="29"/>
        <v>0</v>
      </c>
      <c r="EP722" s="1374"/>
      <c r="EQ722" s="1374"/>
      <c r="ER722" s="1374"/>
      <c r="ES722" s="1374"/>
      <c r="ET722" s="1374">
        <f t="shared" si="30"/>
        <v>0</v>
      </c>
      <c r="EU722" s="1374"/>
      <c r="EV722" s="1374"/>
      <c r="EW722" s="1374"/>
      <c r="EX722" s="1374"/>
      <c r="EZ722" s="1357" t="str">
        <f t="shared" si="31"/>
        <v/>
      </c>
      <c r="FA722" s="1358"/>
      <c r="FB722" s="1358"/>
      <c r="FC722" s="1358"/>
      <c r="FD722" s="1359"/>
      <c r="FE722" s="1357">
        <f t="shared" si="32"/>
        <v>1376</v>
      </c>
      <c r="FF722" s="1358"/>
      <c r="FG722" s="1358"/>
      <c r="FH722" s="1358"/>
      <c r="FI722" s="1359"/>
      <c r="FJ722" s="1357" t="str">
        <f t="shared" si="33"/>
        <v/>
      </c>
      <c r="FK722" s="1358"/>
      <c r="FL722" s="1358"/>
      <c r="FM722" s="1358"/>
      <c r="FN722" s="1359"/>
      <c r="FO722" s="1357" t="str">
        <f t="shared" si="34"/>
        <v/>
      </c>
      <c r="FP722" s="1358"/>
      <c r="FQ722" s="1358"/>
      <c r="FR722" s="1358"/>
      <c r="FS722" s="1359"/>
      <c r="FT722" s="1357" t="str">
        <f t="shared" si="35"/>
        <v/>
      </c>
      <c r="FU722" s="1358"/>
      <c r="FV722" s="1358"/>
      <c r="FW722" s="1358"/>
      <c r="FX722" s="1359"/>
      <c r="FY722" s="1357" t="str">
        <f t="shared" si="36"/>
        <v/>
      </c>
      <c r="FZ722" s="1358"/>
      <c r="GA722" s="1358"/>
      <c r="GB722" s="1358"/>
      <c r="GC722" s="1359"/>
    </row>
    <row r="723" spans="1:185" ht="12.95" customHeight="1">
      <c r="B723" s="1361" t="s">
        <v>325</v>
      </c>
      <c r="C723" s="1362"/>
      <c r="D723" s="1362"/>
      <c r="E723" s="1362"/>
      <c r="F723" s="1363"/>
      <c r="G723" s="1370">
        <v>9</v>
      </c>
      <c r="H723" s="1371"/>
      <c r="I723" s="1371"/>
      <c r="J723" s="1372"/>
      <c r="K723" s="1607">
        <v>450</v>
      </c>
      <c r="L723" s="1608"/>
      <c r="M723" s="1608"/>
      <c r="N723" s="1609"/>
      <c r="O723" s="1469">
        <f>852-T723</f>
        <v>808</v>
      </c>
      <c r="P723" s="1470"/>
      <c r="Q723" s="1470"/>
      <c r="R723" s="1470"/>
      <c r="S723" s="1471"/>
      <c r="T723" s="1469">
        <v>44</v>
      </c>
      <c r="U723" s="1470"/>
      <c r="V723" s="1470"/>
      <c r="W723" s="1471"/>
      <c r="X723" s="1364">
        <f t="shared" si="9"/>
        <v>852</v>
      </c>
      <c r="Y723" s="1365"/>
      <c r="Z723" s="1365"/>
      <c r="AA723" s="1365"/>
      <c r="AB723" s="1366"/>
      <c r="AC723" s="1614">
        <v>0.3</v>
      </c>
      <c r="AD723" s="1615"/>
      <c r="AE723" s="1615"/>
      <c r="AF723" s="1615"/>
      <c r="AG723" s="1616"/>
      <c r="AH723" s="1367">
        <f t="shared" si="37"/>
        <v>0.3</v>
      </c>
      <c r="AI723" s="1368"/>
      <c r="AJ723" s="1369"/>
      <c r="AK723" s="1361" t="s">
        <v>591</v>
      </c>
      <c r="AL723" s="1362"/>
      <c r="AM723" s="1362"/>
      <c r="AN723" s="1362"/>
      <c r="AO723" s="1363"/>
      <c r="AP723" s="3"/>
      <c r="AQ723" s="3"/>
      <c r="AR723" s="3"/>
      <c r="AS723" s="3"/>
      <c r="AY723" s="116"/>
      <c r="AZ723" s="118">
        <f t="shared" si="10"/>
        <v>2840</v>
      </c>
      <c r="BA723" s="3"/>
      <c r="BB723" s="3"/>
      <c r="BC723" s="3"/>
      <c r="BD723" s="3"/>
      <c r="BE723" s="204"/>
      <c r="BF723" s="294">
        <f t="shared" si="11"/>
        <v>9</v>
      </c>
      <c r="BG723" s="297">
        <f t="shared" si="12"/>
        <v>5.7324840764331211E-2</v>
      </c>
      <c r="BH723" s="298">
        <f t="shared" si="13"/>
        <v>1.7197452229299363E-2</v>
      </c>
      <c r="BI723" s="3"/>
      <c r="BJ723" s="3"/>
      <c r="BK723" s="3"/>
      <c r="BL723" s="3"/>
      <c r="BM723" s="3"/>
      <c r="BN723" s="3"/>
      <c r="BS723" s="294">
        <f t="shared" si="14"/>
        <v>9</v>
      </c>
      <c r="BT723" s="297">
        <f t="shared" si="15"/>
        <v>5.7324840764331211E-2</v>
      </c>
      <c r="BU723" s="298">
        <f t="shared" si="16"/>
        <v>1.7197452229299363E-2</v>
      </c>
      <c r="CC723" s="3"/>
      <c r="CD723" s="3"/>
      <c r="CE723" s="3"/>
      <c r="CF723" s="3"/>
      <c r="CG723" s="1357">
        <f t="shared" si="38"/>
        <v>0</v>
      </c>
      <c r="CH723" s="1359"/>
      <c r="CI723" s="1341">
        <f t="shared" si="39"/>
        <v>0</v>
      </c>
      <c r="CJ723" s="1343"/>
      <c r="CK723" s="1357">
        <f t="shared" si="17"/>
        <v>1</v>
      </c>
      <c r="CL723" s="1359"/>
      <c r="CM723" s="1341">
        <f t="shared" si="18"/>
        <v>9</v>
      </c>
      <c r="CN723" s="1343"/>
      <c r="CO723" s="3"/>
      <c r="CP723" s="1338">
        <f t="shared" si="19"/>
        <v>0</v>
      </c>
      <c r="CQ723" s="1339"/>
      <c r="CR723" s="1339"/>
      <c r="CS723" s="1339"/>
      <c r="CT723" s="1340"/>
      <c r="CU723" s="1360">
        <f t="shared" si="20"/>
        <v>9</v>
      </c>
      <c r="CV723" s="1360"/>
      <c r="CW723" s="1360"/>
      <c r="CX723" s="1360"/>
      <c r="CY723" s="1360"/>
      <c r="CZ723" s="1360">
        <f t="shared" si="21"/>
        <v>0</v>
      </c>
      <c r="DA723" s="1360"/>
      <c r="DB723" s="1360"/>
      <c r="DC723" s="1360"/>
      <c r="DD723" s="1360"/>
      <c r="DE723" s="1360">
        <f t="shared" si="22"/>
        <v>0</v>
      </c>
      <c r="DF723" s="1360"/>
      <c r="DG723" s="1360"/>
      <c r="DH723" s="1360"/>
      <c r="DI723" s="1360"/>
      <c r="DJ723" s="1360">
        <f t="shared" si="23"/>
        <v>0</v>
      </c>
      <c r="DK723" s="1360"/>
      <c r="DL723" s="1360"/>
      <c r="DM723" s="1360"/>
      <c r="DN723" s="1360"/>
      <c r="DO723" s="1360">
        <f t="shared" si="24"/>
        <v>0</v>
      </c>
      <c r="DP723" s="1360"/>
      <c r="DQ723" s="1360"/>
      <c r="DR723" s="1360"/>
      <c r="DS723" s="1360"/>
      <c r="DT723" s="6"/>
      <c r="DU723" s="1374">
        <f t="shared" si="25"/>
        <v>0</v>
      </c>
      <c r="DV723" s="1374"/>
      <c r="DW723" s="1374"/>
      <c r="DX723" s="1374"/>
      <c r="DY723" s="1374"/>
      <c r="DZ723" s="1374">
        <f t="shared" si="26"/>
        <v>9</v>
      </c>
      <c r="EA723" s="1374"/>
      <c r="EB723" s="1374"/>
      <c r="EC723" s="1374"/>
      <c r="ED723" s="1374"/>
      <c r="EE723" s="1374">
        <f t="shared" si="27"/>
        <v>0</v>
      </c>
      <c r="EF723" s="1374"/>
      <c r="EG723" s="1374"/>
      <c r="EH723" s="1374"/>
      <c r="EI723" s="1374"/>
      <c r="EJ723" s="1374">
        <f t="shared" si="28"/>
        <v>0</v>
      </c>
      <c r="EK723" s="1374"/>
      <c r="EL723" s="1374"/>
      <c r="EM723" s="1374"/>
      <c r="EN723" s="1374"/>
      <c r="EO723" s="1374">
        <f t="shared" si="29"/>
        <v>0</v>
      </c>
      <c r="EP723" s="1374"/>
      <c r="EQ723" s="1374"/>
      <c r="ER723" s="1374"/>
      <c r="ES723" s="1374"/>
      <c r="ET723" s="1374">
        <f t="shared" si="30"/>
        <v>0</v>
      </c>
      <c r="EU723" s="1374"/>
      <c r="EV723" s="1374"/>
      <c r="EW723" s="1374"/>
      <c r="EX723" s="1374"/>
      <c r="EZ723" s="1357" t="str">
        <f t="shared" si="31"/>
        <v/>
      </c>
      <c r="FA723" s="1358"/>
      <c r="FB723" s="1358"/>
      <c r="FC723" s="1358"/>
      <c r="FD723" s="1359"/>
      <c r="FE723" s="1357">
        <f t="shared" si="32"/>
        <v>808</v>
      </c>
      <c r="FF723" s="1358"/>
      <c r="FG723" s="1358"/>
      <c r="FH723" s="1358"/>
      <c r="FI723" s="1359"/>
      <c r="FJ723" s="1357" t="str">
        <f t="shared" si="33"/>
        <v/>
      </c>
      <c r="FK723" s="1358"/>
      <c r="FL723" s="1358"/>
      <c r="FM723" s="1358"/>
      <c r="FN723" s="1359"/>
      <c r="FO723" s="1357" t="str">
        <f t="shared" si="34"/>
        <v/>
      </c>
      <c r="FP723" s="1358"/>
      <c r="FQ723" s="1358"/>
      <c r="FR723" s="1358"/>
      <c r="FS723" s="1359"/>
      <c r="FT723" s="1357" t="str">
        <f t="shared" si="35"/>
        <v/>
      </c>
      <c r="FU723" s="1358"/>
      <c r="FV723" s="1358"/>
      <c r="FW723" s="1358"/>
      <c r="FX723" s="1359"/>
      <c r="FY723" s="1357" t="str">
        <f t="shared" si="36"/>
        <v/>
      </c>
      <c r="FZ723" s="1358"/>
      <c r="GA723" s="1358"/>
      <c r="GB723" s="1358"/>
      <c r="GC723" s="1359"/>
    </row>
    <row r="724" spans="1:185" ht="12.95" customHeight="1">
      <c r="B724" s="1361"/>
      <c r="C724" s="1362"/>
      <c r="D724" s="1362"/>
      <c r="E724" s="1362"/>
      <c r="F724" s="1363"/>
      <c r="G724" s="1370"/>
      <c r="H724" s="1371"/>
      <c r="I724" s="1371"/>
      <c r="J724" s="1372"/>
      <c r="K724" s="1607"/>
      <c r="L724" s="1608"/>
      <c r="M724" s="1608"/>
      <c r="N724" s="1609"/>
      <c r="O724" s="1469"/>
      <c r="P724" s="1470"/>
      <c r="Q724" s="1470"/>
      <c r="R724" s="1470"/>
      <c r="S724" s="1471"/>
      <c r="T724" s="1469"/>
      <c r="U724" s="1470"/>
      <c r="V724" s="1470"/>
      <c r="W724" s="1471"/>
      <c r="X724" s="1364">
        <f t="shared" si="9"/>
        <v>0</v>
      </c>
      <c r="Y724" s="1365"/>
      <c r="Z724" s="1365"/>
      <c r="AA724" s="1365"/>
      <c r="AB724" s="1366"/>
      <c r="AC724" s="1614"/>
      <c r="AD724" s="1615"/>
      <c r="AE724" s="1615"/>
      <c r="AF724" s="1615"/>
      <c r="AG724" s="1616"/>
      <c r="AH724" s="1367" t="str">
        <f t="shared" si="37"/>
        <v/>
      </c>
      <c r="AI724" s="1368"/>
      <c r="AJ724" s="1369"/>
      <c r="AK724" s="1361" t="s">
        <v>591</v>
      </c>
      <c r="AL724" s="1362"/>
      <c r="AM724" s="1362"/>
      <c r="AN724" s="1362"/>
      <c r="AO724" s="1363"/>
      <c r="AP724" s="3"/>
      <c r="AQ724" s="3"/>
      <c r="AR724" s="3"/>
      <c r="AS724" s="3"/>
      <c r="AY724" s="116"/>
      <c r="AZ724" s="118" t="str">
        <f t="shared" si="10"/>
        <v>N/A</v>
      </c>
      <c r="BA724" s="3"/>
      <c r="BB724" s="3"/>
      <c r="BC724" s="3"/>
      <c r="BD724" s="3"/>
      <c r="BE724" s="204"/>
      <c r="BF724" s="294">
        <f t="shared" si="11"/>
        <v>0</v>
      </c>
      <c r="BG724" s="297">
        <f t="shared" si="12"/>
        <v>0</v>
      </c>
      <c r="BH724" s="298" t="str">
        <f t="shared" si="13"/>
        <v/>
      </c>
      <c r="BI724" s="3"/>
      <c r="BJ724" s="3"/>
      <c r="BK724" s="3"/>
      <c r="BL724" s="3"/>
      <c r="BM724" s="3"/>
      <c r="BN724" s="3"/>
      <c r="BS724" s="294">
        <f t="shared" si="14"/>
        <v>0</v>
      </c>
      <c r="BT724" s="297">
        <f t="shared" si="15"/>
        <v>0</v>
      </c>
      <c r="BU724" s="298" t="str">
        <f t="shared" si="16"/>
        <v/>
      </c>
      <c r="CC724" s="3"/>
      <c r="CE724" s="3"/>
      <c r="CF724" s="3"/>
      <c r="CG724" s="1357">
        <f t="shared" si="38"/>
        <v>0</v>
      </c>
      <c r="CH724" s="1359"/>
      <c r="CI724" s="1341">
        <f t="shared" si="39"/>
        <v>0</v>
      </c>
      <c r="CJ724" s="1343"/>
      <c r="CK724" s="1357">
        <f t="shared" si="17"/>
        <v>0</v>
      </c>
      <c r="CL724" s="1359"/>
      <c r="CM724" s="1341">
        <f t="shared" si="18"/>
        <v>0</v>
      </c>
      <c r="CN724" s="1343"/>
      <c r="CO724" s="3"/>
      <c r="CP724" s="1338">
        <f t="shared" si="19"/>
        <v>0</v>
      </c>
      <c r="CQ724" s="1339"/>
      <c r="CR724" s="1339"/>
      <c r="CS724" s="1339"/>
      <c r="CT724" s="1340"/>
      <c r="CU724" s="1360">
        <f t="shared" si="20"/>
        <v>0</v>
      </c>
      <c r="CV724" s="1360"/>
      <c r="CW724" s="1360"/>
      <c r="CX724" s="1360"/>
      <c r="CY724" s="1360"/>
      <c r="CZ724" s="1360">
        <f t="shared" si="21"/>
        <v>0</v>
      </c>
      <c r="DA724" s="1360"/>
      <c r="DB724" s="1360"/>
      <c r="DC724" s="1360"/>
      <c r="DD724" s="1360"/>
      <c r="DE724" s="1360">
        <f t="shared" si="22"/>
        <v>0</v>
      </c>
      <c r="DF724" s="1360"/>
      <c r="DG724" s="1360"/>
      <c r="DH724" s="1360"/>
      <c r="DI724" s="1360"/>
      <c r="DJ724" s="1360">
        <f t="shared" si="23"/>
        <v>0</v>
      </c>
      <c r="DK724" s="1360"/>
      <c r="DL724" s="1360"/>
      <c r="DM724" s="1360"/>
      <c r="DN724" s="1360"/>
      <c r="DO724" s="1360">
        <f t="shared" si="24"/>
        <v>0</v>
      </c>
      <c r="DP724" s="1360"/>
      <c r="DQ724" s="1360"/>
      <c r="DR724" s="1360"/>
      <c r="DS724" s="1360"/>
      <c r="DT724" s="6"/>
      <c r="DU724" s="1374">
        <f t="shared" si="25"/>
        <v>0</v>
      </c>
      <c r="DV724" s="1374"/>
      <c r="DW724" s="1374"/>
      <c r="DX724" s="1374"/>
      <c r="DY724" s="1374"/>
      <c r="DZ724" s="1374">
        <f t="shared" si="26"/>
        <v>0</v>
      </c>
      <c r="EA724" s="1374"/>
      <c r="EB724" s="1374"/>
      <c r="EC724" s="1374"/>
      <c r="ED724" s="1374"/>
      <c r="EE724" s="1374">
        <f t="shared" si="27"/>
        <v>0</v>
      </c>
      <c r="EF724" s="1374"/>
      <c r="EG724" s="1374"/>
      <c r="EH724" s="1374"/>
      <c r="EI724" s="1374"/>
      <c r="EJ724" s="1374">
        <f t="shared" si="28"/>
        <v>0</v>
      </c>
      <c r="EK724" s="1374"/>
      <c r="EL724" s="1374"/>
      <c r="EM724" s="1374"/>
      <c r="EN724" s="1374"/>
      <c r="EO724" s="1374">
        <f t="shared" si="29"/>
        <v>0</v>
      </c>
      <c r="EP724" s="1374"/>
      <c r="EQ724" s="1374"/>
      <c r="ER724" s="1374"/>
      <c r="ES724" s="1374"/>
      <c r="ET724" s="1374">
        <f t="shared" si="30"/>
        <v>0</v>
      </c>
      <c r="EU724" s="1374"/>
      <c r="EV724" s="1374"/>
      <c r="EW724" s="1374"/>
      <c r="EX724" s="1374"/>
      <c r="EZ724" s="1357" t="str">
        <f t="shared" si="31"/>
        <v/>
      </c>
      <c r="FA724" s="1358"/>
      <c r="FB724" s="1358"/>
      <c r="FC724" s="1358"/>
      <c r="FD724" s="1359"/>
      <c r="FE724" s="1357" t="str">
        <f t="shared" si="32"/>
        <v/>
      </c>
      <c r="FF724" s="1358"/>
      <c r="FG724" s="1358"/>
      <c r="FH724" s="1358"/>
      <c r="FI724" s="1359"/>
      <c r="FJ724" s="1357" t="str">
        <f t="shared" si="33"/>
        <v/>
      </c>
      <c r="FK724" s="1358"/>
      <c r="FL724" s="1358"/>
      <c r="FM724" s="1358"/>
      <c r="FN724" s="1359"/>
      <c r="FO724" s="1357" t="str">
        <f t="shared" si="34"/>
        <v/>
      </c>
      <c r="FP724" s="1358"/>
      <c r="FQ724" s="1358"/>
      <c r="FR724" s="1358"/>
      <c r="FS724" s="1359"/>
      <c r="FT724" s="1357" t="str">
        <f t="shared" si="35"/>
        <v/>
      </c>
      <c r="FU724" s="1358"/>
      <c r="FV724" s="1358"/>
      <c r="FW724" s="1358"/>
      <c r="FX724" s="1359"/>
      <c r="FY724" s="1357" t="str">
        <f t="shared" si="36"/>
        <v/>
      </c>
      <c r="FZ724" s="1358"/>
      <c r="GA724" s="1358"/>
      <c r="GB724" s="1358"/>
      <c r="GC724" s="1359"/>
    </row>
    <row r="725" spans="1:185" ht="12.95" customHeight="1">
      <c r="B725" s="1361"/>
      <c r="C725" s="1362"/>
      <c r="D725" s="1362"/>
      <c r="E725" s="1362"/>
      <c r="F725" s="1363"/>
      <c r="G725" s="1370"/>
      <c r="H725" s="1371"/>
      <c r="I725" s="1371"/>
      <c r="J725" s="1372"/>
      <c r="K725" s="1607"/>
      <c r="L725" s="1608"/>
      <c r="M725" s="1608"/>
      <c r="N725" s="1609"/>
      <c r="O725" s="1469"/>
      <c r="P725" s="1470"/>
      <c r="Q725" s="1470"/>
      <c r="R725" s="1470"/>
      <c r="S725" s="1471"/>
      <c r="T725" s="1469"/>
      <c r="U725" s="1470"/>
      <c r="V725" s="1470"/>
      <c r="W725" s="1471"/>
      <c r="X725" s="1364">
        <f t="shared" si="9"/>
        <v>0</v>
      </c>
      <c r="Y725" s="1365"/>
      <c r="Z725" s="1365"/>
      <c r="AA725" s="1365"/>
      <c r="AB725" s="1366"/>
      <c r="AC725" s="1614"/>
      <c r="AD725" s="1615"/>
      <c r="AE725" s="1615"/>
      <c r="AF725" s="1615"/>
      <c r="AG725" s="1616"/>
      <c r="AH725" s="1367" t="str">
        <f t="shared" si="37"/>
        <v/>
      </c>
      <c r="AI725" s="1368"/>
      <c r="AJ725" s="1369"/>
      <c r="AK725" s="1361" t="s">
        <v>591</v>
      </c>
      <c r="AL725" s="1362"/>
      <c r="AM725" s="1362"/>
      <c r="AN725" s="1362"/>
      <c r="AO725" s="1363"/>
      <c r="AP725" s="3"/>
      <c r="AQ725" s="3"/>
      <c r="AR725" s="3"/>
      <c r="AS725" s="3"/>
      <c r="AY725" s="1085"/>
      <c r="AZ725" s="118" t="str">
        <f t="shared" si="10"/>
        <v>N/A</v>
      </c>
      <c r="BA725" s="3"/>
      <c r="BB725" s="3"/>
      <c r="BC725" s="3"/>
      <c r="BD725" s="3"/>
      <c r="BE725" s="204"/>
      <c r="BF725" s="294">
        <f t="shared" si="11"/>
        <v>0</v>
      </c>
      <c r="BG725" s="297">
        <f t="shared" si="12"/>
        <v>0</v>
      </c>
      <c r="BH725" s="298" t="str">
        <f t="shared" si="13"/>
        <v/>
      </c>
      <c r="BI725" s="3"/>
      <c r="BJ725" s="3"/>
      <c r="BK725" s="3"/>
      <c r="BL725" s="3"/>
      <c r="BM725" s="3"/>
      <c r="BN725" s="3"/>
      <c r="BS725" s="294">
        <f t="shared" si="14"/>
        <v>0</v>
      </c>
      <c r="BT725" s="297">
        <f t="shared" si="15"/>
        <v>0</v>
      </c>
      <c r="BU725" s="298" t="str">
        <f t="shared" si="16"/>
        <v/>
      </c>
      <c r="BV725" s="292"/>
      <c r="BW725" s="3"/>
      <c r="BX725" s="3"/>
      <c r="BY725" s="3"/>
      <c r="BZ725" s="3"/>
      <c r="CA725" s="3"/>
      <c r="CB725" s="3"/>
      <c r="CC725" s="3"/>
      <c r="CE725" s="3"/>
      <c r="CF725" s="3"/>
      <c r="CG725" s="1357">
        <f t="shared" si="38"/>
        <v>0</v>
      </c>
      <c r="CH725" s="1359"/>
      <c r="CI725" s="1341">
        <f t="shared" si="39"/>
        <v>0</v>
      </c>
      <c r="CJ725" s="1343"/>
      <c r="CK725" s="1357">
        <f t="shared" si="17"/>
        <v>0</v>
      </c>
      <c r="CL725" s="1359"/>
      <c r="CM725" s="1341">
        <f t="shared" si="18"/>
        <v>0</v>
      </c>
      <c r="CN725" s="1343"/>
      <c r="CO725" s="3"/>
      <c r="CP725" s="1338">
        <f t="shared" si="19"/>
        <v>0</v>
      </c>
      <c r="CQ725" s="1339"/>
      <c r="CR725" s="1339"/>
      <c r="CS725" s="1339"/>
      <c r="CT725" s="1340"/>
      <c r="CU725" s="1360">
        <f t="shared" si="20"/>
        <v>0</v>
      </c>
      <c r="CV725" s="1360"/>
      <c r="CW725" s="1360"/>
      <c r="CX725" s="1360"/>
      <c r="CY725" s="1360"/>
      <c r="CZ725" s="1360">
        <f t="shared" si="21"/>
        <v>0</v>
      </c>
      <c r="DA725" s="1360"/>
      <c r="DB725" s="1360"/>
      <c r="DC725" s="1360"/>
      <c r="DD725" s="1360"/>
      <c r="DE725" s="1360">
        <f t="shared" si="22"/>
        <v>0</v>
      </c>
      <c r="DF725" s="1360"/>
      <c r="DG725" s="1360"/>
      <c r="DH725" s="1360"/>
      <c r="DI725" s="1360"/>
      <c r="DJ725" s="1360">
        <f t="shared" si="23"/>
        <v>0</v>
      </c>
      <c r="DK725" s="1360"/>
      <c r="DL725" s="1360"/>
      <c r="DM725" s="1360"/>
      <c r="DN725" s="1360"/>
      <c r="DO725" s="1360">
        <f t="shared" si="24"/>
        <v>0</v>
      </c>
      <c r="DP725" s="1360"/>
      <c r="DQ725" s="1360"/>
      <c r="DR725" s="1360"/>
      <c r="DS725" s="1360"/>
      <c r="DT725" s="6"/>
      <c r="DU725" s="1374">
        <f t="shared" si="25"/>
        <v>0</v>
      </c>
      <c r="DV725" s="1374"/>
      <c r="DW725" s="1374"/>
      <c r="DX725" s="1374"/>
      <c r="DY725" s="1374"/>
      <c r="DZ725" s="1374">
        <f t="shared" si="26"/>
        <v>0</v>
      </c>
      <c r="EA725" s="1374"/>
      <c r="EB725" s="1374"/>
      <c r="EC725" s="1374"/>
      <c r="ED725" s="1374"/>
      <c r="EE725" s="1374">
        <f t="shared" si="27"/>
        <v>0</v>
      </c>
      <c r="EF725" s="1374"/>
      <c r="EG725" s="1374"/>
      <c r="EH725" s="1374"/>
      <c r="EI725" s="1374"/>
      <c r="EJ725" s="1374">
        <f t="shared" si="28"/>
        <v>0</v>
      </c>
      <c r="EK725" s="1374"/>
      <c r="EL725" s="1374"/>
      <c r="EM725" s="1374"/>
      <c r="EN725" s="1374"/>
      <c r="EO725" s="1374">
        <f t="shared" si="29"/>
        <v>0</v>
      </c>
      <c r="EP725" s="1374"/>
      <c r="EQ725" s="1374"/>
      <c r="ER725" s="1374"/>
      <c r="ES725" s="1374"/>
      <c r="ET725" s="1374">
        <f t="shared" si="30"/>
        <v>0</v>
      </c>
      <c r="EU725" s="1374"/>
      <c r="EV725" s="1374"/>
      <c r="EW725" s="1374"/>
      <c r="EX725" s="1374"/>
      <c r="EZ725" s="1357" t="str">
        <f t="shared" si="31"/>
        <v/>
      </c>
      <c r="FA725" s="1358"/>
      <c r="FB725" s="1358"/>
      <c r="FC725" s="1358"/>
      <c r="FD725" s="1359"/>
      <c r="FE725" s="1357" t="str">
        <f t="shared" si="32"/>
        <v/>
      </c>
      <c r="FF725" s="1358"/>
      <c r="FG725" s="1358"/>
      <c r="FH725" s="1358"/>
      <c r="FI725" s="1359"/>
      <c r="FJ725" s="1357" t="str">
        <f t="shared" si="33"/>
        <v/>
      </c>
      <c r="FK725" s="1358"/>
      <c r="FL725" s="1358"/>
      <c r="FM725" s="1358"/>
      <c r="FN725" s="1359"/>
      <c r="FO725" s="1357" t="str">
        <f t="shared" si="34"/>
        <v/>
      </c>
      <c r="FP725" s="1358"/>
      <c r="FQ725" s="1358"/>
      <c r="FR725" s="1358"/>
      <c r="FS725" s="1359"/>
      <c r="FT725" s="1357" t="str">
        <f t="shared" si="35"/>
        <v/>
      </c>
      <c r="FU725" s="1358"/>
      <c r="FV725" s="1358"/>
      <c r="FW725" s="1358"/>
      <c r="FX725" s="1359"/>
      <c r="FY725" s="1357" t="str">
        <f t="shared" si="36"/>
        <v/>
      </c>
      <c r="FZ725" s="1358"/>
      <c r="GA725" s="1358"/>
      <c r="GB725" s="1358"/>
      <c r="GC725" s="1359"/>
    </row>
    <row r="726" spans="1:185" ht="12.95" customHeight="1">
      <c r="B726" s="1361"/>
      <c r="C726" s="1362"/>
      <c r="D726" s="1362"/>
      <c r="E726" s="1362"/>
      <c r="F726" s="1363"/>
      <c r="G726" s="1370"/>
      <c r="H726" s="1371"/>
      <c r="I726" s="1371"/>
      <c r="J726" s="1372"/>
      <c r="K726" s="1607"/>
      <c r="L726" s="1608"/>
      <c r="M726" s="1608"/>
      <c r="N726" s="1609"/>
      <c r="O726" s="1469"/>
      <c r="P726" s="1470"/>
      <c r="Q726" s="1470"/>
      <c r="R726" s="1470"/>
      <c r="S726" s="1471"/>
      <c r="T726" s="1469"/>
      <c r="U726" s="1470"/>
      <c r="V726" s="1470"/>
      <c r="W726" s="1471"/>
      <c r="X726" s="1364">
        <f t="shared" si="9"/>
        <v>0</v>
      </c>
      <c r="Y726" s="1365"/>
      <c r="Z726" s="1365"/>
      <c r="AA726" s="1365"/>
      <c r="AB726" s="1366"/>
      <c r="AC726" s="1614"/>
      <c r="AD726" s="1615"/>
      <c r="AE726" s="1615"/>
      <c r="AF726" s="1615"/>
      <c r="AG726" s="1616"/>
      <c r="AH726" s="1367" t="str">
        <f t="shared" si="37"/>
        <v/>
      </c>
      <c r="AI726" s="1368"/>
      <c r="AJ726" s="1369"/>
      <c r="AK726" s="1361" t="s">
        <v>591</v>
      </c>
      <c r="AL726" s="1362"/>
      <c r="AM726" s="1362"/>
      <c r="AN726" s="1362"/>
      <c r="AO726" s="1363"/>
      <c r="AP726" s="3"/>
      <c r="AQ726" s="3"/>
      <c r="AR726" s="3"/>
      <c r="AS726" s="3"/>
      <c r="AY726" s="1085"/>
      <c r="AZ726" s="118" t="str">
        <f t="shared" si="10"/>
        <v>N/A</v>
      </c>
      <c r="BA726" s="3"/>
      <c r="BB726" s="3"/>
      <c r="BC726" s="3"/>
      <c r="BD726" s="3"/>
      <c r="BE726" s="204"/>
      <c r="BF726" s="294">
        <f t="shared" si="11"/>
        <v>0</v>
      </c>
      <c r="BG726" s="297">
        <f t="shared" si="12"/>
        <v>0</v>
      </c>
      <c r="BH726" s="298" t="str">
        <f t="shared" si="13"/>
        <v/>
      </c>
      <c r="BI726" s="3"/>
      <c r="BJ726" s="3"/>
      <c r="BK726" s="3"/>
      <c r="BL726" s="3"/>
      <c r="BM726" s="3"/>
      <c r="BN726" s="3"/>
      <c r="BS726" s="294">
        <f t="shared" si="14"/>
        <v>0</v>
      </c>
      <c r="BT726" s="297">
        <f t="shared" si="15"/>
        <v>0</v>
      </c>
      <c r="BU726" s="298" t="str">
        <f t="shared" si="16"/>
        <v/>
      </c>
      <c r="BV726" s="3"/>
      <c r="BW726" s="3"/>
      <c r="BX726" s="3"/>
      <c r="BY726" s="3"/>
      <c r="BZ726" s="3"/>
      <c r="CA726" s="3"/>
      <c r="CB726" s="3"/>
      <c r="CC726" s="3"/>
      <c r="CE726" s="3"/>
      <c r="CF726" s="3"/>
      <c r="CG726" s="1357">
        <f t="shared" si="38"/>
        <v>0</v>
      </c>
      <c r="CH726" s="1359"/>
      <c r="CI726" s="1341">
        <f t="shared" si="39"/>
        <v>0</v>
      </c>
      <c r="CJ726" s="1343"/>
      <c r="CK726" s="1357">
        <f t="shared" si="17"/>
        <v>0</v>
      </c>
      <c r="CL726" s="1359"/>
      <c r="CM726" s="1341">
        <f t="shared" si="18"/>
        <v>0</v>
      </c>
      <c r="CN726" s="1343"/>
      <c r="CO726" s="3"/>
      <c r="CP726" s="1338">
        <f t="shared" si="19"/>
        <v>0</v>
      </c>
      <c r="CQ726" s="1339"/>
      <c r="CR726" s="1339"/>
      <c r="CS726" s="1339"/>
      <c r="CT726" s="1340"/>
      <c r="CU726" s="1360">
        <f t="shared" si="20"/>
        <v>0</v>
      </c>
      <c r="CV726" s="1360"/>
      <c r="CW726" s="1360"/>
      <c r="CX726" s="1360"/>
      <c r="CY726" s="1360"/>
      <c r="CZ726" s="1360">
        <f t="shared" si="21"/>
        <v>0</v>
      </c>
      <c r="DA726" s="1360"/>
      <c r="DB726" s="1360"/>
      <c r="DC726" s="1360"/>
      <c r="DD726" s="1360"/>
      <c r="DE726" s="1360">
        <f t="shared" si="22"/>
        <v>0</v>
      </c>
      <c r="DF726" s="1360"/>
      <c r="DG726" s="1360"/>
      <c r="DH726" s="1360"/>
      <c r="DI726" s="1360"/>
      <c r="DJ726" s="1360">
        <f t="shared" si="23"/>
        <v>0</v>
      </c>
      <c r="DK726" s="1360"/>
      <c r="DL726" s="1360"/>
      <c r="DM726" s="1360"/>
      <c r="DN726" s="1360"/>
      <c r="DO726" s="1360">
        <f t="shared" si="24"/>
        <v>0</v>
      </c>
      <c r="DP726" s="1360"/>
      <c r="DQ726" s="1360"/>
      <c r="DR726" s="1360"/>
      <c r="DS726" s="1360"/>
      <c r="DT726" s="6"/>
      <c r="DU726" s="1374">
        <f t="shared" si="25"/>
        <v>0</v>
      </c>
      <c r="DV726" s="1374"/>
      <c r="DW726" s="1374"/>
      <c r="DX726" s="1374"/>
      <c r="DY726" s="1374"/>
      <c r="DZ726" s="1374">
        <f t="shared" si="26"/>
        <v>0</v>
      </c>
      <c r="EA726" s="1374"/>
      <c r="EB726" s="1374"/>
      <c r="EC726" s="1374"/>
      <c r="ED726" s="1374"/>
      <c r="EE726" s="1374">
        <f t="shared" si="27"/>
        <v>0</v>
      </c>
      <c r="EF726" s="1374"/>
      <c r="EG726" s="1374"/>
      <c r="EH726" s="1374"/>
      <c r="EI726" s="1374"/>
      <c r="EJ726" s="1374">
        <f t="shared" si="28"/>
        <v>0</v>
      </c>
      <c r="EK726" s="1374"/>
      <c r="EL726" s="1374"/>
      <c r="EM726" s="1374"/>
      <c r="EN726" s="1374"/>
      <c r="EO726" s="1374">
        <f t="shared" si="29"/>
        <v>0</v>
      </c>
      <c r="EP726" s="1374"/>
      <c r="EQ726" s="1374"/>
      <c r="ER726" s="1374"/>
      <c r="ES726" s="1374"/>
      <c r="ET726" s="1374">
        <f t="shared" si="30"/>
        <v>0</v>
      </c>
      <c r="EU726" s="1374"/>
      <c r="EV726" s="1374"/>
      <c r="EW726" s="1374"/>
      <c r="EX726" s="1374"/>
      <c r="EY726" s="4"/>
      <c r="EZ726" s="1357" t="str">
        <f t="shared" si="31"/>
        <v/>
      </c>
      <c r="FA726" s="1358"/>
      <c r="FB726" s="1358"/>
      <c r="FC726" s="1358"/>
      <c r="FD726" s="1359"/>
      <c r="FE726" s="1357" t="str">
        <f t="shared" si="32"/>
        <v/>
      </c>
      <c r="FF726" s="1358"/>
      <c r="FG726" s="1358"/>
      <c r="FH726" s="1358"/>
      <c r="FI726" s="1359"/>
      <c r="FJ726" s="1357" t="str">
        <f t="shared" si="33"/>
        <v/>
      </c>
      <c r="FK726" s="1358"/>
      <c r="FL726" s="1358"/>
      <c r="FM726" s="1358"/>
      <c r="FN726" s="1359"/>
      <c r="FO726" s="1357" t="str">
        <f t="shared" si="34"/>
        <v/>
      </c>
      <c r="FP726" s="1358"/>
      <c r="FQ726" s="1358"/>
      <c r="FR726" s="1358"/>
      <c r="FS726" s="1359"/>
      <c r="FT726" s="1357" t="str">
        <f t="shared" si="35"/>
        <v/>
      </c>
      <c r="FU726" s="1358"/>
      <c r="FV726" s="1358"/>
      <c r="FW726" s="1358"/>
      <c r="FX726" s="1359"/>
      <c r="FY726" s="1357" t="str">
        <f t="shared" si="36"/>
        <v/>
      </c>
      <c r="FZ726" s="1358"/>
      <c r="GA726" s="1358"/>
      <c r="GB726" s="1358"/>
      <c r="GC726" s="1359"/>
    </row>
    <row r="727" spans="1:185" ht="12.95" customHeight="1">
      <c r="A727" s="4"/>
      <c r="B727" s="1361"/>
      <c r="C727" s="1362"/>
      <c r="D727" s="1362"/>
      <c r="E727" s="1362"/>
      <c r="F727" s="1363"/>
      <c r="G727" s="1370"/>
      <c r="H727" s="1371"/>
      <c r="I727" s="1371"/>
      <c r="J727" s="1372"/>
      <c r="K727" s="1607"/>
      <c r="L727" s="1608"/>
      <c r="M727" s="1608"/>
      <c r="N727" s="1609"/>
      <c r="O727" s="1469"/>
      <c r="P727" s="1470"/>
      <c r="Q727" s="1470"/>
      <c r="R727" s="1470"/>
      <c r="S727" s="1471"/>
      <c r="T727" s="1469"/>
      <c r="U727" s="1470"/>
      <c r="V727" s="1470"/>
      <c r="W727" s="1471"/>
      <c r="X727" s="1364">
        <f t="shared" si="9"/>
        <v>0</v>
      </c>
      <c r="Y727" s="1365"/>
      <c r="Z727" s="1365"/>
      <c r="AA727" s="1365"/>
      <c r="AB727" s="1366"/>
      <c r="AC727" s="1614"/>
      <c r="AD727" s="1615"/>
      <c r="AE727" s="1615"/>
      <c r="AF727" s="1615"/>
      <c r="AG727" s="1616"/>
      <c r="AH727" s="1367" t="str">
        <f t="shared" si="37"/>
        <v/>
      </c>
      <c r="AI727" s="1368"/>
      <c r="AJ727" s="1369"/>
      <c r="AK727" s="1361" t="s">
        <v>591</v>
      </c>
      <c r="AL727" s="1362"/>
      <c r="AM727" s="1362"/>
      <c r="AN727" s="1362"/>
      <c r="AO727" s="1363"/>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357">
        <f t="shared" si="38"/>
        <v>0</v>
      </c>
      <c r="CH727" s="1359"/>
      <c r="CI727" s="1341">
        <f t="shared" si="39"/>
        <v>0</v>
      </c>
      <c r="CJ727" s="1343"/>
      <c r="CK727" s="1357">
        <f t="shared" si="17"/>
        <v>0</v>
      </c>
      <c r="CL727" s="1359"/>
      <c r="CM727" s="1341">
        <f t="shared" si="18"/>
        <v>0</v>
      </c>
      <c r="CN727" s="1343"/>
      <c r="CO727" s="3"/>
      <c r="CP727" s="1338">
        <f t="shared" si="19"/>
        <v>0</v>
      </c>
      <c r="CQ727" s="1339"/>
      <c r="CR727" s="1339"/>
      <c r="CS727" s="1339"/>
      <c r="CT727" s="1340"/>
      <c r="CU727" s="1360">
        <f t="shared" si="20"/>
        <v>0</v>
      </c>
      <c r="CV727" s="1360"/>
      <c r="CW727" s="1360"/>
      <c r="CX727" s="1360"/>
      <c r="CY727" s="1360"/>
      <c r="CZ727" s="1360">
        <f t="shared" si="21"/>
        <v>0</v>
      </c>
      <c r="DA727" s="1360"/>
      <c r="DB727" s="1360"/>
      <c r="DC727" s="1360"/>
      <c r="DD727" s="1360"/>
      <c r="DE727" s="1360">
        <f t="shared" si="22"/>
        <v>0</v>
      </c>
      <c r="DF727" s="1360"/>
      <c r="DG727" s="1360"/>
      <c r="DH727" s="1360"/>
      <c r="DI727" s="1360"/>
      <c r="DJ727" s="1360">
        <f t="shared" si="23"/>
        <v>0</v>
      </c>
      <c r="DK727" s="1360"/>
      <c r="DL727" s="1360"/>
      <c r="DM727" s="1360"/>
      <c r="DN727" s="1360"/>
      <c r="DO727" s="1360">
        <f t="shared" si="24"/>
        <v>0</v>
      </c>
      <c r="DP727" s="1360"/>
      <c r="DQ727" s="1360"/>
      <c r="DR727" s="1360"/>
      <c r="DS727" s="1360"/>
      <c r="DT727" s="6"/>
      <c r="DU727" s="1374">
        <f t="shared" si="25"/>
        <v>0</v>
      </c>
      <c r="DV727" s="1374"/>
      <c r="DW727" s="1374"/>
      <c r="DX727" s="1374"/>
      <c r="DY727" s="1374"/>
      <c r="DZ727" s="1374">
        <f t="shared" si="26"/>
        <v>0</v>
      </c>
      <c r="EA727" s="1374"/>
      <c r="EB727" s="1374"/>
      <c r="EC727" s="1374"/>
      <c r="ED727" s="1374"/>
      <c r="EE727" s="1374">
        <f t="shared" si="27"/>
        <v>0</v>
      </c>
      <c r="EF727" s="1374"/>
      <c r="EG727" s="1374"/>
      <c r="EH727" s="1374"/>
      <c r="EI727" s="1374"/>
      <c r="EJ727" s="1374">
        <f t="shared" si="28"/>
        <v>0</v>
      </c>
      <c r="EK727" s="1374"/>
      <c r="EL727" s="1374"/>
      <c r="EM727" s="1374"/>
      <c r="EN727" s="1374"/>
      <c r="EO727" s="1374">
        <f t="shared" si="29"/>
        <v>0</v>
      </c>
      <c r="EP727" s="1374"/>
      <c r="EQ727" s="1374"/>
      <c r="ER727" s="1374"/>
      <c r="ES727" s="1374"/>
      <c r="ET727" s="1374">
        <f t="shared" si="30"/>
        <v>0</v>
      </c>
      <c r="EU727" s="1374"/>
      <c r="EV727" s="1374"/>
      <c r="EW727" s="1374"/>
      <c r="EX727" s="1374"/>
      <c r="EY727" s="4"/>
      <c r="EZ727" s="1357" t="str">
        <f t="shared" si="31"/>
        <v/>
      </c>
      <c r="FA727" s="1358"/>
      <c r="FB727" s="1358"/>
      <c r="FC727" s="1358"/>
      <c r="FD727" s="1359"/>
      <c r="FE727" s="1357" t="str">
        <f t="shared" si="32"/>
        <v/>
      </c>
      <c r="FF727" s="1358"/>
      <c r="FG727" s="1358"/>
      <c r="FH727" s="1358"/>
      <c r="FI727" s="1359"/>
      <c r="FJ727" s="1357" t="str">
        <f t="shared" si="33"/>
        <v/>
      </c>
      <c r="FK727" s="1358"/>
      <c r="FL727" s="1358"/>
      <c r="FM727" s="1358"/>
      <c r="FN727" s="1359"/>
      <c r="FO727" s="1357" t="str">
        <f t="shared" si="34"/>
        <v/>
      </c>
      <c r="FP727" s="1358"/>
      <c r="FQ727" s="1358"/>
      <c r="FR727" s="1358"/>
      <c r="FS727" s="1359"/>
      <c r="FT727" s="1357" t="str">
        <f t="shared" si="35"/>
        <v/>
      </c>
      <c r="FU727" s="1358"/>
      <c r="FV727" s="1358"/>
      <c r="FW727" s="1358"/>
      <c r="FX727" s="1359"/>
      <c r="FY727" s="1357" t="str">
        <f t="shared" si="36"/>
        <v/>
      </c>
      <c r="FZ727" s="1358"/>
      <c r="GA727" s="1358"/>
      <c r="GB727" s="1358"/>
      <c r="GC727" s="1359"/>
    </row>
    <row r="728" spans="1:185" ht="12.95" customHeight="1">
      <c r="A728" s="4"/>
      <c r="B728" s="1361"/>
      <c r="C728" s="1362"/>
      <c r="D728" s="1362"/>
      <c r="E728" s="1362"/>
      <c r="F728" s="1363"/>
      <c r="G728" s="1370"/>
      <c r="H728" s="1371"/>
      <c r="I728" s="1371"/>
      <c r="J728" s="1372"/>
      <c r="K728" s="1607"/>
      <c r="L728" s="1608"/>
      <c r="M728" s="1608"/>
      <c r="N728" s="1609"/>
      <c r="O728" s="1469"/>
      <c r="P728" s="1470"/>
      <c r="Q728" s="1470"/>
      <c r="R728" s="1470"/>
      <c r="S728" s="1471"/>
      <c r="T728" s="1469"/>
      <c r="U728" s="1470"/>
      <c r="V728" s="1470"/>
      <c r="W728" s="1471"/>
      <c r="X728" s="1364">
        <f t="shared" si="9"/>
        <v>0</v>
      </c>
      <c r="Y728" s="1365"/>
      <c r="Z728" s="1365"/>
      <c r="AA728" s="1365"/>
      <c r="AB728" s="1366"/>
      <c r="AC728" s="1614"/>
      <c r="AD728" s="1615"/>
      <c r="AE728" s="1615"/>
      <c r="AF728" s="1615"/>
      <c r="AG728" s="1616"/>
      <c r="AH728" s="1367" t="str">
        <f t="shared" si="37"/>
        <v/>
      </c>
      <c r="AI728" s="1368"/>
      <c r="AJ728" s="1369"/>
      <c r="AK728" s="1361" t="s">
        <v>591</v>
      </c>
      <c r="AL728" s="1362"/>
      <c r="AM728" s="1362"/>
      <c r="AN728" s="1362"/>
      <c r="AO728" s="1363"/>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357">
        <f t="shared" si="38"/>
        <v>0</v>
      </c>
      <c r="CH728" s="1359"/>
      <c r="CI728" s="1341">
        <f t="shared" si="39"/>
        <v>0</v>
      </c>
      <c r="CJ728" s="1343"/>
      <c r="CK728" s="1357">
        <f t="shared" si="17"/>
        <v>0</v>
      </c>
      <c r="CL728" s="1359"/>
      <c r="CM728" s="1341">
        <f t="shared" si="18"/>
        <v>0</v>
      </c>
      <c r="CN728" s="1343"/>
      <c r="CO728" s="3"/>
      <c r="CP728" s="1338">
        <f t="shared" si="19"/>
        <v>0</v>
      </c>
      <c r="CQ728" s="1339"/>
      <c r="CR728" s="1339"/>
      <c r="CS728" s="1339"/>
      <c r="CT728" s="1340"/>
      <c r="CU728" s="1360">
        <f t="shared" si="20"/>
        <v>0</v>
      </c>
      <c r="CV728" s="1360"/>
      <c r="CW728" s="1360"/>
      <c r="CX728" s="1360"/>
      <c r="CY728" s="1360"/>
      <c r="CZ728" s="1360">
        <f t="shared" si="21"/>
        <v>0</v>
      </c>
      <c r="DA728" s="1360"/>
      <c r="DB728" s="1360"/>
      <c r="DC728" s="1360"/>
      <c r="DD728" s="1360"/>
      <c r="DE728" s="1360">
        <f t="shared" si="22"/>
        <v>0</v>
      </c>
      <c r="DF728" s="1360"/>
      <c r="DG728" s="1360"/>
      <c r="DH728" s="1360"/>
      <c r="DI728" s="1360"/>
      <c r="DJ728" s="1360">
        <f t="shared" si="23"/>
        <v>0</v>
      </c>
      <c r="DK728" s="1360"/>
      <c r="DL728" s="1360"/>
      <c r="DM728" s="1360"/>
      <c r="DN728" s="1360"/>
      <c r="DO728" s="1360">
        <f t="shared" si="24"/>
        <v>0</v>
      </c>
      <c r="DP728" s="1360"/>
      <c r="DQ728" s="1360"/>
      <c r="DR728" s="1360"/>
      <c r="DS728" s="1360"/>
      <c r="DT728" s="6"/>
      <c r="DU728" s="1374">
        <f t="shared" si="25"/>
        <v>0</v>
      </c>
      <c r="DV728" s="1374"/>
      <c r="DW728" s="1374"/>
      <c r="DX728" s="1374"/>
      <c r="DY728" s="1374"/>
      <c r="DZ728" s="1374">
        <f t="shared" si="26"/>
        <v>0</v>
      </c>
      <c r="EA728" s="1374"/>
      <c r="EB728" s="1374"/>
      <c r="EC728" s="1374"/>
      <c r="ED728" s="1374"/>
      <c r="EE728" s="1374">
        <f t="shared" si="27"/>
        <v>0</v>
      </c>
      <c r="EF728" s="1374"/>
      <c r="EG728" s="1374"/>
      <c r="EH728" s="1374"/>
      <c r="EI728" s="1374"/>
      <c r="EJ728" s="1374">
        <f t="shared" si="28"/>
        <v>0</v>
      </c>
      <c r="EK728" s="1374"/>
      <c r="EL728" s="1374"/>
      <c r="EM728" s="1374"/>
      <c r="EN728" s="1374"/>
      <c r="EO728" s="1374">
        <f t="shared" si="29"/>
        <v>0</v>
      </c>
      <c r="EP728" s="1374"/>
      <c r="EQ728" s="1374"/>
      <c r="ER728" s="1374"/>
      <c r="ES728" s="1374"/>
      <c r="ET728" s="1374">
        <f t="shared" si="30"/>
        <v>0</v>
      </c>
      <c r="EU728" s="1374"/>
      <c r="EV728" s="1374"/>
      <c r="EW728" s="1374"/>
      <c r="EX728" s="1374"/>
      <c r="EY728" s="4"/>
      <c r="EZ728" s="1357" t="str">
        <f t="shared" si="31"/>
        <v/>
      </c>
      <c r="FA728" s="1358"/>
      <c r="FB728" s="1358"/>
      <c r="FC728" s="1358"/>
      <c r="FD728" s="1359"/>
      <c r="FE728" s="1357" t="str">
        <f t="shared" si="32"/>
        <v/>
      </c>
      <c r="FF728" s="1358"/>
      <c r="FG728" s="1358"/>
      <c r="FH728" s="1358"/>
      <c r="FI728" s="1359"/>
      <c r="FJ728" s="1357" t="str">
        <f t="shared" si="33"/>
        <v/>
      </c>
      <c r="FK728" s="1358"/>
      <c r="FL728" s="1358"/>
      <c r="FM728" s="1358"/>
      <c r="FN728" s="1359"/>
      <c r="FO728" s="1357" t="str">
        <f t="shared" si="34"/>
        <v/>
      </c>
      <c r="FP728" s="1358"/>
      <c r="FQ728" s="1358"/>
      <c r="FR728" s="1358"/>
      <c r="FS728" s="1359"/>
      <c r="FT728" s="1357" t="str">
        <f t="shared" si="35"/>
        <v/>
      </c>
      <c r="FU728" s="1358"/>
      <c r="FV728" s="1358"/>
      <c r="FW728" s="1358"/>
      <c r="FX728" s="1359"/>
      <c r="FY728" s="1357" t="str">
        <f t="shared" si="36"/>
        <v/>
      </c>
      <c r="FZ728" s="1358"/>
      <c r="GA728" s="1358"/>
      <c r="GB728" s="1358"/>
      <c r="GC728" s="1359"/>
    </row>
    <row r="729" spans="1:185" ht="12.95" customHeight="1">
      <c r="A729" s="4"/>
      <c r="B729" s="1361"/>
      <c r="C729" s="1362"/>
      <c r="D729" s="1362"/>
      <c r="E729" s="1362"/>
      <c r="F729" s="1363"/>
      <c r="G729" s="1370"/>
      <c r="H729" s="1371"/>
      <c r="I729" s="1371"/>
      <c r="J729" s="1372"/>
      <c r="K729" s="1607"/>
      <c r="L729" s="1608"/>
      <c r="M729" s="1608"/>
      <c r="N729" s="1609"/>
      <c r="O729" s="1469"/>
      <c r="P729" s="1470"/>
      <c r="Q729" s="1470"/>
      <c r="R729" s="1470"/>
      <c r="S729" s="1471"/>
      <c r="T729" s="1469"/>
      <c r="U729" s="1470"/>
      <c r="V729" s="1470"/>
      <c r="W729" s="1471"/>
      <c r="X729" s="1364">
        <f t="shared" si="9"/>
        <v>0</v>
      </c>
      <c r="Y729" s="1365"/>
      <c r="Z729" s="1365"/>
      <c r="AA729" s="1365"/>
      <c r="AB729" s="1366"/>
      <c r="AC729" s="1614"/>
      <c r="AD729" s="1615"/>
      <c r="AE729" s="1615"/>
      <c r="AF729" s="1615"/>
      <c r="AG729" s="1616"/>
      <c r="AH729" s="1367" t="str">
        <f t="shared" si="37"/>
        <v/>
      </c>
      <c r="AI729" s="1368"/>
      <c r="AJ729" s="1369"/>
      <c r="AK729" s="1361" t="s">
        <v>591</v>
      </c>
      <c r="AL729" s="1362"/>
      <c r="AM729" s="1362"/>
      <c r="AN729" s="1362"/>
      <c r="AO729" s="1363"/>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357">
        <f t="shared" si="38"/>
        <v>0</v>
      </c>
      <c r="CH729" s="1359"/>
      <c r="CI729" s="1341">
        <f t="shared" si="39"/>
        <v>0</v>
      </c>
      <c r="CJ729" s="1343"/>
      <c r="CK729" s="1357">
        <f t="shared" si="17"/>
        <v>0</v>
      </c>
      <c r="CL729" s="1359"/>
      <c r="CM729" s="1341">
        <f t="shared" si="18"/>
        <v>0</v>
      </c>
      <c r="CN729" s="1343"/>
      <c r="CO729" s="3"/>
      <c r="CP729" s="1338">
        <f t="shared" si="19"/>
        <v>0</v>
      </c>
      <c r="CQ729" s="1339"/>
      <c r="CR729" s="1339"/>
      <c r="CS729" s="1339"/>
      <c r="CT729" s="1340"/>
      <c r="CU729" s="1360">
        <f t="shared" si="20"/>
        <v>0</v>
      </c>
      <c r="CV729" s="1360"/>
      <c r="CW729" s="1360"/>
      <c r="CX729" s="1360"/>
      <c r="CY729" s="1360"/>
      <c r="CZ729" s="1360">
        <f t="shared" si="21"/>
        <v>0</v>
      </c>
      <c r="DA729" s="1360"/>
      <c r="DB729" s="1360"/>
      <c r="DC729" s="1360"/>
      <c r="DD729" s="1360"/>
      <c r="DE729" s="1360">
        <f t="shared" si="22"/>
        <v>0</v>
      </c>
      <c r="DF729" s="1360"/>
      <c r="DG729" s="1360"/>
      <c r="DH729" s="1360"/>
      <c r="DI729" s="1360"/>
      <c r="DJ729" s="1360">
        <f t="shared" si="23"/>
        <v>0</v>
      </c>
      <c r="DK729" s="1360"/>
      <c r="DL729" s="1360"/>
      <c r="DM729" s="1360"/>
      <c r="DN729" s="1360"/>
      <c r="DO729" s="1360">
        <f t="shared" si="24"/>
        <v>0</v>
      </c>
      <c r="DP729" s="1360"/>
      <c r="DQ729" s="1360"/>
      <c r="DR729" s="1360"/>
      <c r="DS729" s="1360"/>
      <c r="DT729" s="6"/>
      <c r="DU729" s="1374">
        <f t="shared" si="25"/>
        <v>0</v>
      </c>
      <c r="DV729" s="1374"/>
      <c r="DW729" s="1374"/>
      <c r="DX729" s="1374"/>
      <c r="DY729" s="1374"/>
      <c r="DZ729" s="1374">
        <f t="shared" si="26"/>
        <v>0</v>
      </c>
      <c r="EA729" s="1374"/>
      <c r="EB729" s="1374"/>
      <c r="EC729" s="1374"/>
      <c r="ED729" s="1374"/>
      <c r="EE729" s="1374">
        <f t="shared" si="27"/>
        <v>0</v>
      </c>
      <c r="EF729" s="1374"/>
      <c r="EG729" s="1374"/>
      <c r="EH729" s="1374"/>
      <c r="EI729" s="1374"/>
      <c r="EJ729" s="1374">
        <f t="shared" si="28"/>
        <v>0</v>
      </c>
      <c r="EK729" s="1374"/>
      <c r="EL729" s="1374"/>
      <c r="EM729" s="1374"/>
      <c r="EN729" s="1374"/>
      <c r="EO729" s="1374">
        <f t="shared" si="29"/>
        <v>0</v>
      </c>
      <c r="EP729" s="1374"/>
      <c r="EQ729" s="1374"/>
      <c r="ER729" s="1374"/>
      <c r="ES729" s="1374"/>
      <c r="ET729" s="1374">
        <f t="shared" si="30"/>
        <v>0</v>
      </c>
      <c r="EU729" s="1374"/>
      <c r="EV729" s="1374"/>
      <c r="EW729" s="1374"/>
      <c r="EX729" s="1374"/>
      <c r="EZ729" s="1357" t="str">
        <f t="shared" si="31"/>
        <v/>
      </c>
      <c r="FA729" s="1358"/>
      <c r="FB729" s="1358"/>
      <c r="FC729" s="1358"/>
      <c r="FD729" s="1359"/>
      <c r="FE729" s="1357" t="str">
        <f t="shared" si="32"/>
        <v/>
      </c>
      <c r="FF729" s="1358"/>
      <c r="FG729" s="1358"/>
      <c r="FH729" s="1358"/>
      <c r="FI729" s="1359"/>
      <c r="FJ729" s="1357" t="str">
        <f t="shared" si="33"/>
        <v/>
      </c>
      <c r="FK729" s="1358"/>
      <c r="FL729" s="1358"/>
      <c r="FM729" s="1358"/>
      <c r="FN729" s="1359"/>
      <c r="FO729" s="1357" t="str">
        <f t="shared" si="34"/>
        <v/>
      </c>
      <c r="FP729" s="1358"/>
      <c r="FQ729" s="1358"/>
      <c r="FR729" s="1358"/>
      <c r="FS729" s="1359"/>
      <c r="FT729" s="1357" t="str">
        <f t="shared" si="35"/>
        <v/>
      </c>
      <c r="FU729" s="1358"/>
      <c r="FV729" s="1358"/>
      <c r="FW729" s="1358"/>
      <c r="FX729" s="1359"/>
      <c r="FY729" s="1357" t="str">
        <f t="shared" si="36"/>
        <v/>
      </c>
      <c r="FZ729" s="1358"/>
      <c r="GA729" s="1358"/>
      <c r="GB729" s="1358"/>
      <c r="GC729" s="1359"/>
    </row>
    <row r="730" spans="1:185" ht="12.95" customHeight="1">
      <c r="B730" s="1361"/>
      <c r="C730" s="1362"/>
      <c r="D730" s="1362"/>
      <c r="E730" s="1362"/>
      <c r="F730" s="1363"/>
      <c r="G730" s="1370"/>
      <c r="H730" s="1371"/>
      <c r="I730" s="1371"/>
      <c r="J730" s="1372"/>
      <c r="K730" s="1607"/>
      <c r="L730" s="1608"/>
      <c r="M730" s="1608"/>
      <c r="N730" s="1609"/>
      <c r="O730" s="1469"/>
      <c r="P730" s="1470"/>
      <c r="Q730" s="1470"/>
      <c r="R730" s="1470"/>
      <c r="S730" s="1471"/>
      <c r="T730" s="1469"/>
      <c r="U730" s="1470"/>
      <c r="V730" s="1470"/>
      <c r="W730" s="1471"/>
      <c r="X730" s="1364">
        <f t="shared" si="9"/>
        <v>0</v>
      </c>
      <c r="Y730" s="1365"/>
      <c r="Z730" s="1365"/>
      <c r="AA730" s="1365"/>
      <c r="AB730" s="1366"/>
      <c r="AC730" s="1614"/>
      <c r="AD730" s="1615"/>
      <c r="AE730" s="1615"/>
      <c r="AF730" s="1615"/>
      <c r="AG730" s="1616"/>
      <c r="AH730" s="1367" t="str">
        <f t="shared" si="37"/>
        <v/>
      </c>
      <c r="AI730" s="1368"/>
      <c r="AJ730" s="1369"/>
      <c r="AK730" s="1361" t="s">
        <v>591</v>
      </c>
      <c r="AL730" s="1362"/>
      <c r="AM730" s="1362"/>
      <c r="AN730" s="1362"/>
      <c r="AO730" s="1363"/>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357">
        <f t="shared" si="38"/>
        <v>0</v>
      </c>
      <c r="CH730" s="1359"/>
      <c r="CI730" s="1341">
        <f t="shared" si="39"/>
        <v>0</v>
      </c>
      <c r="CJ730" s="1343"/>
      <c r="CK730" s="1357">
        <f t="shared" si="17"/>
        <v>0</v>
      </c>
      <c r="CL730" s="1359"/>
      <c r="CM730" s="1341">
        <f t="shared" si="18"/>
        <v>0</v>
      </c>
      <c r="CN730" s="1343"/>
      <c r="CO730" s="3"/>
      <c r="CP730" s="1338">
        <f t="shared" si="19"/>
        <v>0</v>
      </c>
      <c r="CQ730" s="1339"/>
      <c r="CR730" s="1339"/>
      <c r="CS730" s="1339"/>
      <c r="CT730" s="1340"/>
      <c r="CU730" s="1360">
        <f t="shared" si="20"/>
        <v>0</v>
      </c>
      <c r="CV730" s="1360"/>
      <c r="CW730" s="1360"/>
      <c r="CX730" s="1360"/>
      <c r="CY730" s="1360"/>
      <c r="CZ730" s="1360">
        <f t="shared" si="21"/>
        <v>0</v>
      </c>
      <c r="DA730" s="1360"/>
      <c r="DB730" s="1360"/>
      <c r="DC730" s="1360"/>
      <c r="DD730" s="1360"/>
      <c r="DE730" s="1360">
        <f t="shared" si="22"/>
        <v>0</v>
      </c>
      <c r="DF730" s="1360"/>
      <c r="DG730" s="1360"/>
      <c r="DH730" s="1360"/>
      <c r="DI730" s="1360"/>
      <c r="DJ730" s="1360">
        <f t="shared" si="23"/>
        <v>0</v>
      </c>
      <c r="DK730" s="1360"/>
      <c r="DL730" s="1360"/>
      <c r="DM730" s="1360"/>
      <c r="DN730" s="1360"/>
      <c r="DO730" s="1360">
        <f t="shared" si="24"/>
        <v>0</v>
      </c>
      <c r="DP730" s="1360"/>
      <c r="DQ730" s="1360"/>
      <c r="DR730" s="1360"/>
      <c r="DS730" s="1360"/>
      <c r="DT730" s="6"/>
      <c r="DU730" s="1374">
        <f t="shared" si="25"/>
        <v>0</v>
      </c>
      <c r="DV730" s="1374"/>
      <c r="DW730" s="1374"/>
      <c r="DX730" s="1374"/>
      <c r="DY730" s="1374"/>
      <c r="DZ730" s="1374">
        <f t="shared" si="26"/>
        <v>0</v>
      </c>
      <c r="EA730" s="1374"/>
      <c r="EB730" s="1374"/>
      <c r="EC730" s="1374"/>
      <c r="ED730" s="1374"/>
      <c r="EE730" s="1374">
        <f t="shared" si="27"/>
        <v>0</v>
      </c>
      <c r="EF730" s="1374"/>
      <c r="EG730" s="1374"/>
      <c r="EH730" s="1374"/>
      <c r="EI730" s="1374"/>
      <c r="EJ730" s="1374">
        <f t="shared" si="28"/>
        <v>0</v>
      </c>
      <c r="EK730" s="1374"/>
      <c r="EL730" s="1374"/>
      <c r="EM730" s="1374"/>
      <c r="EN730" s="1374"/>
      <c r="EO730" s="1374">
        <f t="shared" si="29"/>
        <v>0</v>
      </c>
      <c r="EP730" s="1374"/>
      <c r="EQ730" s="1374"/>
      <c r="ER730" s="1374"/>
      <c r="ES730" s="1374"/>
      <c r="ET730" s="1374">
        <f t="shared" si="30"/>
        <v>0</v>
      </c>
      <c r="EU730" s="1374"/>
      <c r="EV730" s="1374"/>
      <c r="EW730" s="1374"/>
      <c r="EX730" s="1374"/>
      <c r="EZ730" s="1357" t="str">
        <f t="shared" si="31"/>
        <v/>
      </c>
      <c r="FA730" s="1358"/>
      <c r="FB730" s="1358"/>
      <c r="FC730" s="1358"/>
      <c r="FD730" s="1359"/>
      <c r="FE730" s="1357" t="str">
        <f t="shared" si="32"/>
        <v/>
      </c>
      <c r="FF730" s="1358"/>
      <c r="FG730" s="1358"/>
      <c r="FH730" s="1358"/>
      <c r="FI730" s="1359"/>
      <c r="FJ730" s="1357" t="str">
        <f t="shared" si="33"/>
        <v/>
      </c>
      <c r="FK730" s="1358"/>
      <c r="FL730" s="1358"/>
      <c r="FM730" s="1358"/>
      <c r="FN730" s="1359"/>
      <c r="FO730" s="1357" t="str">
        <f t="shared" si="34"/>
        <v/>
      </c>
      <c r="FP730" s="1358"/>
      <c r="FQ730" s="1358"/>
      <c r="FR730" s="1358"/>
      <c r="FS730" s="1359"/>
      <c r="FT730" s="1357" t="str">
        <f t="shared" si="35"/>
        <v/>
      </c>
      <c r="FU730" s="1358"/>
      <c r="FV730" s="1358"/>
      <c r="FW730" s="1358"/>
      <c r="FX730" s="1359"/>
      <c r="FY730" s="1357" t="str">
        <f t="shared" si="36"/>
        <v/>
      </c>
      <c r="FZ730" s="1358"/>
      <c r="GA730" s="1358"/>
      <c r="GB730" s="1358"/>
      <c r="GC730" s="1359"/>
    </row>
    <row r="731" spans="1:185" ht="12.95" customHeight="1">
      <c r="B731" s="1361"/>
      <c r="C731" s="1362"/>
      <c r="D731" s="1362"/>
      <c r="E731" s="1362"/>
      <c r="F731" s="1363"/>
      <c r="G731" s="1370"/>
      <c r="H731" s="1371"/>
      <c r="I731" s="1371"/>
      <c r="J731" s="1372"/>
      <c r="K731" s="1607"/>
      <c r="L731" s="1608"/>
      <c r="M731" s="1608"/>
      <c r="N731" s="1609"/>
      <c r="O731" s="1469"/>
      <c r="P731" s="1470"/>
      <c r="Q731" s="1470"/>
      <c r="R731" s="1470"/>
      <c r="S731" s="1471"/>
      <c r="T731" s="1469"/>
      <c r="U731" s="1470"/>
      <c r="V731" s="1470"/>
      <c r="W731" s="1471"/>
      <c r="X731" s="1364">
        <f t="shared" si="9"/>
        <v>0</v>
      </c>
      <c r="Y731" s="1365"/>
      <c r="Z731" s="1365"/>
      <c r="AA731" s="1365"/>
      <c r="AB731" s="1366"/>
      <c r="AC731" s="1614"/>
      <c r="AD731" s="1615"/>
      <c r="AE731" s="1615"/>
      <c r="AF731" s="1615"/>
      <c r="AG731" s="1616"/>
      <c r="AH731" s="1367" t="str">
        <f t="shared" si="37"/>
        <v/>
      </c>
      <c r="AI731" s="1368"/>
      <c r="AJ731" s="1369"/>
      <c r="AK731" s="1361" t="s">
        <v>591</v>
      </c>
      <c r="AL731" s="1362"/>
      <c r="AM731" s="1362"/>
      <c r="AN731" s="1362"/>
      <c r="AO731" s="1363"/>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357">
        <f t="shared" si="38"/>
        <v>0</v>
      </c>
      <c r="CH731" s="1359"/>
      <c r="CI731" s="1341">
        <f t="shared" si="39"/>
        <v>0</v>
      </c>
      <c r="CJ731" s="1343"/>
      <c r="CK731" s="1357">
        <f t="shared" si="17"/>
        <v>0</v>
      </c>
      <c r="CL731" s="1359"/>
      <c r="CM731" s="1341">
        <f t="shared" si="18"/>
        <v>0</v>
      </c>
      <c r="CN731" s="1343"/>
      <c r="CO731" s="3"/>
      <c r="CP731" s="1338">
        <f t="shared" si="19"/>
        <v>0</v>
      </c>
      <c r="CQ731" s="1339"/>
      <c r="CR731" s="1339"/>
      <c r="CS731" s="1339"/>
      <c r="CT731" s="1340"/>
      <c r="CU731" s="1360">
        <f t="shared" si="20"/>
        <v>0</v>
      </c>
      <c r="CV731" s="1360"/>
      <c r="CW731" s="1360"/>
      <c r="CX731" s="1360"/>
      <c r="CY731" s="1360"/>
      <c r="CZ731" s="1360">
        <f t="shared" si="21"/>
        <v>0</v>
      </c>
      <c r="DA731" s="1360"/>
      <c r="DB731" s="1360"/>
      <c r="DC731" s="1360"/>
      <c r="DD731" s="1360"/>
      <c r="DE731" s="1360">
        <f t="shared" si="22"/>
        <v>0</v>
      </c>
      <c r="DF731" s="1360"/>
      <c r="DG731" s="1360"/>
      <c r="DH731" s="1360"/>
      <c r="DI731" s="1360"/>
      <c r="DJ731" s="1360">
        <f t="shared" si="23"/>
        <v>0</v>
      </c>
      <c r="DK731" s="1360"/>
      <c r="DL731" s="1360"/>
      <c r="DM731" s="1360"/>
      <c r="DN731" s="1360"/>
      <c r="DO731" s="1360">
        <f t="shared" si="24"/>
        <v>0</v>
      </c>
      <c r="DP731" s="1360"/>
      <c r="DQ731" s="1360"/>
      <c r="DR731" s="1360"/>
      <c r="DS731" s="1360"/>
      <c r="DT731" s="6"/>
      <c r="DU731" s="1374">
        <f t="shared" si="25"/>
        <v>0</v>
      </c>
      <c r="DV731" s="1374"/>
      <c r="DW731" s="1374"/>
      <c r="DX731" s="1374"/>
      <c r="DY731" s="1374"/>
      <c r="DZ731" s="1374">
        <f t="shared" si="26"/>
        <v>0</v>
      </c>
      <c r="EA731" s="1374"/>
      <c r="EB731" s="1374"/>
      <c r="EC731" s="1374"/>
      <c r="ED731" s="1374"/>
      <c r="EE731" s="1374">
        <f t="shared" si="27"/>
        <v>0</v>
      </c>
      <c r="EF731" s="1374"/>
      <c r="EG731" s="1374"/>
      <c r="EH731" s="1374"/>
      <c r="EI731" s="1374"/>
      <c r="EJ731" s="1374">
        <f t="shared" si="28"/>
        <v>0</v>
      </c>
      <c r="EK731" s="1374"/>
      <c r="EL731" s="1374"/>
      <c r="EM731" s="1374"/>
      <c r="EN731" s="1374"/>
      <c r="EO731" s="1374">
        <f t="shared" si="29"/>
        <v>0</v>
      </c>
      <c r="EP731" s="1374"/>
      <c r="EQ731" s="1374"/>
      <c r="ER731" s="1374"/>
      <c r="ES731" s="1374"/>
      <c r="ET731" s="1374">
        <f t="shared" si="30"/>
        <v>0</v>
      </c>
      <c r="EU731" s="1374"/>
      <c r="EV731" s="1374"/>
      <c r="EW731" s="1374"/>
      <c r="EX731" s="1374"/>
      <c r="EZ731" s="1357" t="str">
        <f t="shared" si="31"/>
        <v/>
      </c>
      <c r="FA731" s="1358"/>
      <c r="FB731" s="1358"/>
      <c r="FC731" s="1358"/>
      <c r="FD731" s="1359"/>
      <c r="FE731" s="1357" t="str">
        <f t="shared" si="32"/>
        <v/>
      </c>
      <c r="FF731" s="1358"/>
      <c r="FG731" s="1358"/>
      <c r="FH731" s="1358"/>
      <c r="FI731" s="1359"/>
      <c r="FJ731" s="1357" t="str">
        <f t="shared" si="33"/>
        <v/>
      </c>
      <c r="FK731" s="1358"/>
      <c r="FL731" s="1358"/>
      <c r="FM731" s="1358"/>
      <c r="FN731" s="1359"/>
      <c r="FO731" s="1357" t="str">
        <f t="shared" si="34"/>
        <v/>
      </c>
      <c r="FP731" s="1358"/>
      <c r="FQ731" s="1358"/>
      <c r="FR731" s="1358"/>
      <c r="FS731" s="1359"/>
      <c r="FT731" s="1357" t="str">
        <f t="shared" si="35"/>
        <v/>
      </c>
      <c r="FU731" s="1358"/>
      <c r="FV731" s="1358"/>
      <c r="FW731" s="1358"/>
      <c r="FX731" s="1359"/>
      <c r="FY731" s="1357" t="str">
        <f t="shared" si="36"/>
        <v/>
      </c>
      <c r="FZ731" s="1358"/>
      <c r="GA731" s="1358"/>
      <c r="GB731" s="1358"/>
      <c r="GC731" s="1359"/>
    </row>
    <row r="732" spans="1:185" ht="12.95" customHeight="1">
      <c r="B732" s="1361"/>
      <c r="C732" s="1362"/>
      <c r="D732" s="1362"/>
      <c r="E732" s="1362"/>
      <c r="F732" s="1363"/>
      <c r="G732" s="1370"/>
      <c r="H732" s="1371"/>
      <c r="I732" s="1371"/>
      <c r="J732" s="1372"/>
      <c r="K732" s="1607"/>
      <c r="L732" s="1608"/>
      <c r="M732" s="1608"/>
      <c r="N732" s="1609"/>
      <c r="O732" s="1469"/>
      <c r="P732" s="1470"/>
      <c r="Q732" s="1470"/>
      <c r="R732" s="1470"/>
      <c r="S732" s="1471"/>
      <c r="T732" s="1469"/>
      <c r="U732" s="1470"/>
      <c r="V732" s="1470"/>
      <c r="W732" s="1471"/>
      <c r="X732" s="1364">
        <f t="shared" si="9"/>
        <v>0</v>
      </c>
      <c r="Y732" s="1365"/>
      <c r="Z732" s="1365"/>
      <c r="AA732" s="1365"/>
      <c r="AB732" s="1366"/>
      <c r="AC732" s="1614"/>
      <c r="AD732" s="1615"/>
      <c r="AE732" s="1615"/>
      <c r="AF732" s="1615"/>
      <c r="AG732" s="1616"/>
      <c r="AH732" s="1367" t="str">
        <f t="shared" si="37"/>
        <v/>
      </c>
      <c r="AI732" s="1368"/>
      <c r="AJ732" s="1369"/>
      <c r="AK732" s="1361" t="s">
        <v>591</v>
      </c>
      <c r="AL732" s="1362"/>
      <c r="AM732" s="1362"/>
      <c r="AN732" s="1362"/>
      <c r="AO732" s="1363"/>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357">
        <f t="shared" si="38"/>
        <v>0</v>
      </c>
      <c r="CH732" s="1359"/>
      <c r="CI732" s="1341">
        <f t="shared" si="39"/>
        <v>0</v>
      </c>
      <c r="CJ732" s="1343"/>
      <c r="CK732" s="1357">
        <f t="shared" si="17"/>
        <v>0</v>
      </c>
      <c r="CL732" s="1359"/>
      <c r="CM732" s="1341">
        <f t="shared" si="18"/>
        <v>0</v>
      </c>
      <c r="CN732" s="1343"/>
      <c r="CO732" s="3"/>
      <c r="CP732" s="1338">
        <f t="shared" si="19"/>
        <v>0</v>
      </c>
      <c r="CQ732" s="1339"/>
      <c r="CR732" s="1339"/>
      <c r="CS732" s="1339"/>
      <c r="CT732" s="1340"/>
      <c r="CU732" s="1360">
        <f t="shared" si="20"/>
        <v>0</v>
      </c>
      <c r="CV732" s="1360"/>
      <c r="CW732" s="1360"/>
      <c r="CX732" s="1360"/>
      <c r="CY732" s="1360"/>
      <c r="CZ732" s="1360">
        <f t="shared" si="21"/>
        <v>0</v>
      </c>
      <c r="DA732" s="1360"/>
      <c r="DB732" s="1360"/>
      <c r="DC732" s="1360"/>
      <c r="DD732" s="1360"/>
      <c r="DE732" s="1360">
        <f t="shared" si="22"/>
        <v>0</v>
      </c>
      <c r="DF732" s="1360"/>
      <c r="DG732" s="1360"/>
      <c r="DH732" s="1360"/>
      <c r="DI732" s="1360"/>
      <c r="DJ732" s="1360">
        <f t="shared" si="23"/>
        <v>0</v>
      </c>
      <c r="DK732" s="1360"/>
      <c r="DL732" s="1360"/>
      <c r="DM732" s="1360"/>
      <c r="DN732" s="1360"/>
      <c r="DO732" s="1360">
        <f t="shared" si="24"/>
        <v>0</v>
      </c>
      <c r="DP732" s="1360"/>
      <c r="DQ732" s="1360"/>
      <c r="DR732" s="1360"/>
      <c r="DS732" s="1360"/>
      <c r="DT732" s="6"/>
      <c r="DU732" s="1374">
        <f t="shared" si="25"/>
        <v>0</v>
      </c>
      <c r="DV732" s="1374"/>
      <c r="DW732" s="1374"/>
      <c r="DX732" s="1374"/>
      <c r="DY732" s="1374"/>
      <c r="DZ732" s="1374">
        <f t="shared" si="26"/>
        <v>0</v>
      </c>
      <c r="EA732" s="1374"/>
      <c r="EB732" s="1374"/>
      <c r="EC732" s="1374"/>
      <c r="ED732" s="1374"/>
      <c r="EE732" s="1374">
        <f t="shared" si="27"/>
        <v>0</v>
      </c>
      <c r="EF732" s="1374"/>
      <c r="EG732" s="1374"/>
      <c r="EH732" s="1374"/>
      <c r="EI732" s="1374"/>
      <c r="EJ732" s="1374">
        <f t="shared" si="28"/>
        <v>0</v>
      </c>
      <c r="EK732" s="1374"/>
      <c r="EL732" s="1374"/>
      <c r="EM732" s="1374"/>
      <c r="EN732" s="1374"/>
      <c r="EO732" s="1374">
        <f t="shared" si="29"/>
        <v>0</v>
      </c>
      <c r="EP732" s="1374"/>
      <c r="EQ732" s="1374"/>
      <c r="ER732" s="1374"/>
      <c r="ES732" s="1374"/>
      <c r="ET732" s="1374">
        <f t="shared" si="30"/>
        <v>0</v>
      </c>
      <c r="EU732" s="1374"/>
      <c r="EV732" s="1374"/>
      <c r="EW732" s="1374"/>
      <c r="EX732" s="1374"/>
      <c r="EZ732" s="1357" t="str">
        <f t="shared" si="31"/>
        <v/>
      </c>
      <c r="FA732" s="1358"/>
      <c r="FB732" s="1358"/>
      <c r="FC732" s="1358"/>
      <c r="FD732" s="1359"/>
      <c r="FE732" s="1357" t="str">
        <f t="shared" si="32"/>
        <v/>
      </c>
      <c r="FF732" s="1358"/>
      <c r="FG732" s="1358"/>
      <c r="FH732" s="1358"/>
      <c r="FI732" s="1359"/>
      <c r="FJ732" s="1357" t="str">
        <f t="shared" si="33"/>
        <v/>
      </c>
      <c r="FK732" s="1358"/>
      <c r="FL732" s="1358"/>
      <c r="FM732" s="1358"/>
      <c r="FN732" s="1359"/>
      <c r="FO732" s="1357" t="str">
        <f t="shared" si="34"/>
        <v/>
      </c>
      <c r="FP732" s="1358"/>
      <c r="FQ732" s="1358"/>
      <c r="FR732" s="1358"/>
      <c r="FS732" s="1359"/>
      <c r="FT732" s="1357" t="str">
        <f t="shared" si="35"/>
        <v/>
      </c>
      <c r="FU732" s="1358"/>
      <c r="FV732" s="1358"/>
      <c r="FW732" s="1358"/>
      <c r="FX732" s="1359"/>
      <c r="FY732" s="1357" t="str">
        <f t="shared" si="36"/>
        <v/>
      </c>
      <c r="FZ732" s="1358"/>
      <c r="GA732" s="1358"/>
      <c r="GB732" s="1358"/>
      <c r="GC732" s="1359"/>
    </row>
    <row r="733" spans="1:185" ht="12.95" customHeight="1">
      <c r="B733" s="1361"/>
      <c r="C733" s="1362"/>
      <c r="D733" s="1362"/>
      <c r="E733" s="1362"/>
      <c r="F733" s="1363"/>
      <c r="G733" s="1370"/>
      <c r="H733" s="1371"/>
      <c r="I733" s="1371"/>
      <c r="J733" s="1372"/>
      <c r="K733" s="1607"/>
      <c r="L733" s="1608"/>
      <c r="M733" s="1608"/>
      <c r="N733" s="1609"/>
      <c r="O733" s="1469"/>
      <c r="P733" s="1470"/>
      <c r="Q733" s="1470"/>
      <c r="R733" s="1470"/>
      <c r="S733" s="1471"/>
      <c r="T733" s="1469"/>
      <c r="U733" s="1470"/>
      <c r="V733" s="1470"/>
      <c r="W733" s="1471"/>
      <c r="X733" s="1364">
        <f t="shared" si="9"/>
        <v>0</v>
      </c>
      <c r="Y733" s="1365"/>
      <c r="Z733" s="1365"/>
      <c r="AA733" s="1365"/>
      <c r="AB733" s="1366"/>
      <c r="AC733" s="1614"/>
      <c r="AD733" s="1615"/>
      <c r="AE733" s="1615"/>
      <c r="AF733" s="1615"/>
      <c r="AG733" s="1616"/>
      <c r="AH733" s="1367" t="str">
        <f t="shared" si="37"/>
        <v/>
      </c>
      <c r="AI733" s="1368"/>
      <c r="AJ733" s="1369"/>
      <c r="AK733" s="1361" t="s">
        <v>591</v>
      </c>
      <c r="AL733" s="1362"/>
      <c r="AM733" s="1362"/>
      <c r="AN733" s="1362"/>
      <c r="AO733" s="1363"/>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357">
        <f t="shared" si="38"/>
        <v>0</v>
      </c>
      <c r="CH733" s="1359"/>
      <c r="CI733" s="1341">
        <f t="shared" si="39"/>
        <v>0</v>
      </c>
      <c r="CJ733" s="1343"/>
      <c r="CK733" s="1357">
        <f t="shared" si="17"/>
        <v>0</v>
      </c>
      <c r="CL733" s="1359"/>
      <c r="CM733" s="1341">
        <f t="shared" si="18"/>
        <v>0</v>
      </c>
      <c r="CN733" s="1343"/>
      <c r="CO733" s="3"/>
      <c r="CP733" s="1338">
        <f t="shared" si="19"/>
        <v>0</v>
      </c>
      <c r="CQ733" s="1339"/>
      <c r="CR733" s="1339"/>
      <c r="CS733" s="1339"/>
      <c r="CT733" s="1340"/>
      <c r="CU733" s="1360">
        <f t="shared" si="20"/>
        <v>0</v>
      </c>
      <c r="CV733" s="1360"/>
      <c r="CW733" s="1360"/>
      <c r="CX733" s="1360"/>
      <c r="CY733" s="1360"/>
      <c r="CZ733" s="1360">
        <f t="shared" si="21"/>
        <v>0</v>
      </c>
      <c r="DA733" s="1360"/>
      <c r="DB733" s="1360"/>
      <c r="DC733" s="1360"/>
      <c r="DD733" s="1360"/>
      <c r="DE733" s="1360">
        <f t="shared" si="22"/>
        <v>0</v>
      </c>
      <c r="DF733" s="1360"/>
      <c r="DG733" s="1360"/>
      <c r="DH733" s="1360"/>
      <c r="DI733" s="1360"/>
      <c r="DJ733" s="1360">
        <f t="shared" si="23"/>
        <v>0</v>
      </c>
      <c r="DK733" s="1360"/>
      <c r="DL733" s="1360"/>
      <c r="DM733" s="1360"/>
      <c r="DN733" s="1360"/>
      <c r="DO733" s="1360">
        <f t="shared" si="24"/>
        <v>0</v>
      </c>
      <c r="DP733" s="1360"/>
      <c r="DQ733" s="1360"/>
      <c r="DR733" s="1360"/>
      <c r="DS733" s="1360"/>
      <c r="DT733" s="6"/>
      <c r="DU733" s="1374">
        <f t="shared" si="25"/>
        <v>0</v>
      </c>
      <c r="DV733" s="1374"/>
      <c r="DW733" s="1374"/>
      <c r="DX733" s="1374"/>
      <c r="DY733" s="1374"/>
      <c r="DZ733" s="1374">
        <f t="shared" si="26"/>
        <v>0</v>
      </c>
      <c r="EA733" s="1374"/>
      <c r="EB733" s="1374"/>
      <c r="EC733" s="1374"/>
      <c r="ED733" s="1374"/>
      <c r="EE733" s="1374">
        <f t="shared" si="27"/>
        <v>0</v>
      </c>
      <c r="EF733" s="1374"/>
      <c r="EG733" s="1374"/>
      <c r="EH733" s="1374"/>
      <c r="EI733" s="1374"/>
      <c r="EJ733" s="1374">
        <f t="shared" si="28"/>
        <v>0</v>
      </c>
      <c r="EK733" s="1374"/>
      <c r="EL733" s="1374"/>
      <c r="EM733" s="1374"/>
      <c r="EN733" s="1374"/>
      <c r="EO733" s="1374">
        <f t="shared" si="29"/>
        <v>0</v>
      </c>
      <c r="EP733" s="1374"/>
      <c r="EQ733" s="1374"/>
      <c r="ER733" s="1374"/>
      <c r="ES733" s="1374"/>
      <c r="ET733" s="1374">
        <f t="shared" si="30"/>
        <v>0</v>
      </c>
      <c r="EU733" s="1374"/>
      <c r="EV733" s="1374"/>
      <c r="EW733" s="1374"/>
      <c r="EX733" s="1374"/>
      <c r="EZ733" s="1357" t="str">
        <f t="shared" si="31"/>
        <v/>
      </c>
      <c r="FA733" s="1358"/>
      <c r="FB733" s="1358"/>
      <c r="FC733" s="1358"/>
      <c r="FD733" s="1359"/>
      <c r="FE733" s="1357" t="str">
        <f t="shared" si="32"/>
        <v/>
      </c>
      <c r="FF733" s="1358"/>
      <c r="FG733" s="1358"/>
      <c r="FH733" s="1358"/>
      <c r="FI733" s="1359"/>
      <c r="FJ733" s="1357" t="str">
        <f t="shared" si="33"/>
        <v/>
      </c>
      <c r="FK733" s="1358"/>
      <c r="FL733" s="1358"/>
      <c r="FM733" s="1358"/>
      <c r="FN733" s="1359"/>
      <c r="FO733" s="1357" t="str">
        <f t="shared" si="34"/>
        <v/>
      </c>
      <c r="FP733" s="1358"/>
      <c r="FQ733" s="1358"/>
      <c r="FR733" s="1358"/>
      <c r="FS733" s="1359"/>
      <c r="FT733" s="1357" t="str">
        <f t="shared" si="35"/>
        <v/>
      </c>
      <c r="FU733" s="1358"/>
      <c r="FV733" s="1358"/>
      <c r="FW733" s="1358"/>
      <c r="FX733" s="1359"/>
      <c r="FY733" s="1357" t="str">
        <f t="shared" si="36"/>
        <v/>
      </c>
      <c r="FZ733" s="1358"/>
      <c r="GA733" s="1358"/>
      <c r="GB733" s="1358"/>
      <c r="GC733" s="1359"/>
    </row>
    <row r="734" spans="1:185" ht="12.95" customHeight="1">
      <c r="B734" s="1361"/>
      <c r="C734" s="1362"/>
      <c r="D734" s="1362"/>
      <c r="E734" s="1362"/>
      <c r="F734" s="1363"/>
      <c r="G734" s="1370"/>
      <c r="H734" s="1371"/>
      <c r="I734" s="1371"/>
      <c r="J734" s="1372"/>
      <c r="K734" s="1607"/>
      <c r="L734" s="1608"/>
      <c r="M734" s="1608"/>
      <c r="N734" s="1609"/>
      <c r="O734" s="1469"/>
      <c r="P734" s="1470"/>
      <c r="Q734" s="1470"/>
      <c r="R734" s="1470"/>
      <c r="S734" s="1471"/>
      <c r="T734" s="1469"/>
      <c r="U734" s="1470"/>
      <c r="V734" s="1470"/>
      <c r="W734" s="1471"/>
      <c r="X734" s="1364">
        <f t="shared" si="9"/>
        <v>0</v>
      </c>
      <c r="Y734" s="1365"/>
      <c r="Z734" s="1365"/>
      <c r="AA734" s="1365"/>
      <c r="AB734" s="1366"/>
      <c r="AC734" s="1614"/>
      <c r="AD734" s="1615"/>
      <c r="AE734" s="1615"/>
      <c r="AF734" s="1615"/>
      <c r="AG734" s="1616"/>
      <c r="AH734" s="1367" t="str">
        <f t="shared" si="37"/>
        <v/>
      </c>
      <c r="AI734" s="1368"/>
      <c r="AJ734" s="1369"/>
      <c r="AK734" s="1361" t="s">
        <v>591</v>
      </c>
      <c r="AL734" s="1362"/>
      <c r="AM734" s="1362"/>
      <c r="AN734" s="1362"/>
      <c r="AO734" s="1363"/>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7">
        <f t="shared" si="38"/>
        <v>0</v>
      </c>
      <c r="CH734" s="1359"/>
      <c r="CI734" s="1341">
        <f t="shared" si="39"/>
        <v>0</v>
      </c>
      <c r="CJ734" s="1343"/>
      <c r="CK734" s="1357">
        <f t="shared" si="17"/>
        <v>0</v>
      </c>
      <c r="CL734" s="1359"/>
      <c r="CM734" s="1341">
        <f t="shared" si="18"/>
        <v>0</v>
      </c>
      <c r="CN734" s="1343"/>
      <c r="CO734" s="3"/>
      <c r="CP734" s="1338">
        <f t="shared" si="19"/>
        <v>0</v>
      </c>
      <c r="CQ734" s="1339"/>
      <c r="CR734" s="1339"/>
      <c r="CS734" s="1339"/>
      <c r="CT734" s="1340"/>
      <c r="CU734" s="1360">
        <f t="shared" si="20"/>
        <v>0</v>
      </c>
      <c r="CV734" s="1360"/>
      <c r="CW734" s="1360"/>
      <c r="CX734" s="1360"/>
      <c r="CY734" s="1360"/>
      <c r="CZ734" s="1360">
        <f t="shared" si="21"/>
        <v>0</v>
      </c>
      <c r="DA734" s="1360"/>
      <c r="DB734" s="1360"/>
      <c r="DC734" s="1360"/>
      <c r="DD734" s="1360"/>
      <c r="DE734" s="1360">
        <f t="shared" si="22"/>
        <v>0</v>
      </c>
      <c r="DF734" s="1360"/>
      <c r="DG734" s="1360"/>
      <c r="DH734" s="1360"/>
      <c r="DI734" s="1360"/>
      <c r="DJ734" s="1360">
        <f t="shared" si="23"/>
        <v>0</v>
      </c>
      <c r="DK734" s="1360"/>
      <c r="DL734" s="1360"/>
      <c r="DM734" s="1360"/>
      <c r="DN734" s="1360"/>
      <c r="DO734" s="1360">
        <f t="shared" si="24"/>
        <v>0</v>
      </c>
      <c r="DP734" s="1360"/>
      <c r="DQ734" s="1360"/>
      <c r="DR734" s="1360"/>
      <c r="DS734" s="1360"/>
      <c r="DT734" s="6"/>
      <c r="DU734" s="1374">
        <f t="shared" si="25"/>
        <v>0</v>
      </c>
      <c r="DV734" s="1374"/>
      <c r="DW734" s="1374"/>
      <c r="DX734" s="1374"/>
      <c r="DY734" s="1374"/>
      <c r="DZ734" s="1374">
        <f t="shared" si="26"/>
        <v>0</v>
      </c>
      <c r="EA734" s="1374"/>
      <c r="EB734" s="1374"/>
      <c r="EC734" s="1374"/>
      <c r="ED734" s="1374"/>
      <c r="EE734" s="1374">
        <f t="shared" si="27"/>
        <v>0</v>
      </c>
      <c r="EF734" s="1374"/>
      <c r="EG734" s="1374"/>
      <c r="EH734" s="1374"/>
      <c r="EI734" s="1374"/>
      <c r="EJ734" s="1374">
        <f t="shared" si="28"/>
        <v>0</v>
      </c>
      <c r="EK734" s="1374"/>
      <c r="EL734" s="1374"/>
      <c r="EM734" s="1374"/>
      <c r="EN734" s="1374"/>
      <c r="EO734" s="1374">
        <f t="shared" si="29"/>
        <v>0</v>
      </c>
      <c r="EP734" s="1374"/>
      <c r="EQ734" s="1374"/>
      <c r="ER734" s="1374"/>
      <c r="ES734" s="1374"/>
      <c r="ET734" s="1374">
        <f t="shared" si="30"/>
        <v>0</v>
      </c>
      <c r="EU734" s="1374"/>
      <c r="EV734" s="1374"/>
      <c r="EW734" s="1374"/>
      <c r="EX734" s="1374"/>
      <c r="EZ734" s="1357" t="str">
        <f t="shared" si="31"/>
        <v/>
      </c>
      <c r="FA734" s="1358"/>
      <c r="FB734" s="1358"/>
      <c r="FC734" s="1358"/>
      <c r="FD734" s="1359"/>
      <c r="FE734" s="1357" t="str">
        <f t="shared" si="32"/>
        <v/>
      </c>
      <c r="FF734" s="1358"/>
      <c r="FG734" s="1358"/>
      <c r="FH734" s="1358"/>
      <c r="FI734" s="1359"/>
      <c r="FJ734" s="1357" t="str">
        <f t="shared" si="33"/>
        <v/>
      </c>
      <c r="FK734" s="1358"/>
      <c r="FL734" s="1358"/>
      <c r="FM734" s="1358"/>
      <c r="FN734" s="1359"/>
      <c r="FO734" s="1357" t="str">
        <f t="shared" si="34"/>
        <v/>
      </c>
      <c r="FP734" s="1358"/>
      <c r="FQ734" s="1358"/>
      <c r="FR734" s="1358"/>
      <c r="FS734" s="1359"/>
      <c r="FT734" s="1357" t="str">
        <f t="shared" si="35"/>
        <v/>
      </c>
      <c r="FU734" s="1358"/>
      <c r="FV734" s="1358"/>
      <c r="FW734" s="1358"/>
      <c r="FX734" s="1359"/>
      <c r="FY734" s="1357" t="str">
        <f t="shared" si="36"/>
        <v/>
      </c>
      <c r="FZ734" s="1358"/>
      <c r="GA734" s="1358"/>
      <c r="GB734" s="1358"/>
      <c r="GC734" s="1359"/>
    </row>
    <row r="735" spans="1:185" ht="12.95" customHeight="1">
      <c r="B735" s="1361"/>
      <c r="C735" s="1362"/>
      <c r="D735" s="1362"/>
      <c r="E735" s="1362"/>
      <c r="F735" s="1363"/>
      <c r="G735" s="1370"/>
      <c r="H735" s="1371"/>
      <c r="I735" s="1371"/>
      <c r="J735" s="1372"/>
      <c r="K735" s="1607"/>
      <c r="L735" s="1608"/>
      <c r="M735" s="1608"/>
      <c r="N735" s="1609"/>
      <c r="O735" s="1469"/>
      <c r="P735" s="1470"/>
      <c r="Q735" s="1470"/>
      <c r="R735" s="1470"/>
      <c r="S735" s="1471"/>
      <c r="T735" s="1469"/>
      <c r="U735" s="1470"/>
      <c r="V735" s="1470"/>
      <c r="W735" s="1471"/>
      <c r="X735" s="1364">
        <f t="shared" si="9"/>
        <v>0</v>
      </c>
      <c r="Y735" s="1365"/>
      <c r="Z735" s="1365"/>
      <c r="AA735" s="1365"/>
      <c r="AB735" s="1366"/>
      <c r="AC735" s="1614"/>
      <c r="AD735" s="1615"/>
      <c r="AE735" s="1615"/>
      <c r="AF735" s="1615"/>
      <c r="AG735" s="1616"/>
      <c r="AH735" s="1367" t="str">
        <f t="shared" si="37"/>
        <v/>
      </c>
      <c r="AI735" s="1368"/>
      <c r="AJ735" s="1369"/>
      <c r="AK735" s="1361" t="s">
        <v>591</v>
      </c>
      <c r="AL735" s="1362"/>
      <c r="AM735" s="1362"/>
      <c r="AN735" s="1362"/>
      <c r="AO735" s="1363"/>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7">
        <f t="shared" si="38"/>
        <v>0</v>
      </c>
      <c r="CH735" s="1359"/>
      <c r="CI735" s="1341">
        <f t="shared" si="39"/>
        <v>0</v>
      </c>
      <c r="CJ735" s="1343"/>
      <c r="CK735" s="1357">
        <f t="shared" si="17"/>
        <v>0</v>
      </c>
      <c r="CL735" s="1359"/>
      <c r="CM735" s="1341">
        <f t="shared" si="18"/>
        <v>0</v>
      </c>
      <c r="CN735" s="1343"/>
      <c r="CO735" s="3"/>
      <c r="CP735" s="1338">
        <f t="shared" si="19"/>
        <v>0</v>
      </c>
      <c r="CQ735" s="1339"/>
      <c r="CR735" s="1339"/>
      <c r="CS735" s="1339"/>
      <c r="CT735" s="1340"/>
      <c r="CU735" s="1360">
        <f t="shared" si="20"/>
        <v>0</v>
      </c>
      <c r="CV735" s="1360"/>
      <c r="CW735" s="1360"/>
      <c r="CX735" s="1360"/>
      <c r="CY735" s="1360"/>
      <c r="CZ735" s="1360">
        <f t="shared" si="21"/>
        <v>0</v>
      </c>
      <c r="DA735" s="1360"/>
      <c r="DB735" s="1360"/>
      <c r="DC735" s="1360"/>
      <c r="DD735" s="1360"/>
      <c r="DE735" s="1360">
        <f t="shared" si="22"/>
        <v>0</v>
      </c>
      <c r="DF735" s="1360"/>
      <c r="DG735" s="1360"/>
      <c r="DH735" s="1360"/>
      <c r="DI735" s="1360"/>
      <c r="DJ735" s="1360">
        <f t="shared" si="23"/>
        <v>0</v>
      </c>
      <c r="DK735" s="1360"/>
      <c r="DL735" s="1360"/>
      <c r="DM735" s="1360"/>
      <c r="DN735" s="1360"/>
      <c r="DO735" s="1360">
        <f t="shared" si="24"/>
        <v>0</v>
      </c>
      <c r="DP735" s="1360"/>
      <c r="DQ735" s="1360"/>
      <c r="DR735" s="1360"/>
      <c r="DS735" s="1360"/>
      <c r="DT735" s="6"/>
      <c r="DU735" s="1374">
        <f t="shared" si="25"/>
        <v>0</v>
      </c>
      <c r="DV735" s="1374"/>
      <c r="DW735" s="1374"/>
      <c r="DX735" s="1374"/>
      <c r="DY735" s="1374"/>
      <c r="DZ735" s="1374">
        <f t="shared" si="26"/>
        <v>0</v>
      </c>
      <c r="EA735" s="1374"/>
      <c r="EB735" s="1374"/>
      <c r="EC735" s="1374"/>
      <c r="ED735" s="1374"/>
      <c r="EE735" s="1374">
        <f t="shared" si="27"/>
        <v>0</v>
      </c>
      <c r="EF735" s="1374"/>
      <c r="EG735" s="1374"/>
      <c r="EH735" s="1374"/>
      <c r="EI735" s="1374"/>
      <c r="EJ735" s="1374">
        <f t="shared" si="28"/>
        <v>0</v>
      </c>
      <c r="EK735" s="1374"/>
      <c r="EL735" s="1374"/>
      <c r="EM735" s="1374"/>
      <c r="EN735" s="1374"/>
      <c r="EO735" s="1374">
        <f t="shared" si="29"/>
        <v>0</v>
      </c>
      <c r="EP735" s="1374"/>
      <c r="EQ735" s="1374"/>
      <c r="ER735" s="1374"/>
      <c r="ES735" s="1374"/>
      <c r="ET735" s="1374">
        <f t="shared" si="30"/>
        <v>0</v>
      </c>
      <c r="EU735" s="1374"/>
      <c r="EV735" s="1374"/>
      <c r="EW735" s="1374"/>
      <c r="EX735" s="1374"/>
      <c r="EZ735" s="1357" t="str">
        <f t="shared" si="31"/>
        <v/>
      </c>
      <c r="FA735" s="1358"/>
      <c r="FB735" s="1358"/>
      <c r="FC735" s="1358"/>
      <c r="FD735" s="1359"/>
      <c r="FE735" s="1357" t="str">
        <f t="shared" si="32"/>
        <v/>
      </c>
      <c r="FF735" s="1358"/>
      <c r="FG735" s="1358"/>
      <c r="FH735" s="1358"/>
      <c r="FI735" s="1359"/>
      <c r="FJ735" s="1357" t="str">
        <f t="shared" si="33"/>
        <v/>
      </c>
      <c r="FK735" s="1358"/>
      <c r="FL735" s="1358"/>
      <c r="FM735" s="1358"/>
      <c r="FN735" s="1359"/>
      <c r="FO735" s="1357" t="str">
        <f t="shared" si="34"/>
        <v/>
      </c>
      <c r="FP735" s="1358"/>
      <c r="FQ735" s="1358"/>
      <c r="FR735" s="1358"/>
      <c r="FS735" s="1359"/>
      <c r="FT735" s="1357" t="str">
        <f t="shared" si="35"/>
        <v/>
      </c>
      <c r="FU735" s="1358"/>
      <c r="FV735" s="1358"/>
      <c r="FW735" s="1358"/>
      <c r="FX735" s="1359"/>
      <c r="FY735" s="1357" t="str">
        <f t="shared" si="36"/>
        <v/>
      </c>
      <c r="FZ735" s="1358"/>
      <c r="GA735" s="1358"/>
      <c r="GB735" s="1358"/>
      <c r="GC735" s="1359"/>
    </row>
    <row r="736" spans="1:185" ht="12.95" customHeight="1">
      <c r="B736" s="1361"/>
      <c r="C736" s="1362"/>
      <c r="D736" s="1362"/>
      <c r="E736" s="1362"/>
      <c r="F736" s="1363"/>
      <c r="G736" s="1370"/>
      <c r="H736" s="1371"/>
      <c r="I736" s="1371"/>
      <c r="J736" s="1372"/>
      <c r="K736" s="1607"/>
      <c r="L736" s="1608"/>
      <c r="M736" s="1608"/>
      <c r="N736" s="1609"/>
      <c r="O736" s="1469"/>
      <c r="P736" s="1470"/>
      <c r="Q736" s="1470"/>
      <c r="R736" s="1470"/>
      <c r="S736" s="1471"/>
      <c r="T736" s="1469"/>
      <c r="U736" s="1470"/>
      <c r="V736" s="1470"/>
      <c r="W736" s="1471"/>
      <c r="X736" s="1364">
        <f t="shared" si="9"/>
        <v>0</v>
      </c>
      <c r="Y736" s="1365"/>
      <c r="Z736" s="1365"/>
      <c r="AA736" s="1365"/>
      <c r="AB736" s="1366"/>
      <c r="AC736" s="1614"/>
      <c r="AD736" s="1615"/>
      <c r="AE736" s="1615"/>
      <c r="AF736" s="1615"/>
      <c r="AG736" s="1616"/>
      <c r="AH736" s="1367" t="str">
        <f t="shared" si="37"/>
        <v/>
      </c>
      <c r="AI736" s="1368"/>
      <c r="AJ736" s="1369"/>
      <c r="AK736" s="1361" t="s">
        <v>591</v>
      </c>
      <c r="AL736" s="1362"/>
      <c r="AM736" s="1362"/>
      <c r="AN736" s="1362"/>
      <c r="AO736" s="1363"/>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7">
        <f t="shared" si="38"/>
        <v>0</v>
      </c>
      <c r="CH736" s="1359"/>
      <c r="CI736" s="1341">
        <f t="shared" si="39"/>
        <v>0</v>
      </c>
      <c r="CJ736" s="1343"/>
      <c r="CK736" s="1357">
        <f t="shared" si="17"/>
        <v>0</v>
      </c>
      <c r="CL736" s="1359"/>
      <c r="CM736" s="1341">
        <f t="shared" si="18"/>
        <v>0</v>
      </c>
      <c r="CN736" s="1343"/>
      <c r="CO736" s="3"/>
      <c r="CP736" s="1338">
        <f t="shared" si="19"/>
        <v>0</v>
      </c>
      <c r="CQ736" s="1339"/>
      <c r="CR736" s="1339"/>
      <c r="CS736" s="1339"/>
      <c r="CT736" s="1340"/>
      <c r="CU736" s="1360">
        <f t="shared" si="20"/>
        <v>0</v>
      </c>
      <c r="CV736" s="1360"/>
      <c r="CW736" s="1360"/>
      <c r="CX736" s="1360"/>
      <c r="CY736" s="1360"/>
      <c r="CZ736" s="1360">
        <f t="shared" si="21"/>
        <v>0</v>
      </c>
      <c r="DA736" s="1360"/>
      <c r="DB736" s="1360"/>
      <c r="DC736" s="1360"/>
      <c r="DD736" s="1360"/>
      <c r="DE736" s="1360">
        <f t="shared" si="22"/>
        <v>0</v>
      </c>
      <c r="DF736" s="1360"/>
      <c r="DG736" s="1360"/>
      <c r="DH736" s="1360"/>
      <c r="DI736" s="1360"/>
      <c r="DJ736" s="1360">
        <f t="shared" si="23"/>
        <v>0</v>
      </c>
      <c r="DK736" s="1360"/>
      <c r="DL736" s="1360"/>
      <c r="DM736" s="1360"/>
      <c r="DN736" s="1360"/>
      <c r="DO736" s="1360">
        <f t="shared" si="24"/>
        <v>0</v>
      </c>
      <c r="DP736" s="1360"/>
      <c r="DQ736" s="1360"/>
      <c r="DR736" s="1360"/>
      <c r="DS736" s="1360"/>
      <c r="DT736" s="6"/>
      <c r="DU736" s="1374">
        <f t="shared" si="25"/>
        <v>0</v>
      </c>
      <c r="DV736" s="1374"/>
      <c r="DW736" s="1374"/>
      <c r="DX736" s="1374"/>
      <c r="DY736" s="1374"/>
      <c r="DZ736" s="1374">
        <f t="shared" si="26"/>
        <v>0</v>
      </c>
      <c r="EA736" s="1374"/>
      <c r="EB736" s="1374"/>
      <c r="EC736" s="1374"/>
      <c r="ED736" s="1374"/>
      <c r="EE736" s="1374">
        <f t="shared" si="27"/>
        <v>0</v>
      </c>
      <c r="EF736" s="1374"/>
      <c r="EG736" s="1374"/>
      <c r="EH736" s="1374"/>
      <c r="EI736" s="1374"/>
      <c r="EJ736" s="1374">
        <f t="shared" si="28"/>
        <v>0</v>
      </c>
      <c r="EK736" s="1374"/>
      <c r="EL736" s="1374"/>
      <c r="EM736" s="1374"/>
      <c r="EN736" s="1374"/>
      <c r="EO736" s="1374">
        <f t="shared" si="29"/>
        <v>0</v>
      </c>
      <c r="EP736" s="1374"/>
      <c r="EQ736" s="1374"/>
      <c r="ER736" s="1374"/>
      <c r="ES736" s="1374"/>
      <c r="ET736" s="1374">
        <f t="shared" si="30"/>
        <v>0</v>
      </c>
      <c r="EU736" s="1374"/>
      <c r="EV736" s="1374"/>
      <c r="EW736" s="1374"/>
      <c r="EX736" s="1374"/>
      <c r="EZ736" s="1357" t="str">
        <f t="shared" si="31"/>
        <v/>
      </c>
      <c r="FA736" s="1358"/>
      <c r="FB736" s="1358"/>
      <c r="FC736" s="1358"/>
      <c r="FD736" s="1359"/>
      <c r="FE736" s="1357" t="str">
        <f t="shared" si="32"/>
        <v/>
      </c>
      <c r="FF736" s="1358"/>
      <c r="FG736" s="1358"/>
      <c r="FH736" s="1358"/>
      <c r="FI736" s="1359"/>
      <c r="FJ736" s="1357" t="str">
        <f t="shared" si="33"/>
        <v/>
      </c>
      <c r="FK736" s="1358"/>
      <c r="FL736" s="1358"/>
      <c r="FM736" s="1358"/>
      <c r="FN736" s="1359"/>
      <c r="FO736" s="1357" t="str">
        <f t="shared" si="34"/>
        <v/>
      </c>
      <c r="FP736" s="1358"/>
      <c r="FQ736" s="1358"/>
      <c r="FR736" s="1358"/>
      <c r="FS736" s="1359"/>
      <c r="FT736" s="1357" t="str">
        <f t="shared" si="35"/>
        <v/>
      </c>
      <c r="FU736" s="1358"/>
      <c r="FV736" s="1358"/>
      <c r="FW736" s="1358"/>
      <c r="FX736" s="1359"/>
      <c r="FY736" s="1357" t="str">
        <f t="shared" si="36"/>
        <v/>
      </c>
      <c r="FZ736" s="1358"/>
      <c r="GA736" s="1358"/>
      <c r="GB736" s="1358"/>
      <c r="GC736" s="1359"/>
    </row>
    <row r="737" spans="1:185" ht="12.95" customHeight="1">
      <c r="B737" s="1361"/>
      <c r="C737" s="1362"/>
      <c r="D737" s="1362"/>
      <c r="E737" s="1362"/>
      <c r="F737" s="1363"/>
      <c r="G737" s="1370"/>
      <c r="H737" s="1371"/>
      <c r="I737" s="1371"/>
      <c r="J737" s="1372"/>
      <c r="K737" s="1607"/>
      <c r="L737" s="1608"/>
      <c r="M737" s="1608"/>
      <c r="N737" s="1609"/>
      <c r="O737" s="1469"/>
      <c r="P737" s="1470"/>
      <c r="Q737" s="1470"/>
      <c r="R737" s="1470"/>
      <c r="S737" s="1471"/>
      <c r="T737" s="1469"/>
      <c r="U737" s="1470"/>
      <c r="V737" s="1470"/>
      <c r="W737" s="1471"/>
      <c r="X737" s="1364">
        <f t="shared" si="9"/>
        <v>0</v>
      </c>
      <c r="Y737" s="1365"/>
      <c r="Z737" s="1365"/>
      <c r="AA737" s="1365"/>
      <c r="AB737" s="1366"/>
      <c r="AC737" s="1614"/>
      <c r="AD737" s="1615"/>
      <c r="AE737" s="1615"/>
      <c r="AF737" s="1615"/>
      <c r="AG737" s="1616"/>
      <c r="AH737" s="1367" t="str">
        <f t="shared" si="37"/>
        <v/>
      </c>
      <c r="AI737" s="1368"/>
      <c r="AJ737" s="1369"/>
      <c r="AK737" s="1361" t="s">
        <v>591</v>
      </c>
      <c r="AL737" s="1362"/>
      <c r="AM737" s="1362"/>
      <c r="AN737" s="1362"/>
      <c r="AO737" s="1363"/>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7">
        <f t="shared" si="38"/>
        <v>0</v>
      </c>
      <c r="CH737" s="1359"/>
      <c r="CI737" s="1341">
        <f t="shared" si="39"/>
        <v>0</v>
      </c>
      <c r="CJ737" s="1343"/>
      <c r="CK737" s="1357">
        <f t="shared" si="17"/>
        <v>0</v>
      </c>
      <c r="CL737" s="1359"/>
      <c r="CM737" s="1341">
        <f t="shared" si="18"/>
        <v>0</v>
      </c>
      <c r="CN737" s="1343"/>
      <c r="CO737" s="3"/>
      <c r="CP737" s="1338">
        <f t="shared" si="19"/>
        <v>0</v>
      </c>
      <c r="CQ737" s="1339"/>
      <c r="CR737" s="1339"/>
      <c r="CS737" s="1339"/>
      <c r="CT737" s="1340"/>
      <c r="CU737" s="1360">
        <f t="shared" si="20"/>
        <v>0</v>
      </c>
      <c r="CV737" s="1360"/>
      <c r="CW737" s="1360"/>
      <c r="CX737" s="1360"/>
      <c r="CY737" s="1360"/>
      <c r="CZ737" s="1360">
        <f t="shared" si="21"/>
        <v>0</v>
      </c>
      <c r="DA737" s="1360"/>
      <c r="DB737" s="1360"/>
      <c r="DC737" s="1360"/>
      <c r="DD737" s="1360"/>
      <c r="DE737" s="1360">
        <f t="shared" si="22"/>
        <v>0</v>
      </c>
      <c r="DF737" s="1360"/>
      <c r="DG737" s="1360"/>
      <c r="DH737" s="1360"/>
      <c r="DI737" s="1360"/>
      <c r="DJ737" s="1360">
        <f t="shared" si="23"/>
        <v>0</v>
      </c>
      <c r="DK737" s="1360"/>
      <c r="DL737" s="1360"/>
      <c r="DM737" s="1360"/>
      <c r="DN737" s="1360"/>
      <c r="DO737" s="1360">
        <f t="shared" si="24"/>
        <v>0</v>
      </c>
      <c r="DP737" s="1360"/>
      <c r="DQ737" s="1360"/>
      <c r="DR737" s="1360"/>
      <c r="DS737" s="1360"/>
      <c r="DT737" s="6"/>
      <c r="DU737" s="1374">
        <f t="shared" si="25"/>
        <v>0</v>
      </c>
      <c r="DV737" s="1374"/>
      <c r="DW737" s="1374"/>
      <c r="DX737" s="1374"/>
      <c r="DY737" s="1374"/>
      <c r="DZ737" s="1374">
        <f t="shared" si="26"/>
        <v>0</v>
      </c>
      <c r="EA737" s="1374"/>
      <c r="EB737" s="1374"/>
      <c r="EC737" s="1374"/>
      <c r="ED737" s="1374"/>
      <c r="EE737" s="1374">
        <f t="shared" si="27"/>
        <v>0</v>
      </c>
      <c r="EF737" s="1374"/>
      <c r="EG737" s="1374"/>
      <c r="EH737" s="1374"/>
      <c r="EI737" s="1374"/>
      <c r="EJ737" s="1374">
        <f t="shared" si="28"/>
        <v>0</v>
      </c>
      <c r="EK737" s="1374"/>
      <c r="EL737" s="1374"/>
      <c r="EM737" s="1374"/>
      <c r="EN737" s="1374"/>
      <c r="EO737" s="1374">
        <f t="shared" si="29"/>
        <v>0</v>
      </c>
      <c r="EP737" s="1374"/>
      <c r="EQ737" s="1374"/>
      <c r="ER737" s="1374"/>
      <c r="ES737" s="1374"/>
      <c r="ET737" s="1374">
        <f t="shared" si="30"/>
        <v>0</v>
      </c>
      <c r="EU737" s="1374"/>
      <c r="EV737" s="1374"/>
      <c r="EW737" s="1374"/>
      <c r="EX737" s="1374"/>
      <c r="EZ737" s="1357" t="str">
        <f t="shared" si="31"/>
        <v/>
      </c>
      <c r="FA737" s="1358"/>
      <c r="FB737" s="1358"/>
      <c r="FC737" s="1358"/>
      <c r="FD737" s="1359"/>
      <c r="FE737" s="1357" t="str">
        <f t="shared" si="32"/>
        <v/>
      </c>
      <c r="FF737" s="1358"/>
      <c r="FG737" s="1358"/>
      <c r="FH737" s="1358"/>
      <c r="FI737" s="1359"/>
      <c r="FJ737" s="1357" t="str">
        <f t="shared" si="33"/>
        <v/>
      </c>
      <c r="FK737" s="1358"/>
      <c r="FL737" s="1358"/>
      <c r="FM737" s="1358"/>
      <c r="FN737" s="1359"/>
      <c r="FO737" s="1357" t="str">
        <f t="shared" si="34"/>
        <v/>
      </c>
      <c r="FP737" s="1358"/>
      <c r="FQ737" s="1358"/>
      <c r="FR737" s="1358"/>
      <c r="FS737" s="1359"/>
      <c r="FT737" s="1357" t="str">
        <f t="shared" si="35"/>
        <v/>
      </c>
      <c r="FU737" s="1358"/>
      <c r="FV737" s="1358"/>
      <c r="FW737" s="1358"/>
      <c r="FX737" s="1359"/>
      <c r="FY737" s="1357" t="str">
        <f t="shared" si="36"/>
        <v/>
      </c>
      <c r="FZ737" s="1358"/>
      <c r="GA737" s="1358"/>
      <c r="GB737" s="1358"/>
      <c r="GC737" s="1359"/>
    </row>
    <row r="738" spans="1:185" ht="12.95" customHeight="1">
      <c r="B738" s="1361"/>
      <c r="C738" s="1362"/>
      <c r="D738" s="1362"/>
      <c r="E738" s="1362"/>
      <c r="F738" s="1363"/>
      <c r="G738" s="1370"/>
      <c r="H738" s="1371"/>
      <c r="I738" s="1371"/>
      <c r="J738" s="1372"/>
      <c r="K738" s="1607"/>
      <c r="L738" s="1608"/>
      <c r="M738" s="1608"/>
      <c r="N738" s="1609"/>
      <c r="O738" s="1469"/>
      <c r="P738" s="1470"/>
      <c r="Q738" s="1470"/>
      <c r="R738" s="1470"/>
      <c r="S738" s="1471"/>
      <c r="T738" s="1469"/>
      <c r="U738" s="1470"/>
      <c r="V738" s="1470"/>
      <c r="W738" s="1471"/>
      <c r="X738" s="1364">
        <f t="shared" si="9"/>
        <v>0</v>
      </c>
      <c r="Y738" s="1365"/>
      <c r="Z738" s="1365"/>
      <c r="AA738" s="1365"/>
      <c r="AB738" s="1366"/>
      <c r="AC738" s="1614"/>
      <c r="AD738" s="1615"/>
      <c r="AE738" s="1615"/>
      <c r="AF738" s="1615"/>
      <c r="AG738" s="1616"/>
      <c r="AH738" s="1367" t="str">
        <f t="shared" si="37"/>
        <v/>
      </c>
      <c r="AI738" s="1368"/>
      <c r="AJ738" s="1369"/>
      <c r="AK738" s="1361" t="s">
        <v>591</v>
      </c>
      <c r="AL738" s="1362"/>
      <c r="AM738" s="1362"/>
      <c r="AN738" s="1362"/>
      <c r="AO738" s="1363"/>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7">
        <f t="shared" si="38"/>
        <v>0</v>
      </c>
      <c r="CH738" s="1359"/>
      <c r="CI738" s="1341">
        <f t="shared" si="39"/>
        <v>0</v>
      </c>
      <c r="CJ738" s="1343"/>
      <c r="CK738" s="1357">
        <f t="shared" si="17"/>
        <v>0</v>
      </c>
      <c r="CL738" s="1359"/>
      <c r="CM738" s="1341">
        <f t="shared" si="18"/>
        <v>0</v>
      </c>
      <c r="CN738" s="1343"/>
      <c r="CO738" s="3"/>
      <c r="CP738" s="1338">
        <f t="shared" si="19"/>
        <v>0</v>
      </c>
      <c r="CQ738" s="1339"/>
      <c r="CR738" s="1339"/>
      <c r="CS738" s="1339"/>
      <c r="CT738" s="1340"/>
      <c r="CU738" s="1360">
        <f t="shared" si="20"/>
        <v>0</v>
      </c>
      <c r="CV738" s="1360"/>
      <c r="CW738" s="1360"/>
      <c r="CX738" s="1360"/>
      <c r="CY738" s="1360"/>
      <c r="CZ738" s="1360">
        <f t="shared" si="21"/>
        <v>0</v>
      </c>
      <c r="DA738" s="1360"/>
      <c r="DB738" s="1360"/>
      <c r="DC738" s="1360"/>
      <c r="DD738" s="1360"/>
      <c r="DE738" s="1360">
        <f t="shared" si="22"/>
        <v>0</v>
      </c>
      <c r="DF738" s="1360"/>
      <c r="DG738" s="1360"/>
      <c r="DH738" s="1360"/>
      <c r="DI738" s="1360"/>
      <c r="DJ738" s="1360">
        <f t="shared" si="23"/>
        <v>0</v>
      </c>
      <c r="DK738" s="1360"/>
      <c r="DL738" s="1360"/>
      <c r="DM738" s="1360"/>
      <c r="DN738" s="1360"/>
      <c r="DO738" s="1360">
        <f t="shared" si="24"/>
        <v>0</v>
      </c>
      <c r="DP738" s="1360"/>
      <c r="DQ738" s="1360"/>
      <c r="DR738" s="1360"/>
      <c r="DS738" s="1360"/>
      <c r="DT738" s="6"/>
      <c r="DU738" s="1374">
        <f t="shared" si="25"/>
        <v>0</v>
      </c>
      <c r="DV738" s="1374"/>
      <c r="DW738" s="1374"/>
      <c r="DX738" s="1374"/>
      <c r="DY738" s="1374"/>
      <c r="DZ738" s="1374">
        <f t="shared" si="26"/>
        <v>0</v>
      </c>
      <c r="EA738" s="1374"/>
      <c r="EB738" s="1374"/>
      <c r="EC738" s="1374"/>
      <c r="ED738" s="1374"/>
      <c r="EE738" s="1374">
        <f t="shared" si="27"/>
        <v>0</v>
      </c>
      <c r="EF738" s="1374"/>
      <c r="EG738" s="1374"/>
      <c r="EH738" s="1374"/>
      <c r="EI738" s="1374"/>
      <c r="EJ738" s="1374">
        <f t="shared" si="28"/>
        <v>0</v>
      </c>
      <c r="EK738" s="1374"/>
      <c r="EL738" s="1374"/>
      <c r="EM738" s="1374"/>
      <c r="EN738" s="1374"/>
      <c r="EO738" s="1374">
        <f t="shared" si="29"/>
        <v>0</v>
      </c>
      <c r="EP738" s="1374"/>
      <c r="EQ738" s="1374"/>
      <c r="ER738" s="1374"/>
      <c r="ES738" s="1374"/>
      <c r="ET738" s="1374">
        <f t="shared" si="30"/>
        <v>0</v>
      </c>
      <c r="EU738" s="1374"/>
      <c r="EV738" s="1374"/>
      <c r="EW738" s="1374"/>
      <c r="EX738" s="1374"/>
      <c r="EZ738" s="1357" t="str">
        <f t="shared" si="31"/>
        <v/>
      </c>
      <c r="FA738" s="1358"/>
      <c r="FB738" s="1358"/>
      <c r="FC738" s="1358"/>
      <c r="FD738" s="1359"/>
      <c r="FE738" s="1357" t="str">
        <f t="shared" si="32"/>
        <v/>
      </c>
      <c r="FF738" s="1358"/>
      <c r="FG738" s="1358"/>
      <c r="FH738" s="1358"/>
      <c r="FI738" s="1359"/>
      <c r="FJ738" s="1357" t="str">
        <f t="shared" si="33"/>
        <v/>
      </c>
      <c r="FK738" s="1358"/>
      <c r="FL738" s="1358"/>
      <c r="FM738" s="1358"/>
      <c r="FN738" s="1359"/>
      <c r="FO738" s="1357" t="str">
        <f t="shared" si="34"/>
        <v/>
      </c>
      <c r="FP738" s="1358"/>
      <c r="FQ738" s="1358"/>
      <c r="FR738" s="1358"/>
      <c r="FS738" s="1359"/>
      <c r="FT738" s="1357" t="str">
        <f t="shared" si="35"/>
        <v/>
      </c>
      <c r="FU738" s="1358"/>
      <c r="FV738" s="1358"/>
      <c r="FW738" s="1358"/>
      <c r="FX738" s="1359"/>
      <c r="FY738" s="1357" t="str">
        <f t="shared" si="36"/>
        <v/>
      </c>
      <c r="FZ738" s="1358"/>
      <c r="GA738" s="1358"/>
      <c r="GB738" s="1358"/>
      <c r="GC738" s="1359"/>
    </row>
    <row r="739" spans="1:185" ht="12.95" customHeight="1">
      <c r="B739" s="1361"/>
      <c r="C739" s="1362"/>
      <c r="D739" s="1362"/>
      <c r="E739" s="1362"/>
      <c r="F739" s="1363"/>
      <c r="G739" s="1370"/>
      <c r="H739" s="1371"/>
      <c r="I739" s="1371"/>
      <c r="J739" s="1372"/>
      <c r="K739" s="1607"/>
      <c r="L739" s="1608"/>
      <c r="M739" s="1608"/>
      <c r="N739" s="1609"/>
      <c r="O739" s="1469"/>
      <c r="P739" s="1470"/>
      <c r="Q739" s="1470"/>
      <c r="R739" s="1470"/>
      <c r="S739" s="1471"/>
      <c r="T739" s="1469"/>
      <c r="U739" s="1470"/>
      <c r="V739" s="1470"/>
      <c r="W739" s="1471"/>
      <c r="X739" s="1364">
        <f t="shared" si="9"/>
        <v>0</v>
      </c>
      <c r="Y739" s="1365"/>
      <c r="Z739" s="1365"/>
      <c r="AA739" s="1365"/>
      <c r="AB739" s="1366"/>
      <c r="AC739" s="1614"/>
      <c r="AD739" s="1615"/>
      <c r="AE739" s="1615"/>
      <c r="AF739" s="1615"/>
      <c r="AG739" s="1616"/>
      <c r="AH739" s="1367" t="str">
        <f t="shared" si="37"/>
        <v/>
      </c>
      <c r="AI739" s="1368"/>
      <c r="AJ739" s="1369"/>
      <c r="AK739" s="1361" t="s">
        <v>591</v>
      </c>
      <c r="AL739" s="1362"/>
      <c r="AM739" s="1362"/>
      <c r="AN739" s="1362"/>
      <c r="AO739" s="1363"/>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7">
        <f t="shared" si="38"/>
        <v>0</v>
      </c>
      <c r="CH739" s="1359"/>
      <c r="CI739" s="1341">
        <f t="shared" si="39"/>
        <v>0</v>
      </c>
      <c r="CJ739" s="1343"/>
      <c r="CK739" s="1357">
        <f t="shared" si="17"/>
        <v>0</v>
      </c>
      <c r="CL739" s="1359"/>
      <c r="CM739" s="1341">
        <f t="shared" si="18"/>
        <v>0</v>
      </c>
      <c r="CN739" s="1343"/>
      <c r="CO739" s="3"/>
      <c r="CP739" s="1338">
        <f t="shared" si="19"/>
        <v>0</v>
      </c>
      <c r="CQ739" s="1339"/>
      <c r="CR739" s="1339"/>
      <c r="CS739" s="1339"/>
      <c r="CT739" s="1340"/>
      <c r="CU739" s="1360">
        <f t="shared" si="20"/>
        <v>0</v>
      </c>
      <c r="CV739" s="1360"/>
      <c r="CW739" s="1360"/>
      <c r="CX739" s="1360"/>
      <c r="CY739" s="1360"/>
      <c r="CZ739" s="1360">
        <f t="shared" si="21"/>
        <v>0</v>
      </c>
      <c r="DA739" s="1360"/>
      <c r="DB739" s="1360"/>
      <c r="DC739" s="1360"/>
      <c r="DD739" s="1360"/>
      <c r="DE739" s="1360">
        <f t="shared" si="22"/>
        <v>0</v>
      </c>
      <c r="DF739" s="1360"/>
      <c r="DG739" s="1360"/>
      <c r="DH739" s="1360"/>
      <c r="DI739" s="1360"/>
      <c r="DJ739" s="1360">
        <f t="shared" si="23"/>
        <v>0</v>
      </c>
      <c r="DK739" s="1360"/>
      <c r="DL739" s="1360"/>
      <c r="DM739" s="1360"/>
      <c r="DN739" s="1360"/>
      <c r="DO739" s="1360">
        <f t="shared" si="24"/>
        <v>0</v>
      </c>
      <c r="DP739" s="1360"/>
      <c r="DQ739" s="1360"/>
      <c r="DR739" s="1360"/>
      <c r="DS739" s="1360"/>
      <c r="DT739" s="6"/>
      <c r="DU739" s="1374">
        <f t="shared" si="25"/>
        <v>0</v>
      </c>
      <c r="DV739" s="1374"/>
      <c r="DW739" s="1374"/>
      <c r="DX739" s="1374"/>
      <c r="DY739" s="1374"/>
      <c r="DZ739" s="1374">
        <f t="shared" si="26"/>
        <v>0</v>
      </c>
      <c r="EA739" s="1374"/>
      <c r="EB739" s="1374"/>
      <c r="EC739" s="1374"/>
      <c r="ED739" s="1374"/>
      <c r="EE739" s="1374">
        <f t="shared" si="27"/>
        <v>0</v>
      </c>
      <c r="EF739" s="1374"/>
      <c r="EG739" s="1374"/>
      <c r="EH739" s="1374"/>
      <c r="EI739" s="1374"/>
      <c r="EJ739" s="1374">
        <f t="shared" si="28"/>
        <v>0</v>
      </c>
      <c r="EK739" s="1374"/>
      <c r="EL739" s="1374"/>
      <c r="EM739" s="1374"/>
      <c r="EN739" s="1374"/>
      <c r="EO739" s="1374">
        <f t="shared" si="29"/>
        <v>0</v>
      </c>
      <c r="EP739" s="1374"/>
      <c r="EQ739" s="1374"/>
      <c r="ER739" s="1374"/>
      <c r="ES739" s="1374"/>
      <c r="ET739" s="1374">
        <f t="shared" si="30"/>
        <v>0</v>
      </c>
      <c r="EU739" s="1374"/>
      <c r="EV739" s="1374"/>
      <c r="EW739" s="1374"/>
      <c r="EX739" s="1374"/>
      <c r="EZ739" s="1357" t="str">
        <f t="shared" si="31"/>
        <v/>
      </c>
      <c r="FA739" s="1358"/>
      <c r="FB739" s="1358"/>
      <c r="FC739" s="1358"/>
      <c r="FD739" s="1359"/>
      <c r="FE739" s="1357" t="str">
        <f t="shared" si="32"/>
        <v/>
      </c>
      <c r="FF739" s="1358"/>
      <c r="FG739" s="1358"/>
      <c r="FH739" s="1358"/>
      <c r="FI739" s="1359"/>
      <c r="FJ739" s="1357" t="str">
        <f t="shared" si="33"/>
        <v/>
      </c>
      <c r="FK739" s="1358"/>
      <c r="FL739" s="1358"/>
      <c r="FM739" s="1358"/>
      <c r="FN739" s="1359"/>
      <c r="FO739" s="1357" t="str">
        <f t="shared" si="34"/>
        <v/>
      </c>
      <c r="FP739" s="1358"/>
      <c r="FQ739" s="1358"/>
      <c r="FR739" s="1358"/>
      <c r="FS739" s="1359"/>
      <c r="FT739" s="1357" t="str">
        <f t="shared" si="35"/>
        <v/>
      </c>
      <c r="FU739" s="1358"/>
      <c r="FV739" s="1358"/>
      <c r="FW739" s="1358"/>
      <c r="FX739" s="1359"/>
      <c r="FY739" s="1357" t="str">
        <f t="shared" si="36"/>
        <v/>
      </c>
      <c r="FZ739" s="1358"/>
      <c r="GA739" s="1358"/>
      <c r="GB739" s="1358"/>
      <c r="GC739" s="1359"/>
    </row>
    <row r="740" spans="1:185" ht="12.95" customHeight="1">
      <c r="B740" s="1361"/>
      <c r="C740" s="1362"/>
      <c r="D740" s="1362"/>
      <c r="E740" s="1362"/>
      <c r="F740" s="1363"/>
      <c r="G740" s="1370"/>
      <c r="H740" s="1371"/>
      <c r="I740" s="1371"/>
      <c r="J740" s="1372"/>
      <c r="K740" s="1607"/>
      <c r="L740" s="1608"/>
      <c r="M740" s="1608"/>
      <c r="N740" s="1609"/>
      <c r="O740" s="1469"/>
      <c r="P740" s="1470"/>
      <c r="Q740" s="1470"/>
      <c r="R740" s="1470"/>
      <c r="S740" s="1471"/>
      <c r="T740" s="1469"/>
      <c r="U740" s="1470"/>
      <c r="V740" s="1470"/>
      <c r="W740" s="1471"/>
      <c r="X740" s="1364">
        <f t="shared" si="9"/>
        <v>0</v>
      </c>
      <c r="Y740" s="1365"/>
      <c r="Z740" s="1365"/>
      <c r="AA740" s="1365"/>
      <c r="AB740" s="1366"/>
      <c r="AC740" s="1614"/>
      <c r="AD740" s="1615"/>
      <c r="AE740" s="1615"/>
      <c r="AF740" s="1615"/>
      <c r="AG740" s="1616"/>
      <c r="AH740" s="1367" t="str">
        <f t="shared" si="37"/>
        <v/>
      </c>
      <c r="AI740" s="1368"/>
      <c r="AJ740" s="1369"/>
      <c r="AK740" s="1361" t="s">
        <v>591</v>
      </c>
      <c r="AL740" s="1362"/>
      <c r="AM740" s="1362"/>
      <c r="AN740" s="1362"/>
      <c r="AO740" s="1363"/>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7">
        <f t="shared" si="38"/>
        <v>0</v>
      </c>
      <c r="CH740" s="1359"/>
      <c r="CI740" s="1341">
        <f t="shared" si="39"/>
        <v>0</v>
      </c>
      <c r="CJ740" s="1343"/>
      <c r="CK740" s="1357">
        <f t="shared" si="17"/>
        <v>0</v>
      </c>
      <c r="CL740" s="1359"/>
      <c r="CM740" s="1341">
        <f t="shared" si="18"/>
        <v>0</v>
      </c>
      <c r="CN740" s="1343"/>
      <c r="CO740" s="3"/>
      <c r="CP740" s="1338">
        <f t="shared" si="19"/>
        <v>0</v>
      </c>
      <c r="CQ740" s="1339"/>
      <c r="CR740" s="1339"/>
      <c r="CS740" s="1339"/>
      <c r="CT740" s="1340"/>
      <c r="CU740" s="1360">
        <f t="shared" si="20"/>
        <v>0</v>
      </c>
      <c r="CV740" s="1360"/>
      <c r="CW740" s="1360"/>
      <c r="CX740" s="1360"/>
      <c r="CY740" s="1360"/>
      <c r="CZ740" s="1360">
        <f t="shared" si="21"/>
        <v>0</v>
      </c>
      <c r="DA740" s="1360"/>
      <c r="DB740" s="1360"/>
      <c r="DC740" s="1360"/>
      <c r="DD740" s="1360"/>
      <c r="DE740" s="1360">
        <f t="shared" si="22"/>
        <v>0</v>
      </c>
      <c r="DF740" s="1360"/>
      <c r="DG740" s="1360"/>
      <c r="DH740" s="1360"/>
      <c r="DI740" s="1360"/>
      <c r="DJ740" s="1360">
        <f t="shared" si="23"/>
        <v>0</v>
      </c>
      <c r="DK740" s="1360"/>
      <c r="DL740" s="1360"/>
      <c r="DM740" s="1360"/>
      <c r="DN740" s="1360"/>
      <c r="DO740" s="1360">
        <f t="shared" si="24"/>
        <v>0</v>
      </c>
      <c r="DP740" s="1360"/>
      <c r="DQ740" s="1360"/>
      <c r="DR740" s="1360"/>
      <c r="DS740" s="1360"/>
      <c r="DT740" s="6"/>
      <c r="DU740" s="1374">
        <f t="shared" si="25"/>
        <v>0</v>
      </c>
      <c r="DV740" s="1374"/>
      <c r="DW740" s="1374"/>
      <c r="DX740" s="1374"/>
      <c r="DY740" s="1374"/>
      <c r="DZ740" s="1374">
        <f t="shared" si="26"/>
        <v>0</v>
      </c>
      <c r="EA740" s="1374"/>
      <c r="EB740" s="1374"/>
      <c r="EC740" s="1374"/>
      <c r="ED740" s="1374"/>
      <c r="EE740" s="1374">
        <f t="shared" si="27"/>
        <v>0</v>
      </c>
      <c r="EF740" s="1374"/>
      <c r="EG740" s="1374"/>
      <c r="EH740" s="1374"/>
      <c r="EI740" s="1374"/>
      <c r="EJ740" s="1374">
        <f t="shared" si="28"/>
        <v>0</v>
      </c>
      <c r="EK740" s="1374"/>
      <c r="EL740" s="1374"/>
      <c r="EM740" s="1374"/>
      <c r="EN740" s="1374"/>
      <c r="EO740" s="1374">
        <f t="shared" si="29"/>
        <v>0</v>
      </c>
      <c r="EP740" s="1374"/>
      <c r="EQ740" s="1374"/>
      <c r="ER740" s="1374"/>
      <c r="ES740" s="1374"/>
      <c r="ET740" s="1374">
        <f t="shared" si="30"/>
        <v>0</v>
      </c>
      <c r="EU740" s="1374"/>
      <c r="EV740" s="1374"/>
      <c r="EW740" s="1374"/>
      <c r="EX740" s="1374"/>
      <c r="EZ740" s="1357" t="str">
        <f t="shared" si="31"/>
        <v/>
      </c>
      <c r="FA740" s="1358"/>
      <c r="FB740" s="1358"/>
      <c r="FC740" s="1358"/>
      <c r="FD740" s="1359"/>
      <c r="FE740" s="1357" t="str">
        <f t="shared" si="32"/>
        <v/>
      </c>
      <c r="FF740" s="1358"/>
      <c r="FG740" s="1358"/>
      <c r="FH740" s="1358"/>
      <c r="FI740" s="1359"/>
      <c r="FJ740" s="1357" t="str">
        <f t="shared" si="33"/>
        <v/>
      </c>
      <c r="FK740" s="1358"/>
      <c r="FL740" s="1358"/>
      <c r="FM740" s="1358"/>
      <c r="FN740" s="1359"/>
      <c r="FO740" s="1357" t="str">
        <f t="shared" si="34"/>
        <v/>
      </c>
      <c r="FP740" s="1358"/>
      <c r="FQ740" s="1358"/>
      <c r="FR740" s="1358"/>
      <c r="FS740" s="1359"/>
      <c r="FT740" s="1357" t="str">
        <f t="shared" si="35"/>
        <v/>
      </c>
      <c r="FU740" s="1358"/>
      <c r="FV740" s="1358"/>
      <c r="FW740" s="1358"/>
      <c r="FX740" s="1359"/>
      <c r="FY740" s="1357" t="str">
        <f t="shared" si="36"/>
        <v/>
      </c>
      <c r="FZ740" s="1358"/>
      <c r="GA740" s="1358"/>
      <c r="GB740" s="1358"/>
      <c r="GC740" s="1359"/>
    </row>
    <row r="741" spans="1:185" ht="12.95" customHeight="1">
      <c r="B741" s="1361"/>
      <c r="C741" s="1362"/>
      <c r="D741" s="1362"/>
      <c r="E741" s="1362"/>
      <c r="F741" s="1363"/>
      <c r="G741" s="1370"/>
      <c r="H741" s="1371"/>
      <c r="I741" s="1371"/>
      <c r="J741" s="1372"/>
      <c r="K741" s="1607"/>
      <c r="L741" s="1608"/>
      <c r="M741" s="1608"/>
      <c r="N741" s="1609"/>
      <c r="O741" s="1469"/>
      <c r="P741" s="1470"/>
      <c r="Q741" s="1470"/>
      <c r="R741" s="1470"/>
      <c r="S741" s="1471"/>
      <c r="T741" s="1469"/>
      <c r="U741" s="1470"/>
      <c r="V741" s="1470"/>
      <c r="W741" s="1471"/>
      <c r="X741" s="1364">
        <f t="shared" si="9"/>
        <v>0</v>
      </c>
      <c r="Y741" s="1365"/>
      <c r="Z741" s="1365"/>
      <c r="AA741" s="1365"/>
      <c r="AB741" s="1366"/>
      <c r="AC741" s="1614"/>
      <c r="AD741" s="1615"/>
      <c r="AE741" s="1615"/>
      <c r="AF741" s="1615"/>
      <c r="AG741" s="1616"/>
      <c r="AH741" s="1367" t="str">
        <f t="shared" si="37"/>
        <v/>
      </c>
      <c r="AI741" s="1368"/>
      <c r="AJ741" s="1369"/>
      <c r="AK741" s="1361" t="s">
        <v>591</v>
      </c>
      <c r="AL741" s="1362"/>
      <c r="AM741" s="1362"/>
      <c r="AN741" s="1362"/>
      <c r="AO741" s="1363"/>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7">
        <f t="shared" si="38"/>
        <v>0</v>
      </c>
      <c r="CH741" s="1359"/>
      <c r="CI741" s="1341">
        <f t="shared" si="39"/>
        <v>0</v>
      </c>
      <c r="CJ741" s="1343"/>
      <c r="CK741" s="1357">
        <f t="shared" si="17"/>
        <v>0</v>
      </c>
      <c r="CL741" s="1359"/>
      <c r="CM741" s="1341">
        <f t="shared" si="18"/>
        <v>0</v>
      </c>
      <c r="CN741" s="1343"/>
      <c r="CO741" s="3"/>
      <c r="CP741" s="1338">
        <f t="shared" si="19"/>
        <v>0</v>
      </c>
      <c r="CQ741" s="1339"/>
      <c r="CR741" s="1339"/>
      <c r="CS741" s="1339"/>
      <c r="CT741" s="1340"/>
      <c r="CU741" s="1360">
        <f t="shared" si="20"/>
        <v>0</v>
      </c>
      <c r="CV741" s="1360"/>
      <c r="CW741" s="1360"/>
      <c r="CX741" s="1360"/>
      <c r="CY741" s="1360"/>
      <c r="CZ741" s="1360">
        <f t="shared" si="21"/>
        <v>0</v>
      </c>
      <c r="DA741" s="1360"/>
      <c r="DB741" s="1360"/>
      <c r="DC741" s="1360"/>
      <c r="DD741" s="1360"/>
      <c r="DE741" s="1360">
        <f t="shared" si="22"/>
        <v>0</v>
      </c>
      <c r="DF741" s="1360"/>
      <c r="DG741" s="1360"/>
      <c r="DH741" s="1360"/>
      <c r="DI741" s="1360"/>
      <c r="DJ741" s="1360">
        <f t="shared" si="23"/>
        <v>0</v>
      </c>
      <c r="DK741" s="1360"/>
      <c r="DL741" s="1360"/>
      <c r="DM741" s="1360"/>
      <c r="DN741" s="1360"/>
      <c r="DO741" s="1360">
        <f t="shared" si="24"/>
        <v>0</v>
      </c>
      <c r="DP741" s="1360"/>
      <c r="DQ741" s="1360"/>
      <c r="DR741" s="1360"/>
      <c r="DS741" s="1360"/>
      <c r="DT741" s="6"/>
      <c r="DU741" s="1374">
        <f t="shared" si="25"/>
        <v>0</v>
      </c>
      <c r="DV741" s="1374"/>
      <c r="DW741" s="1374"/>
      <c r="DX741" s="1374"/>
      <c r="DY741" s="1374"/>
      <c r="DZ741" s="1374">
        <f t="shared" si="26"/>
        <v>0</v>
      </c>
      <c r="EA741" s="1374"/>
      <c r="EB741" s="1374"/>
      <c r="EC741" s="1374"/>
      <c r="ED741" s="1374"/>
      <c r="EE741" s="1374">
        <f t="shared" si="27"/>
        <v>0</v>
      </c>
      <c r="EF741" s="1374"/>
      <c r="EG741" s="1374"/>
      <c r="EH741" s="1374"/>
      <c r="EI741" s="1374"/>
      <c r="EJ741" s="1374">
        <f t="shared" si="28"/>
        <v>0</v>
      </c>
      <c r="EK741" s="1374"/>
      <c r="EL741" s="1374"/>
      <c r="EM741" s="1374"/>
      <c r="EN741" s="1374"/>
      <c r="EO741" s="1374">
        <f t="shared" si="29"/>
        <v>0</v>
      </c>
      <c r="EP741" s="1374"/>
      <c r="EQ741" s="1374"/>
      <c r="ER741" s="1374"/>
      <c r="ES741" s="1374"/>
      <c r="ET741" s="1374">
        <f t="shared" si="30"/>
        <v>0</v>
      </c>
      <c r="EU741" s="1374"/>
      <c r="EV741" s="1374"/>
      <c r="EW741" s="1374"/>
      <c r="EX741" s="1374"/>
      <c r="EZ741" s="1357" t="str">
        <f t="shared" si="31"/>
        <v/>
      </c>
      <c r="FA741" s="1358"/>
      <c r="FB741" s="1358"/>
      <c r="FC741" s="1358"/>
      <c r="FD741" s="1359"/>
      <c r="FE741" s="1357" t="str">
        <f t="shared" si="32"/>
        <v/>
      </c>
      <c r="FF741" s="1358"/>
      <c r="FG741" s="1358"/>
      <c r="FH741" s="1358"/>
      <c r="FI741" s="1359"/>
      <c r="FJ741" s="1357" t="str">
        <f t="shared" si="33"/>
        <v/>
      </c>
      <c r="FK741" s="1358"/>
      <c r="FL741" s="1358"/>
      <c r="FM741" s="1358"/>
      <c r="FN741" s="1359"/>
      <c r="FO741" s="1357" t="str">
        <f t="shared" si="34"/>
        <v/>
      </c>
      <c r="FP741" s="1358"/>
      <c r="FQ741" s="1358"/>
      <c r="FR741" s="1358"/>
      <c r="FS741" s="1359"/>
      <c r="FT741" s="1357" t="str">
        <f t="shared" si="35"/>
        <v/>
      </c>
      <c r="FU741" s="1358"/>
      <c r="FV741" s="1358"/>
      <c r="FW741" s="1358"/>
      <c r="FX741" s="1359"/>
      <c r="FY741" s="1357" t="str">
        <f t="shared" si="36"/>
        <v/>
      </c>
      <c r="FZ741" s="1358"/>
      <c r="GA741" s="1358"/>
      <c r="GB741" s="1358"/>
      <c r="GC741" s="1359"/>
    </row>
    <row r="742" spans="1:185" ht="12.95" customHeight="1">
      <c r="B742" s="1361"/>
      <c r="C742" s="1362"/>
      <c r="D742" s="1362"/>
      <c r="E742" s="1362"/>
      <c r="F742" s="1363"/>
      <c r="G742" s="1370"/>
      <c r="H742" s="1371"/>
      <c r="I742" s="1371"/>
      <c r="J742" s="1372"/>
      <c r="K742" s="1607"/>
      <c r="L742" s="1608"/>
      <c r="M742" s="1608"/>
      <c r="N742" s="1609"/>
      <c r="O742" s="1469"/>
      <c r="P742" s="1470"/>
      <c r="Q742" s="1470"/>
      <c r="R742" s="1470"/>
      <c r="S742" s="1471"/>
      <c r="T742" s="1469"/>
      <c r="U742" s="1470"/>
      <c r="V742" s="1470"/>
      <c r="W742" s="1471"/>
      <c r="X742" s="1364">
        <f t="shared" ref="X742:X751" si="40">O742+T742</f>
        <v>0</v>
      </c>
      <c r="Y742" s="1365"/>
      <c r="Z742" s="1365"/>
      <c r="AA742" s="1365"/>
      <c r="AB742" s="1366"/>
      <c r="AC742" s="1614"/>
      <c r="AD742" s="1615"/>
      <c r="AE742" s="1615"/>
      <c r="AF742" s="1615"/>
      <c r="AG742" s="1616"/>
      <c r="AH742" s="1367" t="str">
        <f t="shared" si="37"/>
        <v/>
      </c>
      <c r="AI742" s="1368"/>
      <c r="AJ742" s="1369"/>
      <c r="AK742" s="1361" t="s">
        <v>591</v>
      </c>
      <c r="AL742" s="1362"/>
      <c r="AM742" s="1362"/>
      <c r="AN742" s="1362"/>
      <c r="AO742" s="1363"/>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357">
        <f t="shared" si="38"/>
        <v>0</v>
      </c>
      <c r="CH742" s="1359"/>
      <c r="CI742" s="1341">
        <f t="shared" si="39"/>
        <v>0</v>
      </c>
      <c r="CJ742" s="1343"/>
      <c r="CK742" s="1357">
        <f t="shared" si="17"/>
        <v>0</v>
      </c>
      <c r="CL742" s="1359"/>
      <c r="CM742" s="1341">
        <f t="shared" si="18"/>
        <v>0</v>
      </c>
      <c r="CN742" s="1343"/>
      <c r="CO742" s="3"/>
      <c r="CP742" s="1338">
        <f t="shared" si="19"/>
        <v>0</v>
      </c>
      <c r="CQ742" s="1339"/>
      <c r="CR742" s="1339"/>
      <c r="CS742" s="1339"/>
      <c r="CT742" s="1340"/>
      <c r="CU742" s="1360">
        <f t="shared" si="20"/>
        <v>0</v>
      </c>
      <c r="CV742" s="1360"/>
      <c r="CW742" s="1360"/>
      <c r="CX742" s="1360"/>
      <c r="CY742" s="1360"/>
      <c r="CZ742" s="1360">
        <f t="shared" si="21"/>
        <v>0</v>
      </c>
      <c r="DA742" s="1360"/>
      <c r="DB742" s="1360"/>
      <c r="DC742" s="1360"/>
      <c r="DD742" s="1360"/>
      <c r="DE742" s="1360">
        <f t="shared" si="22"/>
        <v>0</v>
      </c>
      <c r="DF742" s="1360"/>
      <c r="DG742" s="1360"/>
      <c r="DH742" s="1360"/>
      <c r="DI742" s="1360"/>
      <c r="DJ742" s="1360">
        <f t="shared" si="23"/>
        <v>0</v>
      </c>
      <c r="DK742" s="1360"/>
      <c r="DL742" s="1360"/>
      <c r="DM742" s="1360"/>
      <c r="DN742" s="1360"/>
      <c r="DO742" s="1360">
        <f t="shared" si="24"/>
        <v>0</v>
      </c>
      <c r="DP742" s="1360"/>
      <c r="DQ742" s="1360"/>
      <c r="DR742" s="1360"/>
      <c r="DS742" s="1360"/>
      <c r="DT742" s="6"/>
      <c r="DU742" s="1374">
        <f t="shared" si="25"/>
        <v>0</v>
      </c>
      <c r="DV742" s="1374"/>
      <c r="DW742" s="1374"/>
      <c r="DX742" s="1374"/>
      <c r="DY742" s="1374"/>
      <c r="DZ742" s="1374">
        <f t="shared" si="26"/>
        <v>0</v>
      </c>
      <c r="EA742" s="1374"/>
      <c r="EB742" s="1374"/>
      <c r="EC742" s="1374"/>
      <c r="ED742" s="1374"/>
      <c r="EE742" s="1374">
        <f t="shared" si="27"/>
        <v>0</v>
      </c>
      <c r="EF742" s="1374"/>
      <c r="EG742" s="1374"/>
      <c r="EH742" s="1374"/>
      <c r="EI742" s="1374"/>
      <c r="EJ742" s="1374">
        <f t="shared" si="28"/>
        <v>0</v>
      </c>
      <c r="EK742" s="1374"/>
      <c r="EL742" s="1374"/>
      <c r="EM742" s="1374"/>
      <c r="EN742" s="1374"/>
      <c r="EO742" s="1374">
        <f t="shared" si="29"/>
        <v>0</v>
      </c>
      <c r="EP742" s="1374"/>
      <c r="EQ742" s="1374"/>
      <c r="ER742" s="1374"/>
      <c r="ES742" s="1374"/>
      <c r="ET742" s="1374">
        <f t="shared" si="30"/>
        <v>0</v>
      </c>
      <c r="EU742" s="1374"/>
      <c r="EV742" s="1374"/>
      <c r="EW742" s="1374"/>
      <c r="EX742" s="1374"/>
      <c r="EZ742" s="1357" t="str">
        <f t="shared" si="31"/>
        <v/>
      </c>
      <c r="FA742" s="1358"/>
      <c r="FB742" s="1358"/>
      <c r="FC742" s="1358"/>
      <c r="FD742" s="1359"/>
      <c r="FE742" s="1357" t="str">
        <f t="shared" si="32"/>
        <v/>
      </c>
      <c r="FF742" s="1358"/>
      <c r="FG742" s="1358"/>
      <c r="FH742" s="1358"/>
      <c r="FI742" s="1359"/>
      <c r="FJ742" s="1357" t="str">
        <f t="shared" si="33"/>
        <v/>
      </c>
      <c r="FK742" s="1358"/>
      <c r="FL742" s="1358"/>
      <c r="FM742" s="1358"/>
      <c r="FN742" s="1359"/>
      <c r="FO742" s="1357" t="str">
        <f t="shared" si="34"/>
        <v/>
      </c>
      <c r="FP742" s="1358"/>
      <c r="FQ742" s="1358"/>
      <c r="FR742" s="1358"/>
      <c r="FS742" s="1359"/>
      <c r="FT742" s="1357" t="str">
        <f t="shared" si="35"/>
        <v/>
      </c>
      <c r="FU742" s="1358"/>
      <c r="FV742" s="1358"/>
      <c r="FW742" s="1358"/>
      <c r="FX742" s="1359"/>
      <c r="FY742" s="1357" t="str">
        <f t="shared" si="36"/>
        <v/>
      </c>
      <c r="FZ742" s="1358"/>
      <c r="GA742" s="1358"/>
      <c r="GB742" s="1358"/>
      <c r="GC742" s="1359"/>
    </row>
    <row r="743" spans="1:185" s="3" customFormat="1" ht="12.95" customHeight="1">
      <c r="A743"/>
      <c r="B743" s="1361"/>
      <c r="C743" s="1362"/>
      <c r="D743" s="1362"/>
      <c r="E743" s="1362"/>
      <c r="F743" s="1363"/>
      <c r="G743" s="1370"/>
      <c r="H743" s="1371"/>
      <c r="I743" s="1371"/>
      <c r="J743" s="1372"/>
      <c r="K743" s="1607"/>
      <c r="L743" s="1608"/>
      <c r="M743" s="1608"/>
      <c r="N743" s="1609"/>
      <c r="O743" s="1469"/>
      <c r="P743" s="1470"/>
      <c r="Q743" s="1470"/>
      <c r="R743" s="1470"/>
      <c r="S743" s="1471"/>
      <c r="T743" s="1469"/>
      <c r="U743" s="1470"/>
      <c r="V743" s="1470"/>
      <c r="W743" s="1471"/>
      <c r="X743" s="1364">
        <f t="shared" si="40"/>
        <v>0</v>
      </c>
      <c r="Y743" s="1365"/>
      <c r="Z743" s="1365"/>
      <c r="AA743" s="1365"/>
      <c r="AB743" s="1366"/>
      <c r="AC743" s="1614"/>
      <c r="AD743" s="1615"/>
      <c r="AE743" s="1615"/>
      <c r="AF743" s="1615"/>
      <c r="AG743" s="1616"/>
      <c r="AH743" s="1367" t="str">
        <f t="shared" si="37"/>
        <v/>
      </c>
      <c r="AI743" s="1368"/>
      <c r="AJ743" s="1369"/>
      <c r="AK743" s="1361" t="s">
        <v>591</v>
      </c>
      <c r="AL743" s="1362"/>
      <c r="AM743" s="1362"/>
      <c r="AN743" s="1362"/>
      <c r="AO743" s="1363"/>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357">
        <f t="shared" si="38"/>
        <v>0</v>
      </c>
      <c r="CH743" s="1359"/>
      <c r="CI743" s="1341">
        <f t="shared" si="39"/>
        <v>0</v>
      </c>
      <c r="CJ743" s="1343"/>
      <c r="CK743" s="1357">
        <f t="shared" si="17"/>
        <v>0</v>
      </c>
      <c r="CL743" s="1359"/>
      <c r="CM743" s="1341">
        <f t="shared" si="18"/>
        <v>0</v>
      </c>
      <c r="CN743" s="1343"/>
      <c r="CP743" s="1338">
        <f t="shared" si="19"/>
        <v>0</v>
      </c>
      <c r="CQ743" s="1339"/>
      <c r="CR743" s="1339"/>
      <c r="CS743" s="1339"/>
      <c r="CT743" s="1340"/>
      <c r="CU743" s="1360">
        <f t="shared" si="20"/>
        <v>0</v>
      </c>
      <c r="CV743" s="1360"/>
      <c r="CW743" s="1360"/>
      <c r="CX743" s="1360"/>
      <c r="CY743" s="1360"/>
      <c r="CZ743" s="1360">
        <f t="shared" si="21"/>
        <v>0</v>
      </c>
      <c r="DA743" s="1360"/>
      <c r="DB743" s="1360"/>
      <c r="DC743" s="1360"/>
      <c r="DD743" s="1360"/>
      <c r="DE743" s="1360">
        <f t="shared" si="22"/>
        <v>0</v>
      </c>
      <c r="DF743" s="1360"/>
      <c r="DG743" s="1360"/>
      <c r="DH743" s="1360"/>
      <c r="DI743" s="1360"/>
      <c r="DJ743" s="1360">
        <f t="shared" si="23"/>
        <v>0</v>
      </c>
      <c r="DK743" s="1360"/>
      <c r="DL743" s="1360"/>
      <c r="DM743" s="1360"/>
      <c r="DN743" s="1360"/>
      <c r="DO743" s="1360">
        <f t="shared" si="24"/>
        <v>0</v>
      </c>
      <c r="DP743" s="1360"/>
      <c r="DQ743" s="1360"/>
      <c r="DR743" s="1360"/>
      <c r="DS743" s="1360"/>
      <c r="DT743" s="6"/>
      <c r="DU743" s="1374">
        <f t="shared" si="25"/>
        <v>0</v>
      </c>
      <c r="DV743" s="1374"/>
      <c r="DW743" s="1374"/>
      <c r="DX743" s="1374"/>
      <c r="DY743" s="1374"/>
      <c r="DZ743" s="1374">
        <f t="shared" si="26"/>
        <v>0</v>
      </c>
      <c r="EA743" s="1374"/>
      <c r="EB743" s="1374"/>
      <c r="EC743" s="1374"/>
      <c r="ED743" s="1374"/>
      <c r="EE743" s="1374">
        <f t="shared" si="27"/>
        <v>0</v>
      </c>
      <c r="EF743" s="1374"/>
      <c r="EG743" s="1374"/>
      <c r="EH743" s="1374"/>
      <c r="EI743" s="1374"/>
      <c r="EJ743" s="1374">
        <f t="shared" si="28"/>
        <v>0</v>
      </c>
      <c r="EK743" s="1374"/>
      <c r="EL743" s="1374"/>
      <c r="EM743" s="1374"/>
      <c r="EN743" s="1374"/>
      <c r="EO743" s="1374">
        <f t="shared" si="29"/>
        <v>0</v>
      </c>
      <c r="EP743" s="1374"/>
      <c r="EQ743" s="1374"/>
      <c r="ER743" s="1374"/>
      <c r="ES743" s="1374"/>
      <c r="ET743" s="1374">
        <f t="shared" si="30"/>
        <v>0</v>
      </c>
      <c r="EU743" s="1374"/>
      <c r="EV743" s="1374"/>
      <c r="EW743" s="1374"/>
      <c r="EX743" s="1374"/>
      <c r="EY743"/>
      <c r="EZ743" s="1357" t="str">
        <f t="shared" si="31"/>
        <v/>
      </c>
      <c r="FA743" s="1358"/>
      <c r="FB743" s="1358"/>
      <c r="FC743" s="1358"/>
      <c r="FD743" s="1359"/>
      <c r="FE743" s="1357" t="str">
        <f t="shared" si="32"/>
        <v/>
      </c>
      <c r="FF743" s="1358"/>
      <c r="FG743" s="1358"/>
      <c r="FH743" s="1358"/>
      <c r="FI743" s="1359"/>
      <c r="FJ743" s="1357" t="str">
        <f t="shared" si="33"/>
        <v/>
      </c>
      <c r="FK743" s="1358"/>
      <c r="FL743" s="1358"/>
      <c r="FM743" s="1358"/>
      <c r="FN743" s="1359"/>
      <c r="FO743" s="1357" t="str">
        <f t="shared" si="34"/>
        <v/>
      </c>
      <c r="FP743" s="1358"/>
      <c r="FQ743" s="1358"/>
      <c r="FR743" s="1358"/>
      <c r="FS743" s="1359"/>
      <c r="FT743" s="1357" t="str">
        <f t="shared" si="35"/>
        <v/>
      </c>
      <c r="FU743" s="1358"/>
      <c r="FV743" s="1358"/>
      <c r="FW743" s="1358"/>
      <c r="FX743" s="1359"/>
      <c r="FY743" s="1357" t="str">
        <f t="shared" si="36"/>
        <v/>
      </c>
      <c r="FZ743" s="1358"/>
      <c r="GA743" s="1358"/>
      <c r="GB743" s="1358"/>
      <c r="GC743" s="1359"/>
    </row>
    <row r="744" spans="1:185" ht="12.95" customHeight="1">
      <c r="B744" s="1361"/>
      <c r="C744" s="1362"/>
      <c r="D744" s="1362"/>
      <c r="E744" s="1362"/>
      <c r="F744" s="1363"/>
      <c r="G744" s="1370"/>
      <c r="H744" s="1371"/>
      <c r="I744" s="1371"/>
      <c r="J744" s="1372"/>
      <c r="K744" s="1607"/>
      <c r="L744" s="1608"/>
      <c r="M744" s="1608"/>
      <c r="N744" s="1609"/>
      <c r="O744" s="1469"/>
      <c r="P744" s="1470"/>
      <c r="Q744" s="1470"/>
      <c r="R744" s="1470"/>
      <c r="S744" s="1471"/>
      <c r="T744" s="1469"/>
      <c r="U744" s="1470"/>
      <c r="V744" s="1470"/>
      <c r="W744" s="1471"/>
      <c r="X744" s="1364">
        <f t="shared" si="40"/>
        <v>0</v>
      </c>
      <c r="Y744" s="1365"/>
      <c r="Z744" s="1365"/>
      <c r="AA744" s="1365"/>
      <c r="AB744" s="1366"/>
      <c r="AC744" s="1614"/>
      <c r="AD744" s="1615"/>
      <c r="AE744" s="1615"/>
      <c r="AF744" s="1615"/>
      <c r="AG744" s="1616"/>
      <c r="AH744" s="1367" t="str">
        <f t="shared" si="37"/>
        <v/>
      </c>
      <c r="AI744" s="1368"/>
      <c r="AJ744" s="1369"/>
      <c r="AK744" s="1361" t="s">
        <v>591</v>
      </c>
      <c r="AL744" s="1362"/>
      <c r="AM744" s="1362"/>
      <c r="AN744" s="1362"/>
      <c r="AO744" s="1363"/>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7">
        <f t="shared" si="38"/>
        <v>0</v>
      </c>
      <c r="CH744" s="1359"/>
      <c r="CI744" s="1341">
        <f t="shared" si="39"/>
        <v>0</v>
      </c>
      <c r="CJ744" s="1343"/>
      <c r="CK744" s="1357">
        <f t="shared" si="17"/>
        <v>0</v>
      </c>
      <c r="CL744" s="1359"/>
      <c r="CM744" s="1341">
        <f t="shared" si="18"/>
        <v>0</v>
      </c>
      <c r="CN744" s="1343"/>
      <c r="CO744" s="3"/>
      <c r="CP744" s="1338">
        <f t="shared" si="19"/>
        <v>0</v>
      </c>
      <c r="CQ744" s="1339"/>
      <c r="CR744" s="1339"/>
      <c r="CS744" s="1339"/>
      <c r="CT744" s="1340"/>
      <c r="CU744" s="1360">
        <f t="shared" si="20"/>
        <v>0</v>
      </c>
      <c r="CV744" s="1360"/>
      <c r="CW744" s="1360"/>
      <c r="CX744" s="1360"/>
      <c r="CY744" s="1360"/>
      <c r="CZ744" s="1360">
        <f t="shared" si="21"/>
        <v>0</v>
      </c>
      <c r="DA744" s="1360"/>
      <c r="DB744" s="1360"/>
      <c r="DC744" s="1360"/>
      <c r="DD744" s="1360"/>
      <c r="DE744" s="1360">
        <f t="shared" si="22"/>
        <v>0</v>
      </c>
      <c r="DF744" s="1360"/>
      <c r="DG744" s="1360"/>
      <c r="DH744" s="1360"/>
      <c r="DI744" s="1360"/>
      <c r="DJ744" s="1360">
        <f t="shared" si="23"/>
        <v>0</v>
      </c>
      <c r="DK744" s="1360"/>
      <c r="DL744" s="1360"/>
      <c r="DM744" s="1360"/>
      <c r="DN744" s="1360"/>
      <c r="DO744" s="1360">
        <f t="shared" si="24"/>
        <v>0</v>
      </c>
      <c r="DP744" s="1360"/>
      <c r="DQ744" s="1360"/>
      <c r="DR744" s="1360"/>
      <c r="DS744" s="1360"/>
      <c r="DT744" s="6"/>
      <c r="DU744" s="1374">
        <f t="shared" si="25"/>
        <v>0</v>
      </c>
      <c r="DV744" s="1374"/>
      <c r="DW744" s="1374"/>
      <c r="DX744" s="1374"/>
      <c r="DY744" s="1374"/>
      <c r="DZ744" s="1374">
        <f t="shared" si="26"/>
        <v>0</v>
      </c>
      <c r="EA744" s="1374"/>
      <c r="EB744" s="1374"/>
      <c r="EC744" s="1374"/>
      <c r="ED744" s="1374"/>
      <c r="EE744" s="1374">
        <f t="shared" si="27"/>
        <v>0</v>
      </c>
      <c r="EF744" s="1374"/>
      <c r="EG744" s="1374"/>
      <c r="EH744" s="1374"/>
      <c r="EI744" s="1374"/>
      <c r="EJ744" s="1374">
        <f t="shared" si="28"/>
        <v>0</v>
      </c>
      <c r="EK744" s="1374"/>
      <c r="EL744" s="1374"/>
      <c r="EM744" s="1374"/>
      <c r="EN744" s="1374"/>
      <c r="EO744" s="1374">
        <f t="shared" si="29"/>
        <v>0</v>
      </c>
      <c r="EP744" s="1374"/>
      <c r="EQ744" s="1374"/>
      <c r="ER744" s="1374"/>
      <c r="ES744" s="1374"/>
      <c r="ET744" s="1374">
        <f t="shared" si="30"/>
        <v>0</v>
      </c>
      <c r="EU744" s="1374"/>
      <c r="EV744" s="1374"/>
      <c r="EW744" s="1374"/>
      <c r="EX744" s="1374"/>
      <c r="EZ744" s="1357" t="str">
        <f t="shared" si="31"/>
        <v/>
      </c>
      <c r="FA744" s="1358"/>
      <c r="FB744" s="1358"/>
      <c r="FC744" s="1358"/>
      <c r="FD744" s="1359"/>
      <c r="FE744" s="1357" t="str">
        <f t="shared" si="32"/>
        <v/>
      </c>
      <c r="FF744" s="1358"/>
      <c r="FG744" s="1358"/>
      <c r="FH744" s="1358"/>
      <c r="FI744" s="1359"/>
      <c r="FJ744" s="1357" t="str">
        <f t="shared" si="33"/>
        <v/>
      </c>
      <c r="FK744" s="1358"/>
      <c r="FL744" s="1358"/>
      <c r="FM744" s="1358"/>
      <c r="FN744" s="1359"/>
      <c r="FO744" s="1357" t="str">
        <f t="shared" si="34"/>
        <v/>
      </c>
      <c r="FP744" s="1358"/>
      <c r="FQ744" s="1358"/>
      <c r="FR744" s="1358"/>
      <c r="FS744" s="1359"/>
      <c r="FT744" s="1357" t="str">
        <f t="shared" si="35"/>
        <v/>
      </c>
      <c r="FU744" s="1358"/>
      <c r="FV744" s="1358"/>
      <c r="FW744" s="1358"/>
      <c r="FX744" s="1359"/>
      <c r="FY744" s="1357" t="str">
        <f t="shared" si="36"/>
        <v/>
      </c>
      <c r="FZ744" s="1358"/>
      <c r="GA744" s="1358"/>
      <c r="GB744" s="1358"/>
      <c r="GC744" s="1359"/>
    </row>
    <row r="745" spans="1:185" ht="12.95" customHeight="1">
      <c r="B745" s="1361"/>
      <c r="C745" s="1362"/>
      <c r="D745" s="1362"/>
      <c r="E745" s="1362"/>
      <c r="F745" s="1363"/>
      <c r="G745" s="1370"/>
      <c r="H745" s="1371"/>
      <c r="I745" s="1371"/>
      <c r="J745" s="1372"/>
      <c r="K745" s="1607"/>
      <c r="L745" s="1608"/>
      <c r="M745" s="1608"/>
      <c r="N745" s="1609"/>
      <c r="O745" s="1469"/>
      <c r="P745" s="1470"/>
      <c r="Q745" s="1470"/>
      <c r="R745" s="1470"/>
      <c r="S745" s="1471"/>
      <c r="T745" s="1469"/>
      <c r="U745" s="1470"/>
      <c r="V745" s="1470"/>
      <c r="W745" s="1471"/>
      <c r="X745" s="1364">
        <f t="shared" si="40"/>
        <v>0</v>
      </c>
      <c r="Y745" s="1365"/>
      <c r="Z745" s="1365"/>
      <c r="AA745" s="1365"/>
      <c r="AB745" s="1366"/>
      <c r="AC745" s="1614"/>
      <c r="AD745" s="1615"/>
      <c r="AE745" s="1615"/>
      <c r="AF745" s="1615"/>
      <c r="AG745" s="1616"/>
      <c r="AH745" s="1367" t="str">
        <f t="shared" si="37"/>
        <v/>
      </c>
      <c r="AI745" s="1368"/>
      <c r="AJ745" s="1369"/>
      <c r="AK745" s="1361" t="s">
        <v>591</v>
      </c>
      <c r="AL745" s="1362"/>
      <c r="AM745" s="1362"/>
      <c r="AN745" s="1362"/>
      <c r="AO745" s="1363"/>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7">
        <f t="shared" si="38"/>
        <v>0</v>
      </c>
      <c r="CH745" s="1359"/>
      <c r="CI745" s="1341">
        <f t="shared" si="39"/>
        <v>0</v>
      </c>
      <c r="CJ745" s="1343"/>
      <c r="CK745" s="1357">
        <f t="shared" si="17"/>
        <v>0</v>
      </c>
      <c r="CL745" s="1359"/>
      <c r="CM745" s="1341">
        <f t="shared" si="18"/>
        <v>0</v>
      </c>
      <c r="CN745" s="1343"/>
      <c r="CO745" s="3"/>
      <c r="CP745" s="1338">
        <f t="shared" si="19"/>
        <v>0</v>
      </c>
      <c r="CQ745" s="1339"/>
      <c r="CR745" s="1339"/>
      <c r="CS745" s="1339"/>
      <c r="CT745" s="1340"/>
      <c r="CU745" s="1360">
        <f t="shared" si="20"/>
        <v>0</v>
      </c>
      <c r="CV745" s="1360"/>
      <c r="CW745" s="1360"/>
      <c r="CX745" s="1360"/>
      <c r="CY745" s="1360"/>
      <c r="CZ745" s="1360">
        <f t="shared" si="21"/>
        <v>0</v>
      </c>
      <c r="DA745" s="1360"/>
      <c r="DB745" s="1360"/>
      <c r="DC745" s="1360"/>
      <c r="DD745" s="1360"/>
      <c r="DE745" s="1360">
        <f t="shared" si="22"/>
        <v>0</v>
      </c>
      <c r="DF745" s="1360"/>
      <c r="DG745" s="1360"/>
      <c r="DH745" s="1360"/>
      <c r="DI745" s="1360"/>
      <c r="DJ745" s="1360">
        <f t="shared" si="23"/>
        <v>0</v>
      </c>
      <c r="DK745" s="1360"/>
      <c r="DL745" s="1360"/>
      <c r="DM745" s="1360"/>
      <c r="DN745" s="1360"/>
      <c r="DO745" s="1360">
        <f t="shared" si="24"/>
        <v>0</v>
      </c>
      <c r="DP745" s="1360"/>
      <c r="DQ745" s="1360"/>
      <c r="DR745" s="1360"/>
      <c r="DS745" s="1360"/>
      <c r="DT745" s="6"/>
      <c r="DU745" s="1374">
        <f t="shared" si="25"/>
        <v>0</v>
      </c>
      <c r="DV745" s="1374"/>
      <c r="DW745" s="1374"/>
      <c r="DX745" s="1374"/>
      <c r="DY745" s="1374"/>
      <c r="DZ745" s="1374">
        <f t="shared" si="26"/>
        <v>0</v>
      </c>
      <c r="EA745" s="1374"/>
      <c r="EB745" s="1374"/>
      <c r="EC745" s="1374"/>
      <c r="ED745" s="1374"/>
      <c r="EE745" s="1374">
        <f t="shared" si="27"/>
        <v>0</v>
      </c>
      <c r="EF745" s="1374"/>
      <c r="EG745" s="1374"/>
      <c r="EH745" s="1374"/>
      <c r="EI745" s="1374"/>
      <c r="EJ745" s="1374">
        <f t="shared" si="28"/>
        <v>0</v>
      </c>
      <c r="EK745" s="1374"/>
      <c r="EL745" s="1374"/>
      <c r="EM745" s="1374"/>
      <c r="EN745" s="1374"/>
      <c r="EO745" s="1374">
        <f t="shared" si="29"/>
        <v>0</v>
      </c>
      <c r="EP745" s="1374"/>
      <c r="EQ745" s="1374"/>
      <c r="ER745" s="1374"/>
      <c r="ES745" s="1374"/>
      <c r="ET745" s="1374">
        <f t="shared" si="30"/>
        <v>0</v>
      </c>
      <c r="EU745" s="1374"/>
      <c r="EV745" s="1374"/>
      <c r="EW745" s="1374"/>
      <c r="EX745" s="1374"/>
      <c r="EZ745" s="1357" t="str">
        <f t="shared" si="31"/>
        <v/>
      </c>
      <c r="FA745" s="1358"/>
      <c r="FB745" s="1358"/>
      <c r="FC745" s="1358"/>
      <c r="FD745" s="1359"/>
      <c r="FE745" s="1357" t="str">
        <f t="shared" si="32"/>
        <v/>
      </c>
      <c r="FF745" s="1358"/>
      <c r="FG745" s="1358"/>
      <c r="FH745" s="1358"/>
      <c r="FI745" s="1359"/>
      <c r="FJ745" s="1357" t="str">
        <f t="shared" si="33"/>
        <v/>
      </c>
      <c r="FK745" s="1358"/>
      <c r="FL745" s="1358"/>
      <c r="FM745" s="1358"/>
      <c r="FN745" s="1359"/>
      <c r="FO745" s="1357" t="str">
        <f t="shared" si="34"/>
        <v/>
      </c>
      <c r="FP745" s="1358"/>
      <c r="FQ745" s="1358"/>
      <c r="FR745" s="1358"/>
      <c r="FS745" s="1359"/>
      <c r="FT745" s="1357" t="str">
        <f t="shared" si="35"/>
        <v/>
      </c>
      <c r="FU745" s="1358"/>
      <c r="FV745" s="1358"/>
      <c r="FW745" s="1358"/>
      <c r="FX745" s="1359"/>
      <c r="FY745" s="1357" t="str">
        <f t="shared" si="36"/>
        <v/>
      </c>
      <c r="FZ745" s="1358"/>
      <c r="GA745" s="1358"/>
      <c r="GB745" s="1358"/>
      <c r="GC745" s="1359"/>
    </row>
    <row r="746" spans="1:185" ht="12.95" customHeight="1">
      <c r="B746" s="1361"/>
      <c r="C746" s="1362"/>
      <c r="D746" s="1362"/>
      <c r="E746" s="1362"/>
      <c r="F746" s="1363"/>
      <c r="G746" s="1370"/>
      <c r="H746" s="1371"/>
      <c r="I746" s="1371"/>
      <c r="J746" s="1372"/>
      <c r="K746" s="1607"/>
      <c r="L746" s="1608"/>
      <c r="M746" s="1608"/>
      <c r="N746" s="1609"/>
      <c r="O746" s="1469"/>
      <c r="P746" s="1470"/>
      <c r="Q746" s="1470"/>
      <c r="R746" s="1470"/>
      <c r="S746" s="1471"/>
      <c r="T746" s="1469"/>
      <c r="U746" s="1470"/>
      <c r="V746" s="1470"/>
      <c r="W746" s="1471"/>
      <c r="X746" s="1364">
        <f t="shared" si="40"/>
        <v>0</v>
      </c>
      <c r="Y746" s="1365"/>
      <c r="Z746" s="1365"/>
      <c r="AA746" s="1365"/>
      <c r="AB746" s="1366"/>
      <c r="AC746" s="1614"/>
      <c r="AD746" s="1615"/>
      <c r="AE746" s="1615"/>
      <c r="AF746" s="1615"/>
      <c r="AG746" s="1616"/>
      <c r="AH746" s="1367" t="str">
        <f t="shared" si="37"/>
        <v/>
      </c>
      <c r="AI746" s="1368"/>
      <c r="AJ746" s="1369"/>
      <c r="AK746" s="1361" t="s">
        <v>591</v>
      </c>
      <c r="AL746" s="1362"/>
      <c r="AM746" s="1362"/>
      <c r="AN746" s="1362"/>
      <c r="AO746" s="1363"/>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357">
        <f t="shared" si="38"/>
        <v>0</v>
      </c>
      <c r="CH746" s="1359"/>
      <c r="CI746" s="1341">
        <f t="shared" si="39"/>
        <v>0</v>
      </c>
      <c r="CJ746" s="1343"/>
      <c r="CK746" s="1357">
        <f t="shared" si="17"/>
        <v>0</v>
      </c>
      <c r="CL746" s="1359"/>
      <c r="CM746" s="1341">
        <f t="shared" si="18"/>
        <v>0</v>
      </c>
      <c r="CN746" s="1343"/>
      <c r="CO746" s="3"/>
      <c r="CP746" s="1338">
        <f t="shared" si="19"/>
        <v>0</v>
      </c>
      <c r="CQ746" s="1339"/>
      <c r="CR746" s="1339"/>
      <c r="CS746" s="1339"/>
      <c r="CT746" s="1340"/>
      <c r="CU746" s="1360">
        <f t="shared" si="20"/>
        <v>0</v>
      </c>
      <c r="CV746" s="1360"/>
      <c r="CW746" s="1360"/>
      <c r="CX746" s="1360"/>
      <c r="CY746" s="1360"/>
      <c r="CZ746" s="1360">
        <f t="shared" si="21"/>
        <v>0</v>
      </c>
      <c r="DA746" s="1360"/>
      <c r="DB746" s="1360"/>
      <c r="DC746" s="1360"/>
      <c r="DD746" s="1360"/>
      <c r="DE746" s="1360">
        <f t="shared" si="22"/>
        <v>0</v>
      </c>
      <c r="DF746" s="1360"/>
      <c r="DG746" s="1360"/>
      <c r="DH746" s="1360"/>
      <c r="DI746" s="1360"/>
      <c r="DJ746" s="1360">
        <f t="shared" si="23"/>
        <v>0</v>
      </c>
      <c r="DK746" s="1360"/>
      <c r="DL746" s="1360"/>
      <c r="DM746" s="1360"/>
      <c r="DN746" s="1360"/>
      <c r="DO746" s="1360">
        <f t="shared" si="24"/>
        <v>0</v>
      </c>
      <c r="DP746" s="1360"/>
      <c r="DQ746" s="1360"/>
      <c r="DR746" s="1360"/>
      <c r="DS746" s="1360"/>
      <c r="DT746" s="6"/>
      <c r="DU746" s="1374">
        <f t="shared" si="25"/>
        <v>0</v>
      </c>
      <c r="DV746" s="1374"/>
      <c r="DW746" s="1374"/>
      <c r="DX746" s="1374"/>
      <c r="DY746" s="1374"/>
      <c r="DZ746" s="1374">
        <f t="shared" si="26"/>
        <v>0</v>
      </c>
      <c r="EA746" s="1374"/>
      <c r="EB746" s="1374"/>
      <c r="EC746" s="1374"/>
      <c r="ED746" s="1374"/>
      <c r="EE746" s="1374">
        <f t="shared" si="27"/>
        <v>0</v>
      </c>
      <c r="EF746" s="1374"/>
      <c r="EG746" s="1374"/>
      <c r="EH746" s="1374"/>
      <c r="EI746" s="1374"/>
      <c r="EJ746" s="1374">
        <f t="shared" si="28"/>
        <v>0</v>
      </c>
      <c r="EK746" s="1374"/>
      <c r="EL746" s="1374"/>
      <c r="EM746" s="1374"/>
      <c r="EN746" s="1374"/>
      <c r="EO746" s="1374">
        <f t="shared" si="29"/>
        <v>0</v>
      </c>
      <c r="EP746" s="1374"/>
      <c r="EQ746" s="1374"/>
      <c r="ER746" s="1374"/>
      <c r="ES746" s="1374"/>
      <c r="ET746" s="1374">
        <f t="shared" si="30"/>
        <v>0</v>
      </c>
      <c r="EU746" s="1374"/>
      <c r="EV746" s="1374"/>
      <c r="EW746" s="1374"/>
      <c r="EX746" s="1374"/>
      <c r="EZ746" s="1357" t="str">
        <f t="shared" si="31"/>
        <v/>
      </c>
      <c r="FA746" s="1358"/>
      <c r="FB746" s="1358"/>
      <c r="FC746" s="1358"/>
      <c r="FD746" s="1359"/>
      <c r="FE746" s="1357" t="str">
        <f t="shared" si="32"/>
        <v/>
      </c>
      <c r="FF746" s="1358"/>
      <c r="FG746" s="1358"/>
      <c r="FH746" s="1358"/>
      <c r="FI746" s="1359"/>
      <c r="FJ746" s="1357" t="str">
        <f t="shared" si="33"/>
        <v/>
      </c>
      <c r="FK746" s="1358"/>
      <c r="FL746" s="1358"/>
      <c r="FM746" s="1358"/>
      <c r="FN746" s="1359"/>
      <c r="FO746" s="1357" t="str">
        <f t="shared" si="34"/>
        <v/>
      </c>
      <c r="FP746" s="1358"/>
      <c r="FQ746" s="1358"/>
      <c r="FR746" s="1358"/>
      <c r="FS746" s="1359"/>
      <c r="FT746" s="1357" t="str">
        <f t="shared" si="35"/>
        <v/>
      </c>
      <c r="FU746" s="1358"/>
      <c r="FV746" s="1358"/>
      <c r="FW746" s="1358"/>
      <c r="FX746" s="1359"/>
      <c r="FY746" s="1357" t="str">
        <f t="shared" si="36"/>
        <v/>
      </c>
      <c r="FZ746" s="1358"/>
      <c r="GA746" s="1358"/>
      <c r="GB746" s="1358"/>
      <c r="GC746" s="1359"/>
    </row>
    <row r="747" spans="1:185" ht="12.95" customHeight="1">
      <c r="B747" s="1361"/>
      <c r="C747" s="1362"/>
      <c r="D747" s="1362"/>
      <c r="E747" s="1362"/>
      <c r="F747" s="1363"/>
      <c r="G747" s="1370"/>
      <c r="H747" s="1371"/>
      <c r="I747" s="1371"/>
      <c r="J747" s="1372"/>
      <c r="K747" s="1607"/>
      <c r="L747" s="1608"/>
      <c r="M747" s="1608"/>
      <c r="N747" s="1609"/>
      <c r="O747" s="1469"/>
      <c r="P747" s="1470"/>
      <c r="Q747" s="1470"/>
      <c r="R747" s="1470"/>
      <c r="S747" s="1471"/>
      <c r="T747" s="1469"/>
      <c r="U747" s="1470"/>
      <c r="V747" s="1470"/>
      <c r="W747" s="1471"/>
      <c r="X747" s="1364">
        <f t="shared" si="40"/>
        <v>0</v>
      </c>
      <c r="Y747" s="1365"/>
      <c r="Z747" s="1365"/>
      <c r="AA747" s="1365"/>
      <c r="AB747" s="1366"/>
      <c r="AC747" s="1614"/>
      <c r="AD747" s="1615"/>
      <c r="AE747" s="1615"/>
      <c r="AF747" s="1615"/>
      <c r="AG747" s="1616"/>
      <c r="AH747" s="1367" t="str">
        <f t="shared" si="37"/>
        <v/>
      </c>
      <c r="AI747" s="1368"/>
      <c r="AJ747" s="1369"/>
      <c r="AK747" s="1361" t="s">
        <v>591</v>
      </c>
      <c r="AL747" s="1362"/>
      <c r="AM747" s="1362"/>
      <c r="AN747" s="1362"/>
      <c r="AO747" s="1363"/>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357">
        <f t="shared" si="38"/>
        <v>0</v>
      </c>
      <c r="CH747" s="1359"/>
      <c r="CI747" s="1341">
        <f t="shared" si="39"/>
        <v>0</v>
      </c>
      <c r="CJ747" s="1343"/>
      <c r="CK747" s="1357">
        <f t="shared" si="17"/>
        <v>0</v>
      </c>
      <c r="CL747" s="1359"/>
      <c r="CM747" s="1341">
        <f t="shared" si="18"/>
        <v>0</v>
      </c>
      <c r="CN747" s="1343"/>
      <c r="CO747" s="3"/>
      <c r="CP747" s="1338">
        <f t="shared" si="19"/>
        <v>0</v>
      </c>
      <c r="CQ747" s="1339"/>
      <c r="CR747" s="1339"/>
      <c r="CS747" s="1339"/>
      <c r="CT747" s="1340"/>
      <c r="CU747" s="1360">
        <f t="shared" si="20"/>
        <v>0</v>
      </c>
      <c r="CV747" s="1360"/>
      <c r="CW747" s="1360"/>
      <c r="CX747" s="1360"/>
      <c r="CY747" s="1360"/>
      <c r="CZ747" s="1360">
        <f t="shared" si="21"/>
        <v>0</v>
      </c>
      <c r="DA747" s="1360"/>
      <c r="DB747" s="1360"/>
      <c r="DC747" s="1360"/>
      <c r="DD747" s="1360"/>
      <c r="DE747" s="1360">
        <f t="shared" si="22"/>
        <v>0</v>
      </c>
      <c r="DF747" s="1360"/>
      <c r="DG747" s="1360"/>
      <c r="DH747" s="1360"/>
      <c r="DI747" s="1360"/>
      <c r="DJ747" s="1360">
        <f t="shared" si="23"/>
        <v>0</v>
      </c>
      <c r="DK747" s="1360"/>
      <c r="DL747" s="1360"/>
      <c r="DM747" s="1360"/>
      <c r="DN747" s="1360"/>
      <c r="DO747" s="1360">
        <f t="shared" si="24"/>
        <v>0</v>
      </c>
      <c r="DP747" s="1360"/>
      <c r="DQ747" s="1360"/>
      <c r="DR747" s="1360"/>
      <c r="DS747" s="1360"/>
      <c r="DT747" s="6"/>
      <c r="DU747" s="1374">
        <f t="shared" si="25"/>
        <v>0</v>
      </c>
      <c r="DV747" s="1374"/>
      <c r="DW747" s="1374"/>
      <c r="DX747" s="1374"/>
      <c r="DY747" s="1374"/>
      <c r="DZ747" s="1374">
        <f t="shared" si="26"/>
        <v>0</v>
      </c>
      <c r="EA747" s="1374"/>
      <c r="EB747" s="1374"/>
      <c r="EC747" s="1374"/>
      <c r="ED747" s="1374"/>
      <c r="EE747" s="1374">
        <f t="shared" si="27"/>
        <v>0</v>
      </c>
      <c r="EF747" s="1374"/>
      <c r="EG747" s="1374"/>
      <c r="EH747" s="1374"/>
      <c r="EI747" s="1374"/>
      <c r="EJ747" s="1374">
        <f t="shared" si="28"/>
        <v>0</v>
      </c>
      <c r="EK747" s="1374"/>
      <c r="EL747" s="1374"/>
      <c r="EM747" s="1374"/>
      <c r="EN747" s="1374"/>
      <c r="EO747" s="1374">
        <f t="shared" si="29"/>
        <v>0</v>
      </c>
      <c r="EP747" s="1374"/>
      <c r="EQ747" s="1374"/>
      <c r="ER747" s="1374"/>
      <c r="ES747" s="1374"/>
      <c r="ET747" s="1374">
        <f t="shared" si="30"/>
        <v>0</v>
      </c>
      <c r="EU747" s="1374"/>
      <c r="EV747" s="1374"/>
      <c r="EW747" s="1374"/>
      <c r="EX747" s="1374"/>
      <c r="EZ747" s="1357" t="str">
        <f t="shared" si="31"/>
        <v/>
      </c>
      <c r="FA747" s="1358"/>
      <c r="FB747" s="1358"/>
      <c r="FC747" s="1358"/>
      <c r="FD747" s="1359"/>
      <c r="FE747" s="1357" t="str">
        <f t="shared" si="32"/>
        <v/>
      </c>
      <c r="FF747" s="1358"/>
      <c r="FG747" s="1358"/>
      <c r="FH747" s="1358"/>
      <c r="FI747" s="1359"/>
      <c r="FJ747" s="1357" t="str">
        <f t="shared" si="33"/>
        <v/>
      </c>
      <c r="FK747" s="1358"/>
      <c r="FL747" s="1358"/>
      <c r="FM747" s="1358"/>
      <c r="FN747" s="1359"/>
      <c r="FO747" s="1357" t="str">
        <f t="shared" si="34"/>
        <v/>
      </c>
      <c r="FP747" s="1358"/>
      <c r="FQ747" s="1358"/>
      <c r="FR747" s="1358"/>
      <c r="FS747" s="1359"/>
      <c r="FT747" s="1357" t="str">
        <f t="shared" si="35"/>
        <v/>
      </c>
      <c r="FU747" s="1358"/>
      <c r="FV747" s="1358"/>
      <c r="FW747" s="1358"/>
      <c r="FX747" s="1359"/>
      <c r="FY747" s="1357" t="str">
        <f t="shared" si="36"/>
        <v/>
      </c>
      <c r="FZ747" s="1358"/>
      <c r="GA747" s="1358"/>
      <c r="GB747" s="1358"/>
      <c r="GC747" s="1359"/>
    </row>
    <row r="748" spans="1:185" s="3" customFormat="1" ht="12.95" customHeight="1">
      <c r="A748"/>
      <c r="B748" s="1361"/>
      <c r="C748" s="1362"/>
      <c r="D748" s="1362"/>
      <c r="E748" s="1362"/>
      <c r="F748" s="1363"/>
      <c r="G748" s="1370"/>
      <c r="H748" s="1371"/>
      <c r="I748" s="1371"/>
      <c r="J748" s="1372"/>
      <c r="K748" s="1607"/>
      <c r="L748" s="1608"/>
      <c r="M748" s="1608"/>
      <c r="N748" s="1609"/>
      <c r="O748" s="1469"/>
      <c r="P748" s="1470"/>
      <c r="Q748" s="1470"/>
      <c r="R748" s="1470"/>
      <c r="S748" s="1471"/>
      <c r="T748" s="1469"/>
      <c r="U748" s="1470"/>
      <c r="V748" s="1470"/>
      <c r="W748" s="1471"/>
      <c r="X748" s="1364">
        <f t="shared" si="40"/>
        <v>0</v>
      </c>
      <c r="Y748" s="1365"/>
      <c r="Z748" s="1365"/>
      <c r="AA748" s="1365"/>
      <c r="AB748" s="1366"/>
      <c r="AC748" s="1614"/>
      <c r="AD748" s="1615"/>
      <c r="AE748" s="1615"/>
      <c r="AF748" s="1615"/>
      <c r="AG748" s="1616"/>
      <c r="AH748" s="1367" t="str">
        <f t="shared" si="37"/>
        <v/>
      </c>
      <c r="AI748" s="1368"/>
      <c r="AJ748" s="1369"/>
      <c r="AK748" s="1361" t="s">
        <v>591</v>
      </c>
      <c r="AL748" s="1362"/>
      <c r="AM748" s="1362"/>
      <c r="AN748" s="1362"/>
      <c r="AO748" s="1363"/>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357">
        <f t="shared" si="38"/>
        <v>0</v>
      </c>
      <c r="CH748" s="1359"/>
      <c r="CI748" s="1341">
        <f t="shared" si="39"/>
        <v>0</v>
      </c>
      <c r="CJ748" s="1343"/>
      <c r="CK748" s="1357">
        <f t="shared" si="17"/>
        <v>0</v>
      </c>
      <c r="CL748" s="1359"/>
      <c r="CM748" s="1341">
        <f t="shared" si="18"/>
        <v>0</v>
      </c>
      <c r="CN748" s="1343"/>
      <c r="CP748" s="1338">
        <f t="shared" si="19"/>
        <v>0</v>
      </c>
      <c r="CQ748" s="1339"/>
      <c r="CR748" s="1339"/>
      <c r="CS748" s="1339"/>
      <c r="CT748" s="1340"/>
      <c r="CU748" s="1360">
        <f t="shared" si="20"/>
        <v>0</v>
      </c>
      <c r="CV748" s="1360"/>
      <c r="CW748" s="1360"/>
      <c r="CX748" s="1360"/>
      <c r="CY748" s="1360"/>
      <c r="CZ748" s="1360">
        <f t="shared" si="21"/>
        <v>0</v>
      </c>
      <c r="DA748" s="1360"/>
      <c r="DB748" s="1360"/>
      <c r="DC748" s="1360"/>
      <c r="DD748" s="1360"/>
      <c r="DE748" s="1360">
        <f t="shared" si="22"/>
        <v>0</v>
      </c>
      <c r="DF748" s="1360"/>
      <c r="DG748" s="1360"/>
      <c r="DH748" s="1360"/>
      <c r="DI748" s="1360"/>
      <c r="DJ748" s="1360">
        <f t="shared" si="23"/>
        <v>0</v>
      </c>
      <c r="DK748" s="1360"/>
      <c r="DL748" s="1360"/>
      <c r="DM748" s="1360"/>
      <c r="DN748" s="1360"/>
      <c r="DO748" s="1360">
        <f t="shared" si="24"/>
        <v>0</v>
      </c>
      <c r="DP748" s="1360"/>
      <c r="DQ748" s="1360"/>
      <c r="DR748" s="1360"/>
      <c r="DS748" s="1360"/>
      <c r="DT748" s="6"/>
      <c r="DU748" s="1374">
        <f t="shared" si="25"/>
        <v>0</v>
      </c>
      <c r="DV748" s="1374"/>
      <c r="DW748" s="1374"/>
      <c r="DX748" s="1374"/>
      <c r="DY748" s="1374"/>
      <c r="DZ748" s="1374">
        <f t="shared" si="26"/>
        <v>0</v>
      </c>
      <c r="EA748" s="1374"/>
      <c r="EB748" s="1374"/>
      <c r="EC748" s="1374"/>
      <c r="ED748" s="1374"/>
      <c r="EE748" s="1374">
        <f t="shared" si="27"/>
        <v>0</v>
      </c>
      <c r="EF748" s="1374"/>
      <c r="EG748" s="1374"/>
      <c r="EH748" s="1374"/>
      <c r="EI748" s="1374"/>
      <c r="EJ748" s="1374">
        <f t="shared" si="28"/>
        <v>0</v>
      </c>
      <c r="EK748" s="1374"/>
      <c r="EL748" s="1374"/>
      <c r="EM748" s="1374"/>
      <c r="EN748" s="1374"/>
      <c r="EO748" s="1374">
        <f t="shared" si="29"/>
        <v>0</v>
      </c>
      <c r="EP748" s="1374"/>
      <c r="EQ748" s="1374"/>
      <c r="ER748" s="1374"/>
      <c r="ES748" s="1374"/>
      <c r="ET748" s="1374">
        <f t="shared" si="30"/>
        <v>0</v>
      </c>
      <c r="EU748" s="1374"/>
      <c r="EV748" s="1374"/>
      <c r="EW748" s="1374"/>
      <c r="EX748" s="1374"/>
      <c r="EY748"/>
      <c r="EZ748" s="1357" t="str">
        <f t="shared" si="31"/>
        <v/>
      </c>
      <c r="FA748" s="1358"/>
      <c r="FB748" s="1358"/>
      <c r="FC748" s="1358"/>
      <c r="FD748" s="1359"/>
      <c r="FE748" s="1357" t="str">
        <f t="shared" si="32"/>
        <v/>
      </c>
      <c r="FF748" s="1358"/>
      <c r="FG748" s="1358"/>
      <c r="FH748" s="1358"/>
      <c r="FI748" s="1359"/>
      <c r="FJ748" s="1357" t="str">
        <f t="shared" si="33"/>
        <v/>
      </c>
      <c r="FK748" s="1358"/>
      <c r="FL748" s="1358"/>
      <c r="FM748" s="1358"/>
      <c r="FN748" s="1359"/>
      <c r="FO748" s="1357" t="str">
        <f t="shared" si="34"/>
        <v/>
      </c>
      <c r="FP748" s="1358"/>
      <c r="FQ748" s="1358"/>
      <c r="FR748" s="1358"/>
      <c r="FS748" s="1359"/>
      <c r="FT748" s="1357" t="str">
        <f t="shared" si="35"/>
        <v/>
      </c>
      <c r="FU748" s="1358"/>
      <c r="FV748" s="1358"/>
      <c r="FW748" s="1358"/>
      <c r="FX748" s="1359"/>
      <c r="FY748" s="1357" t="str">
        <f t="shared" si="36"/>
        <v/>
      </c>
      <c r="FZ748" s="1358"/>
      <c r="GA748" s="1358"/>
      <c r="GB748" s="1358"/>
      <c r="GC748" s="1359"/>
    </row>
    <row r="749" spans="1:185" s="3" customFormat="1" ht="12.95" customHeight="1">
      <c r="A749"/>
      <c r="B749" s="1361"/>
      <c r="C749" s="1362"/>
      <c r="D749" s="1362"/>
      <c r="E749" s="1362"/>
      <c r="F749" s="1363"/>
      <c r="G749" s="1370"/>
      <c r="H749" s="1371"/>
      <c r="I749" s="1371"/>
      <c r="J749" s="1372"/>
      <c r="K749" s="1607"/>
      <c r="L749" s="1608"/>
      <c r="M749" s="1608"/>
      <c r="N749" s="1609"/>
      <c r="O749" s="1469"/>
      <c r="P749" s="1470"/>
      <c r="Q749" s="1470"/>
      <c r="R749" s="1470"/>
      <c r="S749" s="1471"/>
      <c r="T749" s="1469"/>
      <c r="U749" s="1470"/>
      <c r="V749" s="1470"/>
      <c r="W749" s="1471"/>
      <c r="X749" s="1364">
        <f t="shared" si="40"/>
        <v>0</v>
      </c>
      <c r="Y749" s="1365"/>
      <c r="Z749" s="1365"/>
      <c r="AA749" s="1365"/>
      <c r="AB749" s="1366"/>
      <c r="AC749" s="1614"/>
      <c r="AD749" s="1615"/>
      <c r="AE749" s="1615"/>
      <c r="AF749" s="1615"/>
      <c r="AG749" s="1616"/>
      <c r="AH749" s="1367" t="str">
        <f t="shared" si="37"/>
        <v/>
      </c>
      <c r="AI749" s="1368"/>
      <c r="AJ749" s="1369"/>
      <c r="AK749" s="1361" t="s">
        <v>591</v>
      </c>
      <c r="AL749" s="1362"/>
      <c r="AM749" s="1362"/>
      <c r="AN749" s="1362"/>
      <c r="AO749" s="1363"/>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357">
        <f t="shared" si="38"/>
        <v>0</v>
      </c>
      <c r="CH749" s="1359"/>
      <c r="CI749" s="1341">
        <f t="shared" si="39"/>
        <v>0</v>
      </c>
      <c r="CJ749" s="1343"/>
      <c r="CK749" s="1357">
        <f t="shared" si="17"/>
        <v>0</v>
      </c>
      <c r="CL749" s="1359"/>
      <c r="CM749" s="1341">
        <f t="shared" si="18"/>
        <v>0</v>
      </c>
      <c r="CN749" s="1343"/>
      <c r="CP749" s="1338">
        <f t="shared" si="19"/>
        <v>0</v>
      </c>
      <c r="CQ749" s="1339"/>
      <c r="CR749" s="1339"/>
      <c r="CS749" s="1339"/>
      <c r="CT749" s="1340"/>
      <c r="CU749" s="1360">
        <f t="shared" si="20"/>
        <v>0</v>
      </c>
      <c r="CV749" s="1360"/>
      <c r="CW749" s="1360"/>
      <c r="CX749" s="1360"/>
      <c r="CY749" s="1360"/>
      <c r="CZ749" s="1360">
        <f t="shared" si="21"/>
        <v>0</v>
      </c>
      <c r="DA749" s="1360"/>
      <c r="DB749" s="1360"/>
      <c r="DC749" s="1360"/>
      <c r="DD749" s="1360"/>
      <c r="DE749" s="1360">
        <f t="shared" si="22"/>
        <v>0</v>
      </c>
      <c r="DF749" s="1360"/>
      <c r="DG749" s="1360"/>
      <c r="DH749" s="1360"/>
      <c r="DI749" s="1360"/>
      <c r="DJ749" s="1360">
        <f t="shared" si="23"/>
        <v>0</v>
      </c>
      <c r="DK749" s="1360"/>
      <c r="DL749" s="1360"/>
      <c r="DM749" s="1360"/>
      <c r="DN749" s="1360"/>
      <c r="DO749" s="1360">
        <f t="shared" si="24"/>
        <v>0</v>
      </c>
      <c r="DP749" s="1360"/>
      <c r="DQ749" s="1360"/>
      <c r="DR749" s="1360"/>
      <c r="DS749" s="1360"/>
      <c r="DT749" s="6"/>
      <c r="DU749" s="1374">
        <f t="shared" si="25"/>
        <v>0</v>
      </c>
      <c r="DV749" s="1374"/>
      <c r="DW749" s="1374"/>
      <c r="DX749" s="1374"/>
      <c r="DY749" s="1374"/>
      <c r="DZ749" s="1374">
        <f t="shared" si="26"/>
        <v>0</v>
      </c>
      <c r="EA749" s="1374"/>
      <c r="EB749" s="1374"/>
      <c r="EC749" s="1374"/>
      <c r="ED749" s="1374"/>
      <c r="EE749" s="1374">
        <f t="shared" si="27"/>
        <v>0</v>
      </c>
      <c r="EF749" s="1374"/>
      <c r="EG749" s="1374"/>
      <c r="EH749" s="1374"/>
      <c r="EI749" s="1374"/>
      <c r="EJ749" s="1374">
        <f t="shared" si="28"/>
        <v>0</v>
      </c>
      <c r="EK749" s="1374"/>
      <c r="EL749" s="1374"/>
      <c r="EM749" s="1374"/>
      <c r="EN749" s="1374"/>
      <c r="EO749" s="1374">
        <f t="shared" si="29"/>
        <v>0</v>
      </c>
      <c r="EP749" s="1374"/>
      <c r="EQ749" s="1374"/>
      <c r="ER749" s="1374"/>
      <c r="ES749" s="1374"/>
      <c r="ET749" s="1374">
        <f t="shared" si="30"/>
        <v>0</v>
      </c>
      <c r="EU749" s="1374"/>
      <c r="EV749" s="1374"/>
      <c r="EW749" s="1374"/>
      <c r="EX749" s="1374"/>
      <c r="EY749"/>
      <c r="EZ749" s="1357" t="str">
        <f t="shared" si="31"/>
        <v/>
      </c>
      <c r="FA749" s="1358"/>
      <c r="FB749" s="1358"/>
      <c r="FC749" s="1358"/>
      <c r="FD749" s="1359"/>
      <c r="FE749" s="1357" t="str">
        <f t="shared" si="32"/>
        <v/>
      </c>
      <c r="FF749" s="1358"/>
      <c r="FG749" s="1358"/>
      <c r="FH749" s="1358"/>
      <c r="FI749" s="1359"/>
      <c r="FJ749" s="1357" t="str">
        <f t="shared" si="33"/>
        <v/>
      </c>
      <c r="FK749" s="1358"/>
      <c r="FL749" s="1358"/>
      <c r="FM749" s="1358"/>
      <c r="FN749" s="1359"/>
      <c r="FO749" s="1357" t="str">
        <f t="shared" si="34"/>
        <v/>
      </c>
      <c r="FP749" s="1358"/>
      <c r="FQ749" s="1358"/>
      <c r="FR749" s="1358"/>
      <c r="FS749" s="1359"/>
      <c r="FT749" s="1357" t="str">
        <f t="shared" si="35"/>
        <v/>
      </c>
      <c r="FU749" s="1358"/>
      <c r="FV749" s="1358"/>
      <c r="FW749" s="1358"/>
      <c r="FX749" s="1359"/>
      <c r="FY749" s="1357" t="str">
        <f t="shared" si="36"/>
        <v/>
      </c>
      <c r="FZ749" s="1358"/>
      <c r="GA749" s="1358"/>
      <c r="GB749" s="1358"/>
      <c r="GC749" s="1359"/>
    </row>
    <row r="750" spans="1:185" s="3" customFormat="1" ht="12.95" customHeight="1">
      <c r="A750"/>
      <c r="B750" s="1361"/>
      <c r="C750" s="1362"/>
      <c r="D750" s="1362"/>
      <c r="E750" s="1362"/>
      <c r="F750" s="1363"/>
      <c r="G750" s="1370"/>
      <c r="H750" s="1371"/>
      <c r="I750" s="1371"/>
      <c r="J750" s="1372"/>
      <c r="K750" s="1607"/>
      <c r="L750" s="1608"/>
      <c r="M750" s="1608"/>
      <c r="N750" s="1609"/>
      <c r="O750" s="1469"/>
      <c r="P750" s="1470"/>
      <c r="Q750" s="1470"/>
      <c r="R750" s="1470"/>
      <c r="S750" s="1471"/>
      <c r="T750" s="1469"/>
      <c r="U750" s="1470"/>
      <c r="V750" s="1470"/>
      <c r="W750" s="1471"/>
      <c r="X750" s="1364">
        <f t="shared" si="40"/>
        <v>0</v>
      </c>
      <c r="Y750" s="1365"/>
      <c r="Z750" s="1365"/>
      <c r="AA750" s="1365"/>
      <c r="AB750" s="1366"/>
      <c r="AC750" s="1614"/>
      <c r="AD750" s="1615"/>
      <c r="AE750" s="1615"/>
      <c r="AF750" s="1615"/>
      <c r="AG750" s="1616"/>
      <c r="AH750" s="1367" t="str">
        <f t="shared" si="37"/>
        <v/>
      </c>
      <c r="AI750" s="1368"/>
      <c r="AJ750" s="1369"/>
      <c r="AK750" s="1361" t="s">
        <v>591</v>
      </c>
      <c r="AL750" s="1362"/>
      <c r="AM750" s="1362"/>
      <c r="AN750" s="1362"/>
      <c r="AO750" s="1363"/>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357">
        <f t="shared" si="38"/>
        <v>0</v>
      </c>
      <c r="CH750" s="1359"/>
      <c r="CI750" s="1341">
        <f t="shared" si="39"/>
        <v>0</v>
      </c>
      <c r="CJ750" s="1343"/>
      <c r="CK750" s="1357">
        <f t="shared" si="17"/>
        <v>0</v>
      </c>
      <c r="CL750" s="1359"/>
      <c r="CM750" s="1341">
        <f t="shared" si="18"/>
        <v>0</v>
      </c>
      <c r="CN750" s="1343"/>
      <c r="CP750" s="1338">
        <f t="shared" si="19"/>
        <v>0</v>
      </c>
      <c r="CQ750" s="1339"/>
      <c r="CR750" s="1339"/>
      <c r="CS750" s="1339"/>
      <c r="CT750" s="1340"/>
      <c r="CU750" s="1360">
        <f t="shared" si="20"/>
        <v>0</v>
      </c>
      <c r="CV750" s="1360"/>
      <c r="CW750" s="1360"/>
      <c r="CX750" s="1360"/>
      <c r="CY750" s="1360"/>
      <c r="CZ750" s="1360">
        <f t="shared" si="21"/>
        <v>0</v>
      </c>
      <c r="DA750" s="1360"/>
      <c r="DB750" s="1360"/>
      <c r="DC750" s="1360"/>
      <c r="DD750" s="1360"/>
      <c r="DE750" s="1360">
        <f t="shared" si="22"/>
        <v>0</v>
      </c>
      <c r="DF750" s="1360"/>
      <c r="DG750" s="1360"/>
      <c r="DH750" s="1360"/>
      <c r="DI750" s="1360"/>
      <c r="DJ750" s="1360">
        <f t="shared" si="23"/>
        <v>0</v>
      </c>
      <c r="DK750" s="1360"/>
      <c r="DL750" s="1360"/>
      <c r="DM750" s="1360"/>
      <c r="DN750" s="1360"/>
      <c r="DO750" s="1360">
        <f t="shared" si="24"/>
        <v>0</v>
      </c>
      <c r="DP750" s="1360"/>
      <c r="DQ750" s="1360"/>
      <c r="DR750" s="1360"/>
      <c r="DS750" s="1360"/>
      <c r="DT750" s="6"/>
      <c r="DU750" s="1374">
        <f t="shared" si="25"/>
        <v>0</v>
      </c>
      <c r="DV750" s="1374"/>
      <c r="DW750" s="1374"/>
      <c r="DX750" s="1374"/>
      <c r="DY750" s="1374"/>
      <c r="DZ750" s="1374">
        <f t="shared" si="26"/>
        <v>0</v>
      </c>
      <c r="EA750" s="1374"/>
      <c r="EB750" s="1374"/>
      <c r="EC750" s="1374"/>
      <c r="ED750" s="1374"/>
      <c r="EE750" s="1374">
        <f t="shared" si="27"/>
        <v>0</v>
      </c>
      <c r="EF750" s="1374"/>
      <c r="EG750" s="1374"/>
      <c r="EH750" s="1374"/>
      <c r="EI750" s="1374"/>
      <c r="EJ750" s="1374">
        <f t="shared" si="28"/>
        <v>0</v>
      </c>
      <c r="EK750" s="1374"/>
      <c r="EL750" s="1374"/>
      <c r="EM750" s="1374"/>
      <c r="EN750" s="1374"/>
      <c r="EO750" s="1374">
        <f t="shared" si="29"/>
        <v>0</v>
      </c>
      <c r="EP750" s="1374"/>
      <c r="EQ750" s="1374"/>
      <c r="ER750" s="1374"/>
      <c r="ES750" s="1374"/>
      <c r="ET750" s="1374">
        <f t="shared" si="30"/>
        <v>0</v>
      </c>
      <c r="EU750" s="1374"/>
      <c r="EV750" s="1374"/>
      <c r="EW750" s="1374"/>
      <c r="EX750" s="1374"/>
      <c r="EY750"/>
      <c r="EZ750" s="1357" t="str">
        <f t="shared" si="31"/>
        <v/>
      </c>
      <c r="FA750" s="1358"/>
      <c r="FB750" s="1358"/>
      <c r="FC750" s="1358"/>
      <c r="FD750" s="1359"/>
      <c r="FE750" s="1357" t="str">
        <f t="shared" si="32"/>
        <v/>
      </c>
      <c r="FF750" s="1358"/>
      <c r="FG750" s="1358"/>
      <c r="FH750" s="1358"/>
      <c r="FI750" s="1359"/>
      <c r="FJ750" s="1357" t="str">
        <f t="shared" si="33"/>
        <v/>
      </c>
      <c r="FK750" s="1358"/>
      <c r="FL750" s="1358"/>
      <c r="FM750" s="1358"/>
      <c r="FN750" s="1359"/>
      <c r="FO750" s="1357" t="str">
        <f t="shared" si="34"/>
        <v/>
      </c>
      <c r="FP750" s="1358"/>
      <c r="FQ750" s="1358"/>
      <c r="FR750" s="1358"/>
      <c r="FS750" s="1359"/>
      <c r="FT750" s="1357" t="str">
        <f t="shared" si="35"/>
        <v/>
      </c>
      <c r="FU750" s="1358"/>
      <c r="FV750" s="1358"/>
      <c r="FW750" s="1358"/>
      <c r="FX750" s="1359"/>
      <c r="FY750" s="1357" t="str">
        <f t="shared" si="36"/>
        <v/>
      </c>
      <c r="FZ750" s="1358"/>
      <c r="GA750" s="1358"/>
      <c r="GB750" s="1358"/>
      <c r="GC750" s="1359"/>
    </row>
    <row r="751" spans="1:185" s="3" customFormat="1" ht="12.95" customHeight="1">
      <c r="A751"/>
      <c r="B751" s="1361"/>
      <c r="C751" s="1362"/>
      <c r="D751" s="1362"/>
      <c r="E751" s="1362"/>
      <c r="F751" s="1363"/>
      <c r="G751" s="1370"/>
      <c r="H751" s="1371"/>
      <c r="I751" s="1371"/>
      <c r="J751" s="1372"/>
      <c r="K751" s="1607"/>
      <c r="L751" s="1608"/>
      <c r="M751" s="1608"/>
      <c r="N751" s="1609"/>
      <c r="O751" s="1469"/>
      <c r="P751" s="1470"/>
      <c r="Q751" s="1470"/>
      <c r="R751" s="1470"/>
      <c r="S751" s="1471"/>
      <c r="T751" s="1469"/>
      <c r="U751" s="1470"/>
      <c r="V751" s="1470"/>
      <c r="W751" s="1471"/>
      <c r="X751" s="1364">
        <f t="shared" si="40"/>
        <v>0</v>
      </c>
      <c r="Y751" s="1365"/>
      <c r="Z751" s="1365"/>
      <c r="AA751" s="1365"/>
      <c r="AB751" s="1366"/>
      <c r="AC751" s="1614"/>
      <c r="AD751" s="1615"/>
      <c r="AE751" s="1615"/>
      <c r="AF751" s="1615"/>
      <c r="AG751" s="1616"/>
      <c r="AH751" s="1367" t="str">
        <f t="shared" si="37"/>
        <v/>
      </c>
      <c r="AI751" s="1368"/>
      <c r="AJ751" s="1369"/>
      <c r="AK751" s="1361" t="s">
        <v>591</v>
      </c>
      <c r="AL751" s="1362"/>
      <c r="AM751" s="1362"/>
      <c r="AN751" s="1362"/>
      <c r="AO751" s="1363"/>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357">
        <f t="shared" si="38"/>
        <v>0</v>
      </c>
      <c r="CH751" s="1359"/>
      <c r="CI751" s="1341">
        <f t="shared" si="39"/>
        <v>0</v>
      </c>
      <c r="CJ751" s="1343"/>
      <c r="CK751" s="1357">
        <f t="shared" si="17"/>
        <v>0</v>
      </c>
      <c r="CL751" s="1359"/>
      <c r="CM751" s="1341">
        <f t="shared" si="18"/>
        <v>0</v>
      </c>
      <c r="CN751" s="1343"/>
      <c r="CP751" s="1338">
        <f t="shared" si="19"/>
        <v>0</v>
      </c>
      <c r="CQ751" s="1339"/>
      <c r="CR751" s="1339"/>
      <c r="CS751" s="1339"/>
      <c r="CT751" s="1340"/>
      <c r="CU751" s="1360">
        <f t="shared" si="20"/>
        <v>0</v>
      </c>
      <c r="CV751" s="1360"/>
      <c r="CW751" s="1360"/>
      <c r="CX751" s="1360"/>
      <c r="CY751" s="1360"/>
      <c r="CZ751" s="1360">
        <f t="shared" si="21"/>
        <v>0</v>
      </c>
      <c r="DA751" s="1360"/>
      <c r="DB751" s="1360"/>
      <c r="DC751" s="1360"/>
      <c r="DD751" s="1360"/>
      <c r="DE751" s="1360">
        <f t="shared" si="22"/>
        <v>0</v>
      </c>
      <c r="DF751" s="1360"/>
      <c r="DG751" s="1360"/>
      <c r="DH751" s="1360"/>
      <c r="DI751" s="1360"/>
      <c r="DJ751" s="1360">
        <f t="shared" si="23"/>
        <v>0</v>
      </c>
      <c r="DK751" s="1360"/>
      <c r="DL751" s="1360"/>
      <c r="DM751" s="1360"/>
      <c r="DN751" s="1360"/>
      <c r="DO751" s="1360">
        <f t="shared" si="24"/>
        <v>0</v>
      </c>
      <c r="DP751" s="1360"/>
      <c r="DQ751" s="1360"/>
      <c r="DR751" s="1360"/>
      <c r="DS751" s="1360"/>
      <c r="DT751" s="6"/>
      <c r="DU751" s="1374">
        <f t="shared" si="25"/>
        <v>0</v>
      </c>
      <c r="DV751" s="1374"/>
      <c r="DW751" s="1374"/>
      <c r="DX751" s="1374"/>
      <c r="DY751" s="1374"/>
      <c r="DZ751" s="1374">
        <f t="shared" si="26"/>
        <v>0</v>
      </c>
      <c r="EA751" s="1374"/>
      <c r="EB751" s="1374"/>
      <c r="EC751" s="1374"/>
      <c r="ED751" s="1374"/>
      <c r="EE751" s="1374">
        <f t="shared" si="27"/>
        <v>0</v>
      </c>
      <c r="EF751" s="1374"/>
      <c r="EG751" s="1374"/>
      <c r="EH751" s="1374"/>
      <c r="EI751" s="1374"/>
      <c r="EJ751" s="1374">
        <f t="shared" si="28"/>
        <v>0</v>
      </c>
      <c r="EK751" s="1374"/>
      <c r="EL751" s="1374"/>
      <c r="EM751" s="1374"/>
      <c r="EN751" s="1374"/>
      <c r="EO751" s="1374">
        <f t="shared" si="29"/>
        <v>0</v>
      </c>
      <c r="EP751" s="1374"/>
      <c r="EQ751" s="1374"/>
      <c r="ER751" s="1374"/>
      <c r="ES751" s="1374"/>
      <c r="ET751" s="1374">
        <f t="shared" si="30"/>
        <v>0</v>
      </c>
      <c r="EU751" s="1374"/>
      <c r="EV751" s="1374"/>
      <c r="EW751" s="1374"/>
      <c r="EX751" s="1374"/>
      <c r="EY751"/>
      <c r="EZ751" s="1357" t="str">
        <f t="shared" si="31"/>
        <v/>
      </c>
      <c r="FA751" s="1358"/>
      <c r="FB751" s="1358"/>
      <c r="FC751" s="1358"/>
      <c r="FD751" s="1359"/>
      <c r="FE751" s="1357" t="str">
        <f t="shared" si="32"/>
        <v/>
      </c>
      <c r="FF751" s="1358"/>
      <c r="FG751" s="1358"/>
      <c r="FH751" s="1358"/>
      <c r="FI751" s="1359"/>
      <c r="FJ751" s="1357" t="str">
        <f t="shared" si="33"/>
        <v/>
      </c>
      <c r="FK751" s="1358"/>
      <c r="FL751" s="1358"/>
      <c r="FM751" s="1358"/>
      <c r="FN751" s="1359"/>
      <c r="FO751" s="1357" t="str">
        <f t="shared" si="34"/>
        <v/>
      </c>
      <c r="FP751" s="1358"/>
      <c r="FQ751" s="1358"/>
      <c r="FR751" s="1358"/>
      <c r="FS751" s="1359"/>
      <c r="FT751" s="1357" t="str">
        <f t="shared" si="35"/>
        <v/>
      </c>
      <c r="FU751" s="1358"/>
      <c r="FV751" s="1358"/>
      <c r="FW751" s="1358"/>
      <c r="FX751" s="1359"/>
      <c r="FY751" s="1357" t="str">
        <f t="shared" si="36"/>
        <v/>
      </c>
      <c r="FZ751" s="1358"/>
      <c r="GA751" s="1358"/>
      <c r="GB751" s="1358"/>
      <c r="GC751" s="1359"/>
    </row>
    <row r="752" spans="1:185" s="3" customFormat="1" ht="12.95" customHeight="1">
      <c r="A752"/>
      <c r="B752" s="1361"/>
      <c r="C752" s="1362"/>
      <c r="D752" s="1362"/>
      <c r="E752" s="1362"/>
      <c r="F752" s="1363"/>
      <c r="G752" s="1370"/>
      <c r="H752" s="1371"/>
      <c r="I752" s="1371"/>
      <c r="J752" s="1372"/>
      <c r="K752" s="1607"/>
      <c r="L752" s="1608"/>
      <c r="M752" s="1608"/>
      <c r="N752" s="1609"/>
      <c r="O752" s="1469"/>
      <c r="P752" s="1470"/>
      <c r="Q752" s="1470"/>
      <c r="R752" s="1470"/>
      <c r="S752" s="1471"/>
      <c r="T752" s="1469"/>
      <c r="U752" s="1470"/>
      <c r="V752" s="1470"/>
      <c r="W752" s="1471"/>
      <c r="X752" s="1364">
        <f>O752+T752</f>
        <v>0</v>
      </c>
      <c r="Y752" s="1365"/>
      <c r="Z752" s="1365"/>
      <c r="AA752" s="1365"/>
      <c r="AB752" s="1366"/>
      <c r="AC752" s="1614"/>
      <c r="AD752" s="1615"/>
      <c r="AE752" s="1615"/>
      <c r="AF752" s="1615"/>
      <c r="AG752" s="1616"/>
      <c r="AH752" s="1367" t="str">
        <f t="shared" si="37"/>
        <v/>
      </c>
      <c r="AI752" s="1368"/>
      <c r="AJ752" s="1369"/>
      <c r="AK752" s="1361" t="s">
        <v>591</v>
      </c>
      <c r="AL752" s="1362"/>
      <c r="AM752" s="1362"/>
      <c r="AN752" s="1362"/>
      <c r="AO752" s="1363"/>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357">
        <f t="shared" si="38"/>
        <v>0</v>
      </c>
      <c r="CH752" s="1359"/>
      <c r="CI752" s="1341">
        <f t="shared" si="39"/>
        <v>0</v>
      </c>
      <c r="CJ752" s="1343"/>
      <c r="CK752" s="1357">
        <f t="shared" si="17"/>
        <v>0</v>
      </c>
      <c r="CL752" s="1359"/>
      <c r="CM752" s="1341">
        <f t="shared" si="18"/>
        <v>0</v>
      </c>
      <c r="CN752" s="1343"/>
      <c r="CP752" s="1338">
        <f t="shared" si="19"/>
        <v>0</v>
      </c>
      <c r="CQ752" s="1339"/>
      <c r="CR752" s="1339"/>
      <c r="CS752" s="1339"/>
      <c r="CT752" s="1340"/>
      <c r="CU752" s="1360">
        <f t="shared" si="20"/>
        <v>0</v>
      </c>
      <c r="CV752" s="1360"/>
      <c r="CW752" s="1360"/>
      <c r="CX752" s="1360"/>
      <c r="CY752" s="1360"/>
      <c r="CZ752" s="1360">
        <f t="shared" si="21"/>
        <v>0</v>
      </c>
      <c r="DA752" s="1360"/>
      <c r="DB752" s="1360"/>
      <c r="DC752" s="1360"/>
      <c r="DD752" s="1360"/>
      <c r="DE752" s="1360">
        <f t="shared" si="22"/>
        <v>0</v>
      </c>
      <c r="DF752" s="1360"/>
      <c r="DG752" s="1360"/>
      <c r="DH752" s="1360"/>
      <c r="DI752" s="1360"/>
      <c r="DJ752" s="1360">
        <f t="shared" si="23"/>
        <v>0</v>
      </c>
      <c r="DK752" s="1360"/>
      <c r="DL752" s="1360"/>
      <c r="DM752" s="1360"/>
      <c r="DN752" s="1360"/>
      <c r="DO752" s="1360">
        <f t="shared" si="24"/>
        <v>0</v>
      </c>
      <c r="DP752" s="1360"/>
      <c r="DQ752" s="1360"/>
      <c r="DR752" s="1360"/>
      <c r="DS752" s="1360"/>
      <c r="DT752" s="6"/>
      <c r="DU752" s="1374">
        <f t="shared" si="25"/>
        <v>0</v>
      </c>
      <c r="DV752" s="1374"/>
      <c r="DW752" s="1374"/>
      <c r="DX752" s="1374"/>
      <c r="DY752" s="1374"/>
      <c r="DZ752" s="1374">
        <f t="shared" si="26"/>
        <v>0</v>
      </c>
      <c r="EA752" s="1374"/>
      <c r="EB752" s="1374"/>
      <c r="EC752" s="1374"/>
      <c r="ED752" s="1374"/>
      <c r="EE752" s="1374">
        <f t="shared" si="27"/>
        <v>0</v>
      </c>
      <c r="EF752" s="1374"/>
      <c r="EG752" s="1374"/>
      <c r="EH752" s="1374"/>
      <c r="EI752" s="1374"/>
      <c r="EJ752" s="1374">
        <f t="shared" si="28"/>
        <v>0</v>
      </c>
      <c r="EK752" s="1374"/>
      <c r="EL752" s="1374"/>
      <c r="EM752" s="1374"/>
      <c r="EN752" s="1374"/>
      <c r="EO752" s="1374">
        <f t="shared" si="29"/>
        <v>0</v>
      </c>
      <c r="EP752" s="1374"/>
      <c r="EQ752" s="1374"/>
      <c r="ER752" s="1374"/>
      <c r="ES752" s="1374"/>
      <c r="ET752" s="1374">
        <f t="shared" si="30"/>
        <v>0</v>
      </c>
      <c r="EU752" s="1374"/>
      <c r="EV752" s="1374"/>
      <c r="EW752" s="1374"/>
      <c r="EX752" s="1374"/>
      <c r="EY752"/>
      <c r="EZ752" s="1357" t="str">
        <f t="shared" si="31"/>
        <v/>
      </c>
      <c r="FA752" s="1358"/>
      <c r="FB752" s="1358"/>
      <c r="FC752" s="1358"/>
      <c r="FD752" s="1359"/>
      <c r="FE752" s="1357" t="str">
        <f t="shared" si="32"/>
        <v/>
      </c>
      <c r="FF752" s="1358"/>
      <c r="FG752" s="1358"/>
      <c r="FH752" s="1358"/>
      <c r="FI752" s="1359"/>
      <c r="FJ752" s="1357" t="str">
        <f t="shared" si="33"/>
        <v/>
      </c>
      <c r="FK752" s="1358"/>
      <c r="FL752" s="1358"/>
      <c r="FM752" s="1358"/>
      <c r="FN752" s="1359"/>
      <c r="FO752" s="1357" t="str">
        <f t="shared" si="34"/>
        <v/>
      </c>
      <c r="FP752" s="1358"/>
      <c r="FQ752" s="1358"/>
      <c r="FR752" s="1358"/>
      <c r="FS752" s="1359"/>
      <c r="FT752" s="1357" t="str">
        <f t="shared" si="35"/>
        <v/>
      </c>
      <c r="FU752" s="1358"/>
      <c r="FV752" s="1358"/>
      <c r="FW752" s="1358"/>
      <c r="FX752" s="1359"/>
      <c r="FY752" s="1357" t="str">
        <f t="shared" si="36"/>
        <v/>
      </c>
      <c r="FZ752" s="1358"/>
      <c r="GA752" s="1358"/>
      <c r="GB752" s="1358"/>
      <c r="GC752" s="1359"/>
    </row>
    <row r="753" spans="1:185" s="3" customFormat="1" ht="12.95" customHeight="1">
      <c r="A753"/>
      <c r="B753" s="1513" t="s">
        <v>125</v>
      </c>
      <c r="C753" s="1514"/>
      <c r="D753" s="1514"/>
      <c r="E753" s="1514"/>
      <c r="F753" s="1516"/>
      <c r="G753" s="1723">
        <f>SUM(G718:G752)</f>
        <v>157</v>
      </c>
      <c r="H753" s="1724"/>
      <c r="I753" s="1724"/>
      <c r="J753" s="1725"/>
      <c r="K753" s="902" t="s">
        <v>124</v>
      </c>
      <c r="L753" s="5"/>
      <c r="M753" s="5"/>
      <c r="N753" s="46"/>
      <c r="O753" s="1364">
        <f>SUMPRODUCT(G718:G752,O718:O752)</f>
        <v>242511</v>
      </c>
      <c r="P753" s="1365"/>
      <c r="Q753" s="1365"/>
      <c r="R753" s="1365"/>
      <c r="S753" s="1366"/>
      <c r="T753"/>
      <c r="U753"/>
      <c r="V753"/>
      <c r="W753"/>
      <c r="X753" s="904" t="s">
        <v>899</v>
      </c>
      <c r="Y753" s="903"/>
      <c r="Z753" s="903"/>
      <c r="AA753" s="903"/>
      <c r="AB753" s="905"/>
      <c r="AC753" s="1630">
        <f>BH753</f>
        <v>0.5592356687898089</v>
      </c>
      <c r="AD753" s="1631"/>
      <c r="AE753" s="1631"/>
      <c r="AF753" s="1631"/>
      <c r="AG753" s="1632"/>
      <c r="AH753" s="1630">
        <f>IFERROR(BU753,"")</f>
        <v>0.5592356687898089</v>
      </c>
      <c r="AI753" s="1631"/>
      <c r="AJ753" s="1632"/>
      <c r="AK753"/>
      <c r="AL753"/>
      <c r="AM753"/>
      <c r="AN753"/>
      <c r="AO753"/>
      <c r="AP753" s="205"/>
      <c r="AQ753" s="205"/>
      <c r="AR753" s="205"/>
      <c r="AS753" s="205"/>
      <c r="AT753"/>
      <c r="AU753"/>
      <c r="AV753"/>
      <c r="AW753"/>
      <c r="AX753"/>
      <c r="AY753"/>
      <c r="AZ753" s="34"/>
      <c r="BA753" s="34"/>
      <c r="BB753" s="34"/>
      <c r="BC753" s="34"/>
      <c r="BE753" s="290" t="s">
        <v>898</v>
      </c>
      <c r="BF753" s="299">
        <f>SUM(BF718:BF752)</f>
        <v>157</v>
      </c>
      <c r="BG753" s="300">
        <f>SUM(BG718:BG752)</f>
        <v>1</v>
      </c>
      <c r="BH753" s="300">
        <f>SUM(BH718:BH752)</f>
        <v>0.5592356687898089</v>
      </c>
      <c r="BI753"/>
      <c r="BJ753"/>
      <c r="BK753"/>
      <c r="BL753"/>
      <c r="BO753"/>
      <c r="BP753"/>
      <c r="BQ753"/>
      <c r="BR753"/>
      <c r="BS753" s="859">
        <f>SUM(BS718:BS752)</f>
        <v>157</v>
      </c>
      <c r="BT753" s="300">
        <f>SUM(BT718:BT752)</f>
        <v>1</v>
      </c>
      <c r="BU753" s="300">
        <f>SUM(BU718:BU752)</f>
        <v>0.5592356687898089</v>
      </c>
      <c r="CI753" s="1357">
        <f>SUM(CI718:CJ752)</f>
        <v>16</v>
      </c>
      <c r="CJ753" s="1359"/>
      <c r="CM753" s="1357">
        <f>SUM(CM718:CN752)</f>
        <v>16</v>
      </c>
      <c r="CN753" s="1359"/>
      <c r="CP753" s="1357">
        <f>SUM(CP718:CT752)</f>
        <v>0</v>
      </c>
      <c r="CQ753" s="1358"/>
      <c r="CR753" s="1358"/>
      <c r="CS753" s="1358"/>
      <c r="CT753" s="1359"/>
      <c r="CU753" s="1373">
        <f>SUM(CU718:CY752)</f>
        <v>157</v>
      </c>
      <c r="CV753" s="1373"/>
      <c r="CW753" s="1373"/>
      <c r="CX753" s="1373"/>
      <c r="CY753" s="1373"/>
      <c r="CZ753" s="1373">
        <f>SUM(CZ718:DD752)</f>
        <v>0</v>
      </c>
      <c r="DA753" s="1373"/>
      <c r="DB753" s="1373"/>
      <c r="DC753" s="1373"/>
      <c r="DD753" s="1373"/>
      <c r="DE753" s="1373">
        <f>SUM(DE718:DI752)</f>
        <v>0</v>
      </c>
      <c r="DF753" s="1373"/>
      <c r="DG753" s="1373"/>
      <c r="DH753" s="1373"/>
      <c r="DI753" s="1373"/>
      <c r="DJ753" s="1373">
        <f>SUM(DJ718:DN752)</f>
        <v>0</v>
      </c>
      <c r="DK753" s="1373"/>
      <c r="DL753" s="1373"/>
      <c r="DM753" s="1373"/>
      <c r="DN753" s="1373"/>
      <c r="DO753" s="1373">
        <f>SUM(DO718:DS752)</f>
        <v>0</v>
      </c>
      <c r="DP753" s="1373"/>
      <c r="DQ753" s="1373"/>
      <c r="DR753" s="1373"/>
      <c r="DS753" s="1373"/>
      <c r="DT753" s="354"/>
      <c r="DU753" s="1373">
        <f>SUM(DU718:DY752)</f>
        <v>0</v>
      </c>
      <c r="DV753" s="1373"/>
      <c r="DW753" s="1373"/>
      <c r="DX753" s="1373"/>
      <c r="DY753" s="1373"/>
      <c r="DZ753" s="1373">
        <f>SUM(DZ718:ED752)</f>
        <v>16</v>
      </c>
      <c r="EA753" s="1373"/>
      <c r="EB753" s="1373"/>
      <c r="EC753" s="1373"/>
      <c r="ED753" s="1373"/>
      <c r="EE753" s="1373">
        <f>SUM(EE718:EI752)</f>
        <v>0</v>
      </c>
      <c r="EF753" s="1373"/>
      <c r="EG753" s="1373"/>
      <c r="EH753" s="1373"/>
      <c r="EI753" s="1373"/>
      <c r="EJ753" s="1373">
        <f>SUM(EJ718:EN752)</f>
        <v>0</v>
      </c>
      <c r="EK753" s="1373"/>
      <c r="EL753" s="1373"/>
      <c r="EM753" s="1373"/>
      <c r="EN753" s="1373"/>
      <c r="EO753" s="1373">
        <f>SUM(EO718:ES752)</f>
        <v>0</v>
      </c>
      <c r="EP753" s="1373"/>
      <c r="EQ753" s="1373"/>
      <c r="ER753" s="1373"/>
      <c r="ES753" s="1373"/>
      <c r="ET753" s="1373">
        <f>SUM(ET718:EX752)</f>
        <v>0</v>
      </c>
      <c r="EU753" s="1373"/>
      <c r="EV753" s="1373"/>
      <c r="EW753" s="1373"/>
      <c r="EX753" s="1373"/>
      <c r="EY753"/>
      <c r="EZ753" s="1373">
        <f>SUM(EZ718:FD752)</f>
        <v>0</v>
      </c>
      <c r="FA753" s="1373"/>
      <c r="FB753" s="1373"/>
      <c r="FC753" s="1373"/>
      <c r="FD753" s="1373"/>
      <c r="FE753" s="1373">
        <f>SUM(FE718:FI752)</f>
        <v>7691</v>
      </c>
      <c r="FF753" s="1373"/>
      <c r="FG753" s="1373"/>
      <c r="FH753" s="1373"/>
      <c r="FI753" s="1373"/>
      <c r="FJ753" s="1373">
        <f>SUM(FJ718:FN752)</f>
        <v>0</v>
      </c>
      <c r="FK753" s="1373"/>
      <c r="FL753" s="1373"/>
      <c r="FM753" s="1373"/>
      <c r="FN753" s="1373"/>
      <c r="FO753" s="1373">
        <f>SUM(FO718:FS752)</f>
        <v>0</v>
      </c>
      <c r="FP753" s="1373"/>
      <c r="FQ753" s="1373"/>
      <c r="FR753" s="1373"/>
      <c r="FS753" s="1373"/>
      <c r="FT753" s="1373">
        <f>SUM(FT718:FX752)</f>
        <v>0</v>
      </c>
      <c r="FU753" s="1373"/>
      <c r="FV753" s="1373"/>
      <c r="FW753" s="1373"/>
      <c r="FX753" s="1373"/>
      <c r="FY753" s="1373">
        <f>SUM(FY718:GC752)</f>
        <v>0</v>
      </c>
      <c r="FZ753" s="1373"/>
      <c r="GA753" s="1373"/>
      <c r="GB753" s="1373"/>
      <c r="GC753" s="1373"/>
    </row>
    <row r="754" spans="1:185" s="3" customFormat="1" ht="12.95" customHeight="1">
      <c r="A754"/>
      <c r="B754" s="1722" t="s">
        <v>1891</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1858</v>
      </c>
      <c r="DO754" s="1357">
        <f>CP753+CU753+CZ753+DE753+DJ753+DO753</f>
        <v>157</v>
      </c>
      <c r="DP754" s="1358"/>
      <c r="DQ754" s="1358"/>
      <c r="DR754" s="1358"/>
      <c r="DS754" s="1359"/>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157</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157</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373">
        <f>DU755</f>
        <v>157</v>
      </c>
      <c r="P756" s="1373"/>
      <c r="Q756" s="1373"/>
      <c r="R756" s="1373"/>
      <c r="S756" s="969"/>
      <c r="T756" s="969"/>
      <c r="U756" s="118" t="s">
        <v>1890</v>
      </c>
      <c r="V756" s="1032"/>
      <c r="W756" s="1032"/>
      <c r="X756" s="1032"/>
      <c r="Y756" s="1033"/>
      <c r="Z756" s="1033"/>
      <c r="AA756" s="1033"/>
      <c r="AB756" s="1033"/>
      <c r="AC756" s="1032"/>
      <c r="AD756" s="1032"/>
      <c r="AE756" s="1032"/>
      <c r="AF756" s="1032"/>
      <c r="AG756" s="1715">
        <v>0</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72" t="s">
        <v>2087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72" t="s">
        <v>2088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14" t="s">
        <v>388</v>
      </c>
      <c r="K769" s="1415"/>
      <c r="L769" s="1415"/>
      <c r="M769" s="1415"/>
      <c r="N769" s="1416"/>
      <c r="O769" s="1605" t="s">
        <v>285</v>
      </c>
      <c r="P769" s="1605"/>
      <c r="Q769" s="1605"/>
      <c r="R769" s="1605"/>
      <c r="S769" s="1605"/>
      <c r="T769" s="1521" t="s">
        <v>1677</v>
      </c>
      <c r="U769" s="1522"/>
      <c r="V769" s="1522"/>
      <c r="W769" s="1523"/>
      <c r="X769" s="1414" t="s">
        <v>447</v>
      </c>
      <c r="Y769" s="1415"/>
      <c r="Z769" s="1415"/>
      <c r="AA769" s="1415"/>
      <c r="AB769" s="1416"/>
      <c r="AC769" s="1414" t="s">
        <v>286</v>
      </c>
      <c r="AD769" s="1415"/>
      <c r="AE769" s="1415"/>
      <c r="AF769" s="1415"/>
      <c r="AG769" s="141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17"/>
      <c r="K770" s="1418"/>
      <c r="L770" s="1418"/>
      <c r="M770" s="1418"/>
      <c r="N770" s="1419"/>
      <c r="O770" s="1605"/>
      <c r="P770" s="1605"/>
      <c r="Q770" s="1605"/>
      <c r="R770" s="1605"/>
      <c r="S770" s="1605"/>
      <c r="T770" s="1524"/>
      <c r="U770" s="1525"/>
      <c r="V770" s="1525"/>
      <c r="W770" s="1526"/>
      <c r="X770" s="1417"/>
      <c r="Y770" s="1418"/>
      <c r="Z770" s="1418"/>
      <c r="AA770" s="1418"/>
      <c r="AB770" s="1419"/>
      <c r="AC770" s="1417"/>
      <c r="AD770" s="1418"/>
      <c r="AE770" s="1418"/>
      <c r="AF770" s="1418"/>
      <c r="AG770" s="141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17"/>
      <c r="K771" s="1418"/>
      <c r="L771" s="1418"/>
      <c r="M771" s="1418"/>
      <c r="N771" s="1419"/>
      <c r="O771" s="1605"/>
      <c r="P771" s="1605"/>
      <c r="Q771" s="1605"/>
      <c r="R771" s="1605"/>
      <c r="S771" s="1605"/>
      <c r="T771" s="1524"/>
      <c r="U771" s="1525"/>
      <c r="V771" s="1525"/>
      <c r="W771" s="1526"/>
      <c r="X771" s="1417"/>
      <c r="Y771" s="1418"/>
      <c r="Z771" s="1418"/>
      <c r="AA771" s="1418"/>
      <c r="AB771" s="1419"/>
      <c r="AC771" s="1417"/>
      <c r="AD771" s="1418"/>
      <c r="AE771" s="1418"/>
      <c r="AF771" s="1418"/>
      <c r="AG771" s="141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20"/>
      <c r="K772" s="1421"/>
      <c r="L772" s="1421"/>
      <c r="M772" s="1421"/>
      <c r="N772" s="1422"/>
      <c r="O772" s="1605"/>
      <c r="P772" s="1605"/>
      <c r="Q772" s="1605"/>
      <c r="R772" s="1605"/>
      <c r="S772" s="1605"/>
      <c r="T772" s="1622"/>
      <c r="U772" s="1623"/>
      <c r="V772" s="1623"/>
      <c r="W772" s="1624"/>
      <c r="X772" s="1420"/>
      <c r="Y772" s="1421"/>
      <c r="Z772" s="1421"/>
      <c r="AA772" s="1421"/>
      <c r="AB772" s="1422"/>
      <c r="AC772" s="1420"/>
      <c r="AD772" s="1421"/>
      <c r="AE772" s="1421"/>
      <c r="AF772" s="1421"/>
      <c r="AG772" s="142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1" t="s">
        <v>325</v>
      </c>
      <c r="K773" s="1362"/>
      <c r="L773" s="1362"/>
      <c r="M773" s="1362"/>
      <c r="N773" s="1363"/>
      <c r="O773" s="1455">
        <v>1</v>
      </c>
      <c r="P773" s="1455"/>
      <c r="Q773" s="1455"/>
      <c r="R773" s="1455"/>
      <c r="S773" s="1455"/>
      <c r="T773" s="1607">
        <v>550</v>
      </c>
      <c r="U773" s="1608"/>
      <c r="V773" s="1608"/>
      <c r="W773" s="1609"/>
      <c r="X773" s="1469">
        <v>0</v>
      </c>
      <c r="Y773" s="1470"/>
      <c r="Z773" s="1470"/>
      <c r="AA773" s="1470"/>
      <c r="AB773" s="1471"/>
      <c r="AC773" s="1364">
        <f>X773*O773</f>
        <v>0</v>
      </c>
      <c r="AD773" s="1365"/>
      <c r="AE773" s="1365"/>
      <c r="AF773" s="1365"/>
      <c r="AG773" s="136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8">
        <f>IF(J773="SRO/Studio",O773,0)</f>
        <v>0</v>
      </c>
      <c r="CQ773" s="1339"/>
      <c r="CR773" s="1339"/>
      <c r="CS773" s="1339"/>
      <c r="CT773" s="1340"/>
      <c r="CU773" s="1360">
        <f>IF(J773="1 Bedroom",O773,0)</f>
        <v>1</v>
      </c>
      <c r="CV773" s="1360"/>
      <c r="CW773" s="1360"/>
      <c r="CX773" s="1360"/>
      <c r="CY773" s="1360"/>
      <c r="CZ773" s="1360">
        <f>IF(J773="2 Bedrooms",O773,0)</f>
        <v>0</v>
      </c>
      <c r="DA773" s="1360"/>
      <c r="DB773" s="1360"/>
      <c r="DC773" s="1360"/>
      <c r="DD773" s="1360"/>
      <c r="DE773" s="1360">
        <f>IF(J773="3 Bedrooms",O773,0)</f>
        <v>0</v>
      </c>
      <c r="DF773" s="1360"/>
      <c r="DG773" s="1360"/>
      <c r="DH773" s="1360"/>
      <c r="DI773" s="1360"/>
      <c r="DJ773" s="1360">
        <f>IF(J773="4 Bedrooms",O773,0)</f>
        <v>0</v>
      </c>
      <c r="DK773" s="1360"/>
      <c r="DL773" s="1360"/>
      <c r="DM773" s="1360"/>
      <c r="DN773" s="1360"/>
      <c r="DO773" s="1360">
        <f>IF(J773="5 Bedrooms",O773,0)</f>
        <v>0</v>
      </c>
      <c r="DP773" s="1360"/>
      <c r="DQ773" s="1360"/>
      <c r="DR773" s="1360"/>
      <c r="DS773" s="1360"/>
      <c r="DT773" s="6"/>
      <c r="DU773" s="3"/>
      <c r="DV773" s="3"/>
    </row>
    <row r="774" spans="1:126" ht="12.95" customHeight="1">
      <c r="J774" s="1361" t="s">
        <v>163</v>
      </c>
      <c r="K774" s="1362"/>
      <c r="L774" s="1362"/>
      <c r="M774" s="1362"/>
      <c r="N774" s="1363"/>
      <c r="O774" s="1455">
        <v>1</v>
      </c>
      <c r="P774" s="1455"/>
      <c r="Q774" s="1455"/>
      <c r="R774" s="1455"/>
      <c r="S774" s="1455"/>
      <c r="T774" s="1607">
        <v>927</v>
      </c>
      <c r="U774" s="1608"/>
      <c r="V774" s="1608"/>
      <c r="W774" s="1609"/>
      <c r="X774" s="1469">
        <v>0</v>
      </c>
      <c r="Y774" s="1470"/>
      <c r="Z774" s="1470"/>
      <c r="AA774" s="1470"/>
      <c r="AB774" s="1471"/>
      <c r="AC774" s="1364">
        <f>X774*O774</f>
        <v>0</v>
      </c>
      <c r="AD774" s="1365"/>
      <c r="AE774" s="1365"/>
      <c r="AF774" s="1365"/>
      <c r="AG774" s="136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8">
        <f>IF(J774="SRO/Studio",O774,0)</f>
        <v>0</v>
      </c>
      <c r="CQ774" s="1339"/>
      <c r="CR774" s="1339"/>
      <c r="CS774" s="1339"/>
      <c r="CT774" s="1340"/>
      <c r="CU774" s="1360">
        <f>IF(J774="1 Bedroom",O774,0)</f>
        <v>0</v>
      </c>
      <c r="CV774" s="1360"/>
      <c r="CW774" s="1360"/>
      <c r="CX774" s="1360"/>
      <c r="CY774" s="1360"/>
      <c r="CZ774" s="1360">
        <f>IF(J774="2 Bedrooms",O774,0)</f>
        <v>1</v>
      </c>
      <c r="DA774" s="1360"/>
      <c r="DB774" s="1360"/>
      <c r="DC774" s="1360"/>
      <c r="DD774" s="1360"/>
      <c r="DE774" s="1360">
        <f>IF(J774="3 Bedrooms",O774,0)</f>
        <v>0</v>
      </c>
      <c r="DF774" s="1360"/>
      <c r="DG774" s="1360"/>
      <c r="DH774" s="1360"/>
      <c r="DI774" s="1360"/>
      <c r="DJ774" s="1360">
        <f>IF(J774="4 Bedrooms",O774,0)</f>
        <v>0</v>
      </c>
      <c r="DK774" s="1360"/>
      <c r="DL774" s="1360"/>
      <c r="DM774" s="1360"/>
      <c r="DN774" s="1360"/>
      <c r="DO774" s="1360">
        <f>IF(J774="5 Bedrooms",O774,0)</f>
        <v>0</v>
      </c>
      <c r="DP774" s="1360"/>
      <c r="DQ774" s="1360"/>
      <c r="DR774" s="1360"/>
      <c r="DS774" s="1360"/>
      <c r="DT774" s="6"/>
      <c r="DU774" s="3"/>
      <c r="DV774" s="3"/>
    </row>
    <row r="775" spans="1:126" ht="12.95" customHeight="1">
      <c r="J775" s="1361"/>
      <c r="K775" s="1362"/>
      <c r="L775" s="1362"/>
      <c r="M775" s="1362"/>
      <c r="N775" s="1363"/>
      <c r="O775" s="1455"/>
      <c r="P775" s="1455"/>
      <c r="Q775" s="1455"/>
      <c r="R775" s="1455"/>
      <c r="S775" s="1455"/>
      <c r="T775" s="1607"/>
      <c r="U775" s="1608"/>
      <c r="V775" s="1608"/>
      <c r="W775" s="1609"/>
      <c r="X775" s="1469"/>
      <c r="Y775" s="1470"/>
      <c r="Z775" s="1470"/>
      <c r="AA775" s="1470"/>
      <c r="AB775" s="1471"/>
      <c r="AC775" s="1364">
        <f>X775*O775</f>
        <v>0</v>
      </c>
      <c r="AD775" s="1365"/>
      <c r="AE775" s="1365"/>
      <c r="AF775" s="1365"/>
      <c r="AG775" s="136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8">
        <f>IF(J775="SRO/Studio",O775,0)</f>
        <v>0</v>
      </c>
      <c r="CQ775" s="1339"/>
      <c r="CR775" s="1339"/>
      <c r="CS775" s="1339"/>
      <c r="CT775" s="1340"/>
      <c r="CU775" s="1360">
        <f>IF(J775="1 Bedroom",O775,0)</f>
        <v>0</v>
      </c>
      <c r="CV775" s="1360"/>
      <c r="CW775" s="1360"/>
      <c r="CX775" s="1360"/>
      <c r="CY775" s="1360"/>
      <c r="CZ775" s="1360">
        <f>IF(J775="2 Bedrooms",O775,0)</f>
        <v>0</v>
      </c>
      <c r="DA775" s="1360"/>
      <c r="DB775" s="1360"/>
      <c r="DC775" s="1360"/>
      <c r="DD775" s="1360"/>
      <c r="DE775" s="1360">
        <f>IF(J775="3 Bedrooms",O775,0)</f>
        <v>0</v>
      </c>
      <c r="DF775" s="1360"/>
      <c r="DG775" s="1360"/>
      <c r="DH775" s="1360"/>
      <c r="DI775" s="1360"/>
      <c r="DJ775" s="1360">
        <f>IF(J775="4 Bedrooms",O775,0)</f>
        <v>0</v>
      </c>
      <c r="DK775" s="1360"/>
      <c r="DL775" s="1360"/>
      <c r="DM775" s="1360"/>
      <c r="DN775" s="1360"/>
      <c r="DO775" s="1360">
        <f>IF(J775="5 Bedrooms",O775,0)</f>
        <v>0</v>
      </c>
      <c r="DP775" s="1360"/>
      <c r="DQ775" s="1360"/>
      <c r="DR775" s="1360"/>
      <c r="DS775" s="1360"/>
      <c r="DT775" s="1012"/>
    </row>
    <row r="776" spans="1:126" ht="12.95" customHeight="1">
      <c r="J776" s="1361"/>
      <c r="K776" s="1362"/>
      <c r="L776" s="1362"/>
      <c r="M776" s="1362"/>
      <c r="N776" s="1363"/>
      <c r="O776" s="1455"/>
      <c r="P776" s="1455"/>
      <c r="Q776" s="1455"/>
      <c r="R776" s="1455"/>
      <c r="S776" s="1455"/>
      <c r="T776" s="1607"/>
      <c r="U776" s="1608"/>
      <c r="V776" s="1608"/>
      <c r="W776" s="1609"/>
      <c r="X776" s="1469"/>
      <c r="Y776" s="1470"/>
      <c r="Z776" s="1470"/>
      <c r="AA776" s="1470"/>
      <c r="AB776" s="1471"/>
      <c r="AC776" s="1364">
        <f>X776*O776</f>
        <v>0</v>
      </c>
      <c r="AD776" s="1365"/>
      <c r="AE776" s="1365"/>
      <c r="AF776" s="1365"/>
      <c r="AG776" s="136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8">
        <f>IF(J776="SRO/Studio",O776,0)</f>
        <v>0</v>
      </c>
      <c r="CQ776" s="1339"/>
      <c r="CR776" s="1339"/>
      <c r="CS776" s="1339"/>
      <c r="CT776" s="1340"/>
      <c r="CU776" s="1360">
        <f>IF(J776="1 Bedroom",O776,0)</f>
        <v>0</v>
      </c>
      <c r="CV776" s="1360"/>
      <c r="CW776" s="1360"/>
      <c r="CX776" s="1360"/>
      <c r="CY776" s="1360"/>
      <c r="CZ776" s="1360">
        <f>IF(J776="2 Bedrooms",O776,0)</f>
        <v>0</v>
      </c>
      <c r="DA776" s="1360"/>
      <c r="DB776" s="1360"/>
      <c r="DC776" s="1360"/>
      <c r="DD776" s="1360"/>
      <c r="DE776" s="1360">
        <f>IF(J776="3 Bedrooms",O776,0)</f>
        <v>0</v>
      </c>
      <c r="DF776" s="1360"/>
      <c r="DG776" s="1360"/>
      <c r="DH776" s="1360"/>
      <c r="DI776" s="1360"/>
      <c r="DJ776" s="1360">
        <f>IF(J776="4 Bedrooms",O776,0)</f>
        <v>0</v>
      </c>
      <c r="DK776" s="1360"/>
      <c r="DL776" s="1360"/>
      <c r="DM776" s="1360"/>
      <c r="DN776" s="1360"/>
      <c r="DO776" s="1360">
        <f>IF(J776="5 Bedrooms",O776,0)</f>
        <v>0</v>
      </c>
      <c r="DP776" s="1360"/>
      <c r="DQ776" s="1360"/>
      <c r="DR776" s="1360"/>
      <c r="DS776" s="1360"/>
    </row>
    <row r="777" spans="1:126" ht="12.95" customHeight="1">
      <c r="J777" s="1513" t="s">
        <v>125</v>
      </c>
      <c r="K777" s="1514"/>
      <c r="L777" s="1514"/>
      <c r="M777" s="1514"/>
      <c r="N777" s="1516"/>
      <c r="O777" s="1341">
        <f>SUM(O773:S776)</f>
        <v>2</v>
      </c>
      <c r="P777" s="1342"/>
      <c r="Q777" s="1342"/>
      <c r="R777" s="1342"/>
      <c r="S777" s="1343"/>
      <c r="X777" s="1513" t="s">
        <v>124</v>
      </c>
      <c r="Y777" s="1514"/>
      <c r="Z777" s="1514"/>
      <c r="AA777" s="1514"/>
      <c r="AB777" s="1516"/>
      <c r="AC777" s="1364">
        <f>SUM(AC773:AG776)</f>
        <v>0</v>
      </c>
      <c r="AD777" s="1365"/>
      <c r="AE777" s="1365"/>
      <c r="AF777" s="1365"/>
      <c r="AG777" s="136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1">
        <f>SUM(CP773:CT776)</f>
        <v>0</v>
      </c>
      <c r="CQ777" s="1342"/>
      <c r="CR777" s="1342"/>
      <c r="CS777" s="1342"/>
      <c r="CT777" s="1343"/>
      <c r="CU777" s="1354">
        <f>SUM(CU773:CY776)</f>
        <v>1</v>
      </c>
      <c r="CV777" s="1355"/>
      <c r="CW777" s="1355"/>
      <c r="CX777" s="1355"/>
      <c r="CY777" s="1356"/>
      <c r="CZ777" s="1354">
        <f>SUM(CZ773:DD776)</f>
        <v>1</v>
      </c>
      <c r="DA777" s="1355"/>
      <c r="DB777" s="1355"/>
      <c r="DC777" s="1355"/>
      <c r="DD777" s="1356"/>
      <c r="DE777" s="1354">
        <f>SUM(DE773:DI776)</f>
        <v>0</v>
      </c>
      <c r="DF777" s="1355"/>
      <c r="DG777" s="1355"/>
      <c r="DH777" s="1355"/>
      <c r="DI777" s="1356"/>
      <c r="DJ777" s="1354">
        <f>SUM(DJ773:DN776)</f>
        <v>0</v>
      </c>
      <c r="DK777" s="1355"/>
      <c r="DL777" s="1355"/>
      <c r="DM777" s="1355"/>
      <c r="DN777" s="1356"/>
      <c r="DO777" s="1354">
        <f>SUM(DO773:DS776)</f>
        <v>0</v>
      </c>
      <c r="DP777" s="1355"/>
      <c r="DQ777" s="1355"/>
      <c r="DR777" s="1355"/>
      <c r="DS777" s="1356"/>
      <c r="DU777" s="861">
        <f>CP777+CU777+CZ777+DE777+DJ777+DO777</f>
        <v>2</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3</v>
      </c>
      <c r="DV778" s="57" t="s">
        <v>1859</v>
      </c>
    </row>
    <row r="779" spans="1:126" ht="12.95" customHeight="1">
      <c r="B779" s="56"/>
      <c r="C779" s="56"/>
      <c r="D779" s="56"/>
      <c r="E779" s="56"/>
      <c r="F779" s="56"/>
      <c r="G779" s="6"/>
      <c r="H779" s="6"/>
      <c r="I779" s="6"/>
      <c r="J779" s="1396" t="s">
        <v>668</v>
      </c>
      <c r="K779" s="1396"/>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14" t="s">
        <v>388</v>
      </c>
      <c r="K783" s="1415"/>
      <c r="L783" s="1415"/>
      <c r="M783" s="1415"/>
      <c r="N783" s="1416"/>
      <c r="O783" s="1605" t="s">
        <v>285</v>
      </c>
      <c r="P783" s="1605"/>
      <c r="Q783" s="1605"/>
      <c r="R783" s="1605"/>
      <c r="S783" s="1605"/>
      <c r="T783" s="1521" t="s">
        <v>1677</v>
      </c>
      <c r="U783" s="1522"/>
      <c r="V783" s="1522"/>
      <c r="W783" s="1523"/>
      <c r="X783" s="1414" t="s">
        <v>447</v>
      </c>
      <c r="Y783" s="1415"/>
      <c r="Z783" s="1415"/>
      <c r="AA783" s="1415"/>
      <c r="AB783" s="1416"/>
      <c r="AC783" s="1414" t="s">
        <v>286</v>
      </c>
      <c r="AD783" s="1415"/>
      <c r="AE783" s="1415"/>
      <c r="AF783" s="1415"/>
      <c r="AG783" s="14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17"/>
      <c r="K784" s="1418"/>
      <c r="L784" s="1418"/>
      <c r="M784" s="1418"/>
      <c r="N784" s="1419"/>
      <c r="O784" s="1605"/>
      <c r="P784" s="1605"/>
      <c r="Q784" s="1605"/>
      <c r="R784" s="1605"/>
      <c r="S784" s="1605"/>
      <c r="T784" s="1524"/>
      <c r="U784" s="1525"/>
      <c r="V784" s="1525"/>
      <c r="W784" s="1526"/>
      <c r="X784" s="1417"/>
      <c r="Y784" s="1418"/>
      <c r="Z784" s="1418"/>
      <c r="AA784" s="1418"/>
      <c r="AB784" s="1419"/>
      <c r="AC784" s="1417"/>
      <c r="AD784" s="1418"/>
      <c r="AE784" s="1418"/>
      <c r="AF784" s="1418"/>
      <c r="AG784" s="141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17"/>
      <c r="K785" s="1418"/>
      <c r="L785" s="1418"/>
      <c r="M785" s="1418"/>
      <c r="N785" s="1419"/>
      <c r="O785" s="1605"/>
      <c r="P785" s="1605"/>
      <c r="Q785" s="1605"/>
      <c r="R785" s="1605"/>
      <c r="S785" s="1605"/>
      <c r="T785" s="1524"/>
      <c r="U785" s="1525"/>
      <c r="V785" s="1525"/>
      <c r="W785" s="1526"/>
      <c r="X785" s="1417"/>
      <c r="Y785" s="1418"/>
      <c r="Z785" s="1418"/>
      <c r="AA785" s="1418"/>
      <c r="AB785" s="1419"/>
      <c r="AC785" s="1417"/>
      <c r="AD785" s="1418"/>
      <c r="AE785" s="1418"/>
      <c r="AF785" s="1418"/>
      <c r="AG785" s="141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20"/>
      <c r="K786" s="1421"/>
      <c r="L786" s="1421"/>
      <c r="M786" s="1421"/>
      <c r="N786" s="1422"/>
      <c r="O786" s="1605"/>
      <c r="P786" s="1605"/>
      <c r="Q786" s="1605"/>
      <c r="R786" s="1605"/>
      <c r="S786" s="1605"/>
      <c r="T786" s="1622"/>
      <c r="U786" s="1623"/>
      <c r="V786" s="1623"/>
      <c r="W786" s="1624"/>
      <c r="X786" s="1420"/>
      <c r="Y786" s="1421"/>
      <c r="Z786" s="1421"/>
      <c r="AA786" s="1421"/>
      <c r="AB786" s="1422"/>
      <c r="AC786" s="1420"/>
      <c r="AD786" s="1421"/>
      <c r="AE786" s="1421"/>
      <c r="AF786" s="1421"/>
      <c r="AG786" s="142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61"/>
      <c r="K787" s="1362"/>
      <c r="L787" s="1362"/>
      <c r="M787" s="1362"/>
      <c r="N787" s="1363"/>
      <c r="O787" s="1455"/>
      <c r="P787" s="1455"/>
      <c r="Q787" s="1455"/>
      <c r="R787" s="1455"/>
      <c r="S787" s="1455"/>
      <c r="T787" s="1607"/>
      <c r="U787" s="1608"/>
      <c r="V787" s="1608"/>
      <c r="W787" s="1609"/>
      <c r="X787" s="1469"/>
      <c r="Y787" s="1470"/>
      <c r="Z787" s="1470"/>
      <c r="AA787" s="1470"/>
      <c r="AB787" s="1471"/>
      <c r="AC787" s="1364">
        <f t="shared" ref="AC787:AC796" si="41">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8">
        <f t="shared" ref="CP787:CP796" si="42">IF(J787="SRO/Studio",O787,0)</f>
        <v>0</v>
      </c>
      <c r="CQ787" s="1339"/>
      <c r="CR787" s="1339"/>
      <c r="CS787" s="1339"/>
      <c r="CT787" s="1340"/>
      <c r="CU787" s="1338">
        <f t="shared" ref="CU787:CU796" si="43">IF(J787="1 Bedroom",O787,0)</f>
        <v>0</v>
      </c>
      <c r="CV787" s="1339"/>
      <c r="CW787" s="1339"/>
      <c r="CX787" s="1339"/>
      <c r="CY787" s="1340"/>
      <c r="CZ787" s="1338">
        <f t="shared" ref="CZ787:CZ796" si="44">IF(J787="2 Bedrooms",O787,0)</f>
        <v>0</v>
      </c>
      <c r="DA787" s="1339"/>
      <c r="DB787" s="1339"/>
      <c r="DC787" s="1339"/>
      <c r="DD787" s="1340"/>
      <c r="DE787" s="1338">
        <f t="shared" ref="DE787:DE796" si="45">IF(J787="3 Bedrooms",O787,0)</f>
        <v>0</v>
      </c>
      <c r="DF787" s="1339"/>
      <c r="DG787" s="1339"/>
      <c r="DH787" s="1339"/>
      <c r="DI787" s="1340"/>
      <c r="DJ787" s="1338">
        <f t="shared" ref="DJ787:DJ796" si="46">IF(J787="4 Bedrooms",O787,0)</f>
        <v>0</v>
      </c>
      <c r="DK787" s="1339"/>
      <c r="DL787" s="1339"/>
      <c r="DM787" s="1339"/>
      <c r="DN787" s="1340"/>
      <c r="DO787" s="1338">
        <f t="shared" ref="DO787:DO796" si="47">IF(J787="5 Bedrooms",O787,0)</f>
        <v>0</v>
      </c>
      <c r="DP787" s="1339"/>
      <c r="DQ787" s="1339"/>
      <c r="DR787" s="1339"/>
      <c r="DS787" s="1340"/>
      <c r="DT787" s="6"/>
      <c r="DU787" s="1338">
        <f t="shared" ref="DU787:DU796" si="48">IF(AND(CP787&gt;=1,AH787&gt;=0.1,AH787&lt;=1),O787,0)</f>
        <v>0</v>
      </c>
      <c r="DV787" s="1339"/>
      <c r="DW787" s="1339"/>
      <c r="DX787" s="1339"/>
      <c r="DY787" s="1340"/>
      <c r="DZ787" s="1338">
        <f t="shared" ref="DZ787:DZ796" si="49">IF(AND(CU787&gt;=1,AH787&gt;=0.1,AH787&lt;=1),O787,0)</f>
        <v>0</v>
      </c>
      <c r="EA787" s="1339"/>
      <c r="EB787" s="1339"/>
      <c r="EC787" s="1339"/>
      <c r="ED787" s="1340"/>
      <c r="EE787" s="1338">
        <f t="shared" ref="EE787:EE796" si="50">IF(AND(CZ787&gt;=1,AH787&gt;=0.1,AH787&lt;=1),O787,0)</f>
        <v>0</v>
      </c>
      <c r="EF787" s="1339"/>
      <c r="EG787" s="1339"/>
      <c r="EH787" s="1339"/>
      <c r="EI787" s="1340"/>
      <c r="EJ787" s="1338">
        <f t="shared" ref="EJ787:EJ796" si="51">IF(AND(DE787&gt;=1,AH787&gt;=0.1,AH787&lt;=1),O787,0)</f>
        <v>0</v>
      </c>
      <c r="EK787" s="1339"/>
      <c r="EL787" s="1339"/>
      <c r="EM787" s="1339"/>
      <c r="EN787" s="1340"/>
      <c r="EO787" s="1338">
        <f t="shared" ref="EO787:EO796" si="52">IF(AND(DJ787&gt;=1,AH787&gt;=0.1,AH787&lt;=1),O787,0)</f>
        <v>0</v>
      </c>
      <c r="EP787" s="1339"/>
      <c r="EQ787" s="1339"/>
      <c r="ER787" s="1339"/>
      <c r="ES787" s="1340"/>
      <c r="ET787" s="1338">
        <f t="shared" ref="ET787:ET796" si="53">IF(AND(DO787&gt;=1,AH787&gt;=0.1,AH787&lt;=1),O787,0)</f>
        <v>0</v>
      </c>
      <c r="EU787" s="1339"/>
      <c r="EV787" s="1339"/>
      <c r="EW787" s="1339"/>
      <c r="EX787" s="1340"/>
    </row>
    <row r="788" spans="1:154" s="14" customFormat="1" ht="12.95" customHeight="1">
      <c r="A788"/>
      <c r="B788"/>
      <c r="C788"/>
      <c r="D788"/>
      <c r="E788"/>
      <c r="F788"/>
      <c r="G788"/>
      <c r="H788"/>
      <c r="I788"/>
      <c r="J788" s="1361"/>
      <c r="K788" s="1362"/>
      <c r="L788" s="1362"/>
      <c r="M788" s="1362"/>
      <c r="N788" s="1363"/>
      <c r="O788" s="1455"/>
      <c r="P788" s="1455"/>
      <c r="Q788" s="1455"/>
      <c r="R788" s="1455"/>
      <c r="S788" s="1455"/>
      <c r="T788" s="1607"/>
      <c r="U788" s="1608"/>
      <c r="V788" s="1608"/>
      <c r="W788" s="1609"/>
      <c r="X788" s="1469"/>
      <c r="Y788" s="1470"/>
      <c r="Z788" s="1470"/>
      <c r="AA788" s="1470"/>
      <c r="AB788" s="1471"/>
      <c r="AC788" s="1364">
        <f t="shared" si="41"/>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8">
        <f t="shared" si="42"/>
        <v>0</v>
      </c>
      <c r="CQ788" s="1339"/>
      <c r="CR788" s="1339"/>
      <c r="CS788" s="1339"/>
      <c r="CT788" s="1340"/>
      <c r="CU788" s="1338">
        <f t="shared" si="43"/>
        <v>0</v>
      </c>
      <c r="CV788" s="1339"/>
      <c r="CW788" s="1339"/>
      <c r="CX788" s="1339"/>
      <c r="CY788" s="1340"/>
      <c r="CZ788" s="1338">
        <f t="shared" si="44"/>
        <v>0</v>
      </c>
      <c r="DA788" s="1339"/>
      <c r="DB788" s="1339"/>
      <c r="DC788" s="1339"/>
      <c r="DD788" s="1340"/>
      <c r="DE788" s="1338">
        <f t="shared" si="45"/>
        <v>0</v>
      </c>
      <c r="DF788" s="1339"/>
      <c r="DG788" s="1339"/>
      <c r="DH788" s="1339"/>
      <c r="DI788" s="1340"/>
      <c r="DJ788" s="1338">
        <f t="shared" si="46"/>
        <v>0</v>
      </c>
      <c r="DK788" s="1339"/>
      <c r="DL788" s="1339"/>
      <c r="DM788" s="1339"/>
      <c r="DN788" s="1340"/>
      <c r="DO788" s="1338">
        <f t="shared" si="47"/>
        <v>0</v>
      </c>
      <c r="DP788" s="1339"/>
      <c r="DQ788" s="1339"/>
      <c r="DR788" s="1339"/>
      <c r="DS788" s="1340"/>
      <c r="DT788" s="6"/>
      <c r="DU788" s="1338">
        <f t="shared" si="48"/>
        <v>0</v>
      </c>
      <c r="DV788" s="1339"/>
      <c r="DW788" s="1339"/>
      <c r="DX788" s="1339"/>
      <c r="DY788" s="1340"/>
      <c r="DZ788" s="1338">
        <f t="shared" si="49"/>
        <v>0</v>
      </c>
      <c r="EA788" s="1339"/>
      <c r="EB788" s="1339"/>
      <c r="EC788" s="1339"/>
      <c r="ED788" s="1340"/>
      <c r="EE788" s="1338">
        <f t="shared" si="50"/>
        <v>0</v>
      </c>
      <c r="EF788" s="1339"/>
      <c r="EG788" s="1339"/>
      <c r="EH788" s="1339"/>
      <c r="EI788" s="1340"/>
      <c r="EJ788" s="1338">
        <f t="shared" si="51"/>
        <v>0</v>
      </c>
      <c r="EK788" s="1339"/>
      <c r="EL788" s="1339"/>
      <c r="EM788" s="1339"/>
      <c r="EN788" s="1340"/>
      <c r="EO788" s="1338">
        <f t="shared" si="52"/>
        <v>0</v>
      </c>
      <c r="EP788" s="1339"/>
      <c r="EQ788" s="1339"/>
      <c r="ER788" s="1339"/>
      <c r="ES788" s="1340"/>
      <c r="ET788" s="1338">
        <f t="shared" si="53"/>
        <v>0</v>
      </c>
      <c r="EU788" s="1339"/>
      <c r="EV788" s="1339"/>
      <c r="EW788" s="1339"/>
      <c r="EX788" s="1340"/>
    </row>
    <row r="789" spans="1:154" s="14" customFormat="1" ht="12.95" customHeight="1">
      <c r="A789"/>
      <c r="B789"/>
      <c r="C789"/>
      <c r="D789"/>
      <c r="E789"/>
      <c r="F789"/>
      <c r="G789"/>
      <c r="H789"/>
      <c r="I789"/>
      <c r="J789" s="1361"/>
      <c r="K789" s="1362"/>
      <c r="L789" s="1362"/>
      <c r="M789" s="1362"/>
      <c r="N789" s="1363"/>
      <c r="O789" s="1455"/>
      <c r="P789" s="1455"/>
      <c r="Q789" s="1455"/>
      <c r="R789" s="1455"/>
      <c r="S789" s="1455"/>
      <c r="T789" s="1607"/>
      <c r="U789" s="1608"/>
      <c r="V789" s="1608"/>
      <c r="W789" s="1609"/>
      <c r="X789" s="1469"/>
      <c r="Y789" s="1470"/>
      <c r="Z789" s="1470"/>
      <c r="AA789" s="1470"/>
      <c r="AB789" s="1471"/>
      <c r="AC789" s="1364">
        <f t="shared" si="41"/>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8">
        <f t="shared" si="42"/>
        <v>0</v>
      </c>
      <c r="CQ789" s="1339"/>
      <c r="CR789" s="1339"/>
      <c r="CS789" s="1339"/>
      <c r="CT789" s="1340"/>
      <c r="CU789" s="1338">
        <f t="shared" si="43"/>
        <v>0</v>
      </c>
      <c r="CV789" s="1339"/>
      <c r="CW789" s="1339"/>
      <c r="CX789" s="1339"/>
      <c r="CY789" s="1340"/>
      <c r="CZ789" s="1338">
        <f t="shared" si="44"/>
        <v>0</v>
      </c>
      <c r="DA789" s="1339"/>
      <c r="DB789" s="1339"/>
      <c r="DC789" s="1339"/>
      <c r="DD789" s="1340"/>
      <c r="DE789" s="1338">
        <f t="shared" si="45"/>
        <v>0</v>
      </c>
      <c r="DF789" s="1339"/>
      <c r="DG789" s="1339"/>
      <c r="DH789" s="1339"/>
      <c r="DI789" s="1340"/>
      <c r="DJ789" s="1338">
        <f t="shared" si="46"/>
        <v>0</v>
      </c>
      <c r="DK789" s="1339"/>
      <c r="DL789" s="1339"/>
      <c r="DM789" s="1339"/>
      <c r="DN789" s="1340"/>
      <c r="DO789" s="1338">
        <f t="shared" si="47"/>
        <v>0</v>
      </c>
      <c r="DP789" s="1339"/>
      <c r="DQ789" s="1339"/>
      <c r="DR789" s="1339"/>
      <c r="DS789" s="1340"/>
      <c r="DT789" s="6"/>
      <c r="DU789" s="1338">
        <f t="shared" si="48"/>
        <v>0</v>
      </c>
      <c r="DV789" s="1339"/>
      <c r="DW789" s="1339"/>
      <c r="DX789" s="1339"/>
      <c r="DY789" s="1340"/>
      <c r="DZ789" s="1338">
        <f t="shared" si="49"/>
        <v>0</v>
      </c>
      <c r="EA789" s="1339"/>
      <c r="EB789" s="1339"/>
      <c r="EC789" s="1339"/>
      <c r="ED789" s="1340"/>
      <c r="EE789" s="1338">
        <f t="shared" si="50"/>
        <v>0</v>
      </c>
      <c r="EF789" s="1339"/>
      <c r="EG789" s="1339"/>
      <c r="EH789" s="1339"/>
      <c r="EI789" s="1340"/>
      <c r="EJ789" s="1338">
        <f t="shared" si="51"/>
        <v>0</v>
      </c>
      <c r="EK789" s="1339"/>
      <c r="EL789" s="1339"/>
      <c r="EM789" s="1339"/>
      <c r="EN789" s="1340"/>
      <c r="EO789" s="1338">
        <f t="shared" si="52"/>
        <v>0</v>
      </c>
      <c r="EP789" s="1339"/>
      <c r="EQ789" s="1339"/>
      <c r="ER789" s="1339"/>
      <c r="ES789" s="1340"/>
      <c r="ET789" s="1338">
        <f t="shared" si="53"/>
        <v>0</v>
      </c>
      <c r="EU789" s="1339"/>
      <c r="EV789" s="1339"/>
      <c r="EW789" s="1339"/>
      <c r="EX789" s="1340"/>
    </row>
    <row r="790" spans="1:154" s="14" customFormat="1" ht="12.95" customHeight="1">
      <c r="A790"/>
      <c r="B790"/>
      <c r="C790"/>
      <c r="D790"/>
      <c r="E790"/>
      <c r="F790"/>
      <c r="G790"/>
      <c r="H790"/>
      <c r="I790"/>
      <c r="J790" s="1361"/>
      <c r="K790" s="1362"/>
      <c r="L790" s="1362"/>
      <c r="M790" s="1362"/>
      <c r="N790" s="1363"/>
      <c r="O790" s="1455"/>
      <c r="P790" s="1455"/>
      <c r="Q790" s="1455"/>
      <c r="R790" s="1455"/>
      <c r="S790" s="1455"/>
      <c r="T790" s="1607"/>
      <c r="U790" s="1608"/>
      <c r="V790" s="1608"/>
      <c r="W790" s="1609"/>
      <c r="X790" s="1469"/>
      <c r="Y790" s="1470"/>
      <c r="Z790" s="1470"/>
      <c r="AA790" s="1470"/>
      <c r="AB790" s="1471"/>
      <c r="AC790" s="1364">
        <f t="shared" si="41"/>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8">
        <f t="shared" si="42"/>
        <v>0</v>
      </c>
      <c r="CQ790" s="1339"/>
      <c r="CR790" s="1339"/>
      <c r="CS790" s="1339"/>
      <c r="CT790" s="1340"/>
      <c r="CU790" s="1338">
        <f t="shared" si="43"/>
        <v>0</v>
      </c>
      <c r="CV790" s="1339"/>
      <c r="CW790" s="1339"/>
      <c r="CX790" s="1339"/>
      <c r="CY790" s="1340"/>
      <c r="CZ790" s="1338">
        <f t="shared" si="44"/>
        <v>0</v>
      </c>
      <c r="DA790" s="1339"/>
      <c r="DB790" s="1339"/>
      <c r="DC790" s="1339"/>
      <c r="DD790" s="1340"/>
      <c r="DE790" s="1338">
        <f t="shared" si="45"/>
        <v>0</v>
      </c>
      <c r="DF790" s="1339"/>
      <c r="DG790" s="1339"/>
      <c r="DH790" s="1339"/>
      <c r="DI790" s="1340"/>
      <c r="DJ790" s="1338">
        <f t="shared" si="46"/>
        <v>0</v>
      </c>
      <c r="DK790" s="1339"/>
      <c r="DL790" s="1339"/>
      <c r="DM790" s="1339"/>
      <c r="DN790" s="1340"/>
      <c r="DO790" s="1338">
        <f t="shared" si="47"/>
        <v>0</v>
      </c>
      <c r="DP790" s="1339"/>
      <c r="DQ790" s="1339"/>
      <c r="DR790" s="1339"/>
      <c r="DS790" s="1340"/>
      <c r="DT790" s="6"/>
      <c r="DU790" s="1338">
        <f t="shared" si="48"/>
        <v>0</v>
      </c>
      <c r="DV790" s="1339"/>
      <c r="DW790" s="1339"/>
      <c r="DX790" s="1339"/>
      <c r="DY790" s="1340"/>
      <c r="DZ790" s="1338">
        <f t="shared" si="49"/>
        <v>0</v>
      </c>
      <c r="EA790" s="1339"/>
      <c r="EB790" s="1339"/>
      <c r="EC790" s="1339"/>
      <c r="ED790" s="1340"/>
      <c r="EE790" s="1338">
        <f t="shared" si="50"/>
        <v>0</v>
      </c>
      <c r="EF790" s="1339"/>
      <c r="EG790" s="1339"/>
      <c r="EH790" s="1339"/>
      <c r="EI790" s="1340"/>
      <c r="EJ790" s="1338">
        <f t="shared" si="51"/>
        <v>0</v>
      </c>
      <c r="EK790" s="1339"/>
      <c r="EL790" s="1339"/>
      <c r="EM790" s="1339"/>
      <c r="EN790" s="1340"/>
      <c r="EO790" s="1338">
        <f t="shared" si="52"/>
        <v>0</v>
      </c>
      <c r="EP790" s="1339"/>
      <c r="EQ790" s="1339"/>
      <c r="ER790" s="1339"/>
      <c r="ES790" s="1340"/>
      <c r="ET790" s="1338">
        <f t="shared" si="53"/>
        <v>0</v>
      </c>
      <c r="EU790" s="1339"/>
      <c r="EV790" s="1339"/>
      <c r="EW790" s="1339"/>
      <c r="EX790" s="1340"/>
    </row>
    <row r="791" spans="1:154" s="14" customFormat="1" ht="12.95" customHeight="1">
      <c r="A791"/>
      <c r="B791"/>
      <c r="C791"/>
      <c r="D791"/>
      <c r="E791"/>
      <c r="F791"/>
      <c r="G791"/>
      <c r="H791"/>
      <c r="I791"/>
      <c r="J791" s="1361"/>
      <c r="K791" s="1362"/>
      <c r="L791" s="1362"/>
      <c r="M791" s="1362"/>
      <c r="N791" s="1363"/>
      <c r="O791" s="1455"/>
      <c r="P791" s="1455"/>
      <c r="Q791" s="1455"/>
      <c r="R791" s="1455"/>
      <c r="S791" s="1455"/>
      <c r="T791" s="1607"/>
      <c r="U791" s="1608"/>
      <c r="V791" s="1608"/>
      <c r="W791" s="1609"/>
      <c r="X791" s="1469"/>
      <c r="Y791" s="1470"/>
      <c r="Z791" s="1470"/>
      <c r="AA791" s="1470"/>
      <c r="AB791" s="1471"/>
      <c r="AC791" s="1364">
        <f t="shared" si="41"/>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8">
        <f t="shared" si="42"/>
        <v>0</v>
      </c>
      <c r="CQ791" s="1339"/>
      <c r="CR791" s="1339"/>
      <c r="CS791" s="1339"/>
      <c r="CT791" s="1340"/>
      <c r="CU791" s="1338">
        <f t="shared" si="43"/>
        <v>0</v>
      </c>
      <c r="CV791" s="1339"/>
      <c r="CW791" s="1339"/>
      <c r="CX791" s="1339"/>
      <c r="CY791" s="1340"/>
      <c r="CZ791" s="1338">
        <f t="shared" si="44"/>
        <v>0</v>
      </c>
      <c r="DA791" s="1339"/>
      <c r="DB791" s="1339"/>
      <c r="DC791" s="1339"/>
      <c r="DD791" s="1340"/>
      <c r="DE791" s="1338">
        <f t="shared" si="45"/>
        <v>0</v>
      </c>
      <c r="DF791" s="1339"/>
      <c r="DG791" s="1339"/>
      <c r="DH791" s="1339"/>
      <c r="DI791" s="1340"/>
      <c r="DJ791" s="1338">
        <f t="shared" si="46"/>
        <v>0</v>
      </c>
      <c r="DK791" s="1339"/>
      <c r="DL791" s="1339"/>
      <c r="DM791" s="1339"/>
      <c r="DN791" s="1340"/>
      <c r="DO791" s="1338">
        <f t="shared" si="47"/>
        <v>0</v>
      </c>
      <c r="DP791" s="1339"/>
      <c r="DQ791" s="1339"/>
      <c r="DR791" s="1339"/>
      <c r="DS791" s="1340"/>
      <c r="DT791" s="6"/>
      <c r="DU791" s="1338">
        <f t="shared" si="48"/>
        <v>0</v>
      </c>
      <c r="DV791" s="1339"/>
      <c r="DW791" s="1339"/>
      <c r="DX791" s="1339"/>
      <c r="DY791" s="1340"/>
      <c r="DZ791" s="1338">
        <f t="shared" si="49"/>
        <v>0</v>
      </c>
      <c r="EA791" s="1339"/>
      <c r="EB791" s="1339"/>
      <c r="EC791" s="1339"/>
      <c r="ED791" s="1340"/>
      <c r="EE791" s="1338">
        <f t="shared" si="50"/>
        <v>0</v>
      </c>
      <c r="EF791" s="1339"/>
      <c r="EG791" s="1339"/>
      <c r="EH791" s="1339"/>
      <c r="EI791" s="1340"/>
      <c r="EJ791" s="1338">
        <f t="shared" si="51"/>
        <v>0</v>
      </c>
      <c r="EK791" s="1339"/>
      <c r="EL791" s="1339"/>
      <c r="EM791" s="1339"/>
      <c r="EN791" s="1340"/>
      <c r="EO791" s="1338">
        <f t="shared" si="52"/>
        <v>0</v>
      </c>
      <c r="EP791" s="1339"/>
      <c r="EQ791" s="1339"/>
      <c r="ER791" s="1339"/>
      <c r="ES791" s="1340"/>
      <c r="ET791" s="1338">
        <f t="shared" si="53"/>
        <v>0</v>
      </c>
      <c r="EU791" s="1339"/>
      <c r="EV791" s="1339"/>
      <c r="EW791" s="1339"/>
      <c r="EX791" s="1340"/>
    </row>
    <row r="792" spans="1:154" s="14" customFormat="1" ht="12.95" customHeight="1">
      <c r="A792"/>
      <c r="B792"/>
      <c r="C792"/>
      <c r="D792"/>
      <c r="E792"/>
      <c r="F792"/>
      <c r="G792"/>
      <c r="H792"/>
      <c r="I792"/>
      <c r="J792" s="1361"/>
      <c r="K792" s="1362"/>
      <c r="L792" s="1362"/>
      <c r="M792" s="1362"/>
      <c r="N792" s="1363"/>
      <c r="O792" s="1455"/>
      <c r="P792" s="1455"/>
      <c r="Q792" s="1455"/>
      <c r="R792" s="1455"/>
      <c r="S792" s="1455"/>
      <c r="T792" s="1607"/>
      <c r="U792" s="1608"/>
      <c r="V792" s="1608"/>
      <c r="W792" s="1609"/>
      <c r="X792" s="1469"/>
      <c r="Y792" s="1470"/>
      <c r="Z792" s="1470"/>
      <c r="AA792" s="1470"/>
      <c r="AB792" s="1471"/>
      <c r="AC792" s="1364">
        <f t="shared" si="41"/>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8">
        <f t="shared" si="42"/>
        <v>0</v>
      </c>
      <c r="CQ792" s="1339"/>
      <c r="CR792" s="1339"/>
      <c r="CS792" s="1339"/>
      <c r="CT792" s="1340"/>
      <c r="CU792" s="1338">
        <f t="shared" si="43"/>
        <v>0</v>
      </c>
      <c r="CV792" s="1339"/>
      <c r="CW792" s="1339"/>
      <c r="CX792" s="1339"/>
      <c r="CY792" s="1340"/>
      <c r="CZ792" s="1338">
        <f t="shared" si="44"/>
        <v>0</v>
      </c>
      <c r="DA792" s="1339"/>
      <c r="DB792" s="1339"/>
      <c r="DC792" s="1339"/>
      <c r="DD792" s="1340"/>
      <c r="DE792" s="1338">
        <f t="shared" si="45"/>
        <v>0</v>
      </c>
      <c r="DF792" s="1339"/>
      <c r="DG792" s="1339"/>
      <c r="DH792" s="1339"/>
      <c r="DI792" s="1340"/>
      <c r="DJ792" s="1338">
        <f t="shared" si="46"/>
        <v>0</v>
      </c>
      <c r="DK792" s="1339"/>
      <c r="DL792" s="1339"/>
      <c r="DM792" s="1339"/>
      <c r="DN792" s="1340"/>
      <c r="DO792" s="1338">
        <f t="shared" si="47"/>
        <v>0</v>
      </c>
      <c r="DP792" s="1339"/>
      <c r="DQ792" s="1339"/>
      <c r="DR792" s="1339"/>
      <c r="DS792" s="1340"/>
      <c r="DT792" s="6"/>
      <c r="DU792" s="1338">
        <f t="shared" si="48"/>
        <v>0</v>
      </c>
      <c r="DV792" s="1339"/>
      <c r="DW792" s="1339"/>
      <c r="DX792" s="1339"/>
      <c r="DY792" s="1340"/>
      <c r="DZ792" s="1338">
        <f t="shared" si="49"/>
        <v>0</v>
      </c>
      <c r="EA792" s="1339"/>
      <c r="EB792" s="1339"/>
      <c r="EC792" s="1339"/>
      <c r="ED792" s="1340"/>
      <c r="EE792" s="1338">
        <f t="shared" si="50"/>
        <v>0</v>
      </c>
      <c r="EF792" s="1339"/>
      <c r="EG792" s="1339"/>
      <c r="EH792" s="1339"/>
      <c r="EI792" s="1340"/>
      <c r="EJ792" s="1338">
        <f t="shared" si="51"/>
        <v>0</v>
      </c>
      <c r="EK792" s="1339"/>
      <c r="EL792" s="1339"/>
      <c r="EM792" s="1339"/>
      <c r="EN792" s="1340"/>
      <c r="EO792" s="1338">
        <f t="shared" si="52"/>
        <v>0</v>
      </c>
      <c r="EP792" s="1339"/>
      <c r="EQ792" s="1339"/>
      <c r="ER792" s="1339"/>
      <c r="ES792" s="1340"/>
      <c r="ET792" s="1338">
        <f t="shared" si="53"/>
        <v>0</v>
      </c>
      <c r="EU792" s="1339"/>
      <c r="EV792" s="1339"/>
      <c r="EW792" s="1339"/>
      <c r="EX792" s="1340"/>
    </row>
    <row r="793" spans="1:154" s="14" customFormat="1" ht="12.95" customHeight="1">
      <c r="A793"/>
      <c r="B793"/>
      <c r="C793"/>
      <c r="D793"/>
      <c r="E793"/>
      <c r="F793"/>
      <c r="G793"/>
      <c r="H793"/>
      <c r="I793"/>
      <c r="J793" s="1361"/>
      <c r="K793" s="1362"/>
      <c r="L793" s="1362"/>
      <c r="M793" s="1362"/>
      <c r="N793" s="1363"/>
      <c r="O793" s="1455"/>
      <c r="P793" s="1455"/>
      <c r="Q793" s="1455"/>
      <c r="R793" s="1455"/>
      <c r="S793" s="1455"/>
      <c r="T793" s="1607"/>
      <c r="U793" s="1608"/>
      <c r="V793" s="1608"/>
      <c r="W793" s="1609"/>
      <c r="X793" s="1469"/>
      <c r="Y793" s="1470"/>
      <c r="Z793" s="1470"/>
      <c r="AA793" s="1470"/>
      <c r="AB793" s="1471"/>
      <c r="AC793" s="1364">
        <f t="shared" si="41"/>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8">
        <f t="shared" si="42"/>
        <v>0</v>
      </c>
      <c r="CQ793" s="1339"/>
      <c r="CR793" s="1339"/>
      <c r="CS793" s="1339"/>
      <c r="CT793" s="1340"/>
      <c r="CU793" s="1338">
        <f t="shared" si="43"/>
        <v>0</v>
      </c>
      <c r="CV793" s="1339"/>
      <c r="CW793" s="1339"/>
      <c r="CX793" s="1339"/>
      <c r="CY793" s="1340"/>
      <c r="CZ793" s="1338">
        <f t="shared" si="44"/>
        <v>0</v>
      </c>
      <c r="DA793" s="1339"/>
      <c r="DB793" s="1339"/>
      <c r="DC793" s="1339"/>
      <c r="DD793" s="1340"/>
      <c r="DE793" s="1338">
        <f t="shared" si="45"/>
        <v>0</v>
      </c>
      <c r="DF793" s="1339"/>
      <c r="DG793" s="1339"/>
      <c r="DH793" s="1339"/>
      <c r="DI793" s="1340"/>
      <c r="DJ793" s="1338">
        <f t="shared" si="46"/>
        <v>0</v>
      </c>
      <c r="DK793" s="1339"/>
      <c r="DL793" s="1339"/>
      <c r="DM793" s="1339"/>
      <c r="DN793" s="1340"/>
      <c r="DO793" s="1338">
        <f t="shared" si="47"/>
        <v>0</v>
      </c>
      <c r="DP793" s="1339"/>
      <c r="DQ793" s="1339"/>
      <c r="DR793" s="1339"/>
      <c r="DS793" s="1340"/>
      <c r="DT793" s="6"/>
      <c r="DU793" s="1338">
        <f t="shared" si="48"/>
        <v>0</v>
      </c>
      <c r="DV793" s="1339"/>
      <c r="DW793" s="1339"/>
      <c r="DX793" s="1339"/>
      <c r="DY793" s="1340"/>
      <c r="DZ793" s="1338">
        <f t="shared" si="49"/>
        <v>0</v>
      </c>
      <c r="EA793" s="1339"/>
      <c r="EB793" s="1339"/>
      <c r="EC793" s="1339"/>
      <c r="ED793" s="1340"/>
      <c r="EE793" s="1338">
        <f t="shared" si="50"/>
        <v>0</v>
      </c>
      <c r="EF793" s="1339"/>
      <c r="EG793" s="1339"/>
      <c r="EH793" s="1339"/>
      <c r="EI793" s="1340"/>
      <c r="EJ793" s="1338">
        <f t="shared" si="51"/>
        <v>0</v>
      </c>
      <c r="EK793" s="1339"/>
      <c r="EL793" s="1339"/>
      <c r="EM793" s="1339"/>
      <c r="EN793" s="1340"/>
      <c r="EO793" s="1338">
        <f t="shared" si="52"/>
        <v>0</v>
      </c>
      <c r="EP793" s="1339"/>
      <c r="EQ793" s="1339"/>
      <c r="ER793" s="1339"/>
      <c r="ES793" s="1340"/>
      <c r="ET793" s="1338">
        <f t="shared" si="53"/>
        <v>0</v>
      </c>
      <c r="EU793" s="1339"/>
      <c r="EV793" s="1339"/>
      <c r="EW793" s="1339"/>
      <c r="EX793" s="1340"/>
    </row>
    <row r="794" spans="1:154" s="14" customFormat="1" ht="12.95" customHeight="1">
      <c r="A794"/>
      <c r="B794"/>
      <c r="C794"/>
      <c r="D794"/>
      <c r="E794"/>
      <c r="F794"/>
      <c r="G794"/>
      <c r="H794"/>
      <c r="I794"/>
      <c r="J794" s="1361"/>
      <c r="K794" s="1362"/>
      <c r="L794" s="1362"/>
      <c r="M794" s="1362"/>
      <c r="N794" s="1363"/>
      <c r="O794" s="1455"/>
      <c r="P794" s="1455"/>
      <c r="Q794" s="1455"/>
      <c r="R794" s="1455"/>
      <c r="S794" s="1455"/>
      <c r="T794" s="1607"/>
      <c r="U794" s="1608"/>
      <c r="V794" s="1608"/>
      <c r="W794" s="1609"/>
      <c r="X794" s="1469"/>
      <c r="Y794" s="1470"/>
      <c r="Z794" s="1470"/>
      <c r="AA794" s="1470"/>
      <c r="AB794" s="1471"/>
      <c r="AC794" s="1364">
        <f t="shared" si="41"/>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8">
        <f t="shared" si="42"/>
        <v>0</v>
      </c>
      <c r="CQ794" s="1339"/>
      <c r="CR794" s="1339"/>
      <c r="CS794" s="1339"/>
      <c r="CT794" s="1340"/>
      <c r="CU794" s="1338">
        <f t="shared" si="43"/>
        <v>0</v>
      </c>
      <c r="CV794" s="1339"/>
      <c r="CW794" s="1339"/>
      <c r="CX794" s="1339"/>
      <c r="CY794" s="1340"/>
      <c r="CZ794" s="1338">
        <f t="shared" si="44"/>
        <v>0</v>
      </c>
      <c r="DA794" s="1339"/>
      <c r="DB794" s="1339"/>
      <c r="DC794" s="1339"/>
      <c r="DD794" s="1340"/>
      <c r="DE794" s="1338">
        <f t="shared" si="45"/>
        <v>0</v>
      </c>
      <c r="DF794" s="1339"/>
      <c r="DG794" s="1339"/>
      <c r="DH794" s="1339"/>
      <c r="DI794" s="1340"/>
      <c r="DJ794" s="1338">
        <f t="shared" si="46"/>
        <v>0</v>
      </c>
      <c r="DK794" s="1339"/>
      <c r="DL794" s="1339"/>
      <c r="DM794" s="1339"/>
      <c r="DN794" s="1340"/>
      <c r="DO794" s="1338">
        <f t="shared" si="47"/>
        <v>0</v>
      </c>
      <c r="DP794" s="1339"/>
      <c r="DQ794" s="1339"/>
      <c r="DR794" s="1339"/>
      <c r="DS794" s="1340"/>
      <c r="DT794" s="6"/>
      <c r="DU794" s="1338">
        <f t="shared" si="48"/>
        <v>0</v>
      </c>
      <c r="DV794" s="1339"/>
      <c r="DW794" s="1339"/>
      <c r="DX794" s="1339"/>
      <c r="DY794" s="1340"/>
      <c r="DZ794" s="1338">
        <f t="shared" si="49"/>
        <v>0</v>
      </c>
      <c r="EA794" s="1339"/>
      <c r="EB794" s="1339"/>
      <c r="EC794" s="1339"/>
      <c r="ED794" s="1340"/>
      <c r="EE794" s="1338">
        <f t="shared" si="50"/>
        <v>0</v>
      </c>
      <c r="EF794" s="1339"/>
      <c r="EG794" s="1339"/>
      <c r="EH794" s="1339"/>
      <c r="EI794" s="1340"/>
      <c r="EJ794" s="1338">
        <f t="shared" si="51"/>
        <v>0</v>
      </c>
      <c r="EK794" s="1339"/>
      <c r="EL794" s="1339"/>
      <c r="EM794" s="1339"/>
      <c r="EN794" s="1340"/>
      <c r="EO794" s="1338">
        <f t="shared" si="52"/>
        <v>0</v>
      </c>
      <c r="EP794" s="1339"/>
      <c r="EQ794" s="1339"/>
      <c r="ER794" s="1339"/>
      <c r="ES794" s="1340"/>
      <c r="ET794" s="1338">
        <f t="shared" si="53"/>
        <v>0</v>
      </c>
      <c r="EU794" s="1339"/>
      <c r="EV794" s="1339"/>
      <c r="EW794" s="1339"/>
      <c r="EX794" s="1340"/>
    </row>
    <row r="795" spans="1:154" s="14" customFormat="1" ht="12.95" customHeight="1">
      <c r="A795"/>
      <c r="B795"/>
      <c r="C795"/>
      <c r="D795"/>
      <c r="E795"/>
      <c r="F795"/>
      <c r="G795"/>
      <c r="H795"/>
      <c r="I795"/>
      <c r="J795" s="1361"/>
      <c r="K795" s="1362"/>
      <c r="L795" s="1362"/>
      <c r="M795" s="1362"/>
      <c r="N795" s="1363"/>
      <c r="O795" s="1455"/>
      <c r="P795" s="1455"/>
      <c r="Q795" s="1455"/>
      <c r="R795" s="1455"/>
      <c r="S795" s="1455"/>
      <c r="T795" s="1607"/>
      <c r="U795" s="1608"/>
      <c r="V795" s="1608"/>
      <c r="W795" s="1609"/>
      <c r="X795" s="1469"/>
      <c r="Y795" s="1470"/>
      <c r="Z795" s="1470"/>
      <c r="AA795" s="1470"/>
      <c r="AB795" s="1471"/>
      <c r="AC795" s="1364">
        <f t="shared" si="41"/>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8">
        <f t="shared" si="42"/>
        <v>0</v>
      </c>
      <c r="CQ795" s="1339"/>
      <c r="CR795" s="1339"/>
      <c r="CS795" s="1339"/>
      <c r="CT795" s="1340"/>
      <c r="CU795" s="1338">
        <f t="shared" si="43"/>
        <v>0</v>
      </c>
      <c r="CV795" s="1339"/>
      <c r="CW795" s="1339"/>
      <c r="CX795" s="1339"/>
      <c r="CY795" s="1340"/>
      <c r="CZ795" s="1338">
        <f t="shared" si="44"/>
        <v>0</v>
      </c>
      <c r="DA795" s="1339"/>
      <c r="DB795" s="1339"/>
      <c r="DC795" s="1339"/>
      <c r="DD795" s="1340"/>
      <c r="DE795" s="1338">
        <f t="shared" si="45"/>
        <v>0</v>
      </c>
      <c r="DF795" s="1339"/>
      <c r="DG795" s="1339"/>
      <c r="DH795" s="1339"/>
      <c r="DI795" s="1340"/>
      <c r="DJ795" s="1338">
        <f t="shared" si="46"/>
        <v>0</v>
      </c>
      <c r="DK795" s="1339"/>
      <c r="DL795" s="1339"/>
      <c r="DM795" s="1339"/>
      <c r="DN795" s="1340"/>
      <c r="DO795" s="1338">
        <f t="shared" si="47"/>
        <v>0</v>
      </c>
      <c r="DP795" s="1339"/>
      <c r="DQ795" s="1339"/>
      <c r="DR795" s="1339"/>
      <c r="DS795" s="1340"/>
      <c r="DT795" s="6"/>
      <c r="DU795" s="1338">
        <f t="shared" si="48"/>
        <v>0</v>
      </c>
      <c r="DV795" s="1339"/>
      <c r="DW795" s="1339"/>
      <c r="DX795" s="1339"/>
      <c r="DY795" s="1340"/>
      <c r="DZ795" s="1338">
        <f t="shared" si="49"/>
        <v>0</v>
      </c>
      <c r="EA795" s="1339"/>
      <c r="EB795" s="1339"/>
      <c r="EC795" s="1339"/>
      <c r="ED795" s="1340"/>
      <c r="EE795" s="1338">
        <f t="shared" si="50"/>
        <v>0</v>
      </c>
      <c r="EF795" s="1339"/>
      <c r="EG795" s="1339"/>
      <c r="EH795" s="1339"/>
      <c r="EI795" s="1340"/>
      <c r="EJ795" s="1338">
        <f t="shared" si="51"/>
        <v>0</v>
      </c>
      <c r="EK795" s="1339"/>
      <c r="EL795" s="1339"/>
      <c r="EM795" s="1339"/>
      <c r="EN795" s="1340"/>
      <c r="EO795" s="1338">
        <f t="shared" si="52"/>
        <v>0</v>
      </c>
      <c r="EP795" s="1339"/>
      <c r="EQ795" s="1339"/>
      <c r="ER795" s="1339"/>
      <c r="ES795" s="1340"/>
      <c r="ET795" s="1338">
        <f t="shared" si="53"/>
        <v>0</v>
      </c>
      <c r="EU795" s="1339"/>
      <c r="EV795" s="1339"/>
      <c r="EW795" s="1339"/>
      <c r="EX795" s="1340"/>
    </row>
    <row r="796" spans="1:154" s="4" customFormat="1" ht="12.95" customHeight="1">
      <c r="A796"/>
      <c r="B796"/>
      <c r="C796"/>
      <c r="D796"/>
      <c r="E796"/>
      <c r="F796"/>
      <c r="G796"/>
      <c r="H796"/>
      <c r="I796"/>
      <c r="J796" s="1361"/>
      <c r="K796" s="1362"/>
      <c r="L796" s="1362"/>
      <c r="M796" s="1362"/>
      <c r="N796" s="1363"/>
      <c r="O796" s="1455"/>
      <c r="P796" s="1455"/>
      <c r="Q796" s="1455"/>
      <c r="R796" s="1455"/>
      <c r="S796" s="1455"/>
      <c r="T796" s="1607"/>
      <c r="U796" s="1608"/>
      <c r="V796" s="1608"/>
      <c r="W796" s="1609"/>
      <c r="X796" s="1469"/>
      <c r="Y796" s="1470"/>
      <c r="Z796" s="1470"/>
      <c r="AA796" s="1470"/>
      <c r="AB796" s="1471"/>
      <c r="AC796" s="1364">
        <f t="shared" si="41"/>
        <v>0</v>
      </c>
      <c r="AD796" s="1365"/>
      <c r="AE796" s="1365"/>
      <c r="AF796" s="1365"/>
      <c r="AG796" s="1366"/>
      <c r="AH796"/>
      <c r="AI796"/>
      <c r="AJ796"/>
      <c r="AK796"/>
      <c r="AL796"/>
      <c r="AM796"/>
      <c r="AN796"/>
      <c r="AO796"/>
      <c r="AP796"/>
      <c r="AQ796"/>
      <c r="AR796"/>
      <c r="AS796"/>
      <c r="AT796"/>
      <c r="AU796"/>
      <c r="AV796"/>
      <c r="AW796"/>
      <c r="AX796"/>
      <c r="AY796"/>
      <c r="AZ796" s="3"/>
      <c r="CP796" s="1338">
        <f t="shared" si="42"/>
        <v>0</v>
      </c>
      <c r="CQ796" s="1339"/>
      <c r="CR796" s="1339"/>
      <c r="CS796" s="1339"/>
      <c r="CT796" s="1340"/>
      <c r="CU796" s="1338">
        <f t="shared" si="43"/>
        <v>0</v>
      </c>
      <c r="CV796" s="1339"/>
      <c r="CW796" s="1339"/>
      <c r="CX796" s="1339"/>
      <c r="CY796" s="1340"/>
      <c r="CZ796" s="1338">
        <f t="shared" si="44"/>
        <v>0</v>
      </c>
      <c r="DA796" s="1339"/>
      <c r="DB796" s="1339"/>
      <c r="DC796" s="1339"/>
      <c r="DD796" s="1340"/>
      <c r="DE796" s="1338">
        <f t="shared" si="45"/>
        <v>0</v>
      </c>
      <c r="DF796" s="1339"/>
      <c r="DG796" s="1339"/>
      <c r="DH796" s="1339"/>
      <c r="DI796" s="1340"/>
      <c r="DJ796" s="1338">
        <f t="shared" si="46"/>
        <v>0</v>
      </c>
      <c r="DK796" s="1339"/>
      <c r="DL796" s="1339"/>
      <c r="DM796" s="1339"/>
      <c r="DN796" s="1340"/>
      <c r="DO796" s="1338">
        <f t="shared" si="47"/>
        <v>0</v>
      </c>
      <c r="DP796" s="1339"/>
      <c r="DQ796" s="1339"/>
      <c r="DR796" s="1339"/>
      <c r="DS796" s="1340"/>
      <c r="DT796" s="6"/>
      <c r="DU796" s="1338">
        <f t="shared" si="48"/>
        <v>0</v>
      </c>
      <c r="DV796" s="1339"/>
      <c r="DW796" s="1339"/>
      <c r="DX796" s="1339"/>
      <c r="DY796" s="1340"/>
      <c r="DZ796" s="1338">
        <f t="shared" si="49"/>
        <v>0</v>
      </c>
      <c r="EA796" s="1339"/>
      <c r="EB796" s="1339"/>
      <c r="EC796" s="1339"/>
      <c r="ED796" s="1340"/>
      <c r="EE796" s="1338">
        <f t="shared" si="50"/>
        <v>0</v>
      </c>
      <c r="EF796" s="1339"/>
      <c r="EG796" s="1339"/>
      <c r="EH796" s="1339"/>
      <c r="EI796" s="1340"/>
      <c r="EJ796" s="1338">
        <f t="shared" si="51"/>
        <v>0</v>
      </c>
      <c r="EK796" s="1339"/>
      <c r="EL796" s="1339"/>
      <c r="EM796" s="1339"/>
      <c r="EN796" s="1340"/>
      <c r="EO796" s="1338">
        <f t="shared" si="52"/>
        <v>0</v>
      </c>
      <c r="EP796" s="1339"/>
      <c r="EQ796" s="1339"/>
      <c r="ER796" s="1339"/>
      <c r="ES796" s="1340"/>
      <c r="ET796" s="1338">
        <f t="shared" si="53"/>
        <v>0</v>
      </c>
      <c r="EU796" s="1339"/>
      <c r="EV796" s="1339"/>
      <c r="EW796" s="1339"/>
      <c r="EX796" s="1340"/>
    </row>
    <row r="797" spans="1:154" s="4" customFormat="1" ht="12.95" customHeight="1">
      <c r="A797"/>
      <c r="B797"/>
      <c r="C797"/>
      <c r="D797"/>
      <c r="E797"/>
      <c r="F797"/>
      <c r="G797"/>
      <c r="H797"/>
      <c r="I797"/>
      <c r="J797" s="1513" t="s">
        <v>125</v>
      </c>
      <c r="K797" s="1514"/>
      <c r="L797" s="1514"/>
      <c r="M797" s="1514"/>
      <c r="N797" s="1516"/>
      <c r="O797" s="1636">
        <f>SUM(O787:S796)</f>
        <v>0</v>
      </c>
      <c r="P797" s="1636"/>
      <c r="Q797" s="1636"/>
      <c r="R797" s="1636"/>
      <c r="S797" s="1636"/>
      <c r="T797"/>
      <c r="U797"/>
      <c r="V797"/>
      <c r="W797"/>
      <c r="X797" s="902" t="s">
        <v>124</v>
      </c>
      <c r="Y797" s="11"/>
      <c r="Z797" s="11"/>
      <c r="AA797" s="11"/>
      <c r="AB797" s="909"/>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CP797" s="1341">
        <f>SUM(CP787:CT796)</f>
        <v>0</v>
      </c>
      <c r="CQ797" s="1342"/>
      <c r="CR797" s="1342"/>
      <c r="CS797" s="1342"/>
      <c r="CT797" s="1343"/>
      <c r="CU797" s="1354">
        <f>SUM(CU787:CY796)</f>
        <v>0</v>
      </c>
      <c r="CV797" s="1355"/>
      <c r="CW797" s="1355"/>
      <c r="CX797" s="1355"/>
      <c r="CY797" s="1356"/>
      <c r="CZ797" s="1354">
        <f>SUM(CZ787:DD796)</f>
        <v>0</v>
      </c>
      <c r="DA797" s="1355"/>
      <c r="DB797" s="1355"/>
      <c r="DC797" s="1355"/>
      <c r="DD797" s="1356"/>
      <c r="DE797" s="1354">
        <f>SUM(DE787:DI796)</f>
        <v>0</v>
      </c>
      <c r="DF797" s="1355"/>
      <c r="DG797" s="1355"/>
      <c r="DH797" s="1355"/>
      <c r="DI797" s="1356"/>
      <c r="DJ797" s="1354">
        <f>SUM(DJ787:DN796)</f>
        <v>0</v>
      </c>
      <c r="DK797" s="1355"/>
      <c r="DL797" s="1355"/>
      <c r="DM797" s="1355"/>
      <c r="DN797" s="1356"/>
      <c r="DO797" s="1354">
        <f>SUM(DO787:DS796)</f>
        <v>0</v>
      </c>
      <c r="DP797" s="1355"/>
      <c r="DQ797" s="1355"/>
      <c r="DR797" s="1355"/>
      <c r="DS797" s="1356"/>
      <c r="DT797" s="1012"/>
      <c r="DU797" s="1341">
        <f>SUM(DU787:DY796)</f>
        <v>0</v>
      </c>
      <c r="DV797" s="1342"/>
      <c r="DW797" s="1342"/>
      <c r="DX797" s="1342"/>
      <c r="DY797" s="1343"/>
      <c r="DZ797" s="1341">
        <f>SUM(DZ787:ED796)</f>
        <v>0</v>
      </c>
      <c r="EA797" s="1342"/>
      <c r="EB797" s="1342"/>
      <c r="EC797" s="1342"/>
      <c r="ED797" s="1343"/>
      <c r="EE797" s="1341">
        <f>SUM(EE787:EI796)</f>
        <v>0</v>
      </c>
      <c r="EF797" s="1342"/>
      <c r="EG797" s="1342"/>
      <c r="EH797" s="1342"/>
      <c r="EI797" s="1343"/>
      <c r="EJ797" s="1341">
        <f>SUM(EJ787:EN796)</f>
        <v>0</v>
      </c>
      <c r="EK797" s="1342"/>
      <c r="EL797" s="1342"/>
      <c r="EM797" s="1342"/>
      <c r="EN797" s="1343"/>
      <c r="EO797" s="1341">
        <f>SUM(EO787:ES796)</f>
        <v>0</v>
      </c>
      <c r="EP797" s="1342"/>
      <c r="EQ797" s="1342"/>
      <c r="ER797" s="1342"/>
      <c r="ES797" s="1343"/>
      <c r="ET797" s="1341">
        <f>SUM(ET787:EX796)</f>
        <v>0</v>
      </c>
      <c r="EU797" s="1342"/>
      <c r="EV797" s="1342"/>
      <c r="EW797" s="1342"/>
      <c r="EX797" s="1343"/>
    </row>
    <row r="798" spans="1:154" s="4" customFormat="1" ht="12.95" customHeight="1">
      <c r="A798"/>
      <c r="B798"/>
      <c r="C798" s="1380" t="str">
        <f>IF(O797&lt;&gt;AG438,"! Total market rate units in the Unit Mix Table above does not match the number of  market rate units on row #"&amp;TEXT(ROW(D438),"#"),"")</f>
        <v/>
      </c>
      <c r="D798" s="1380"/>
      <c r="E798" s="1380"/>
      <c r="F798" s="1380"/>
      <c r="G798" s="1380"/>
      <c r="H798" s="1380"/>
      <c r="I798" s="1380"/>
      <c r="J798" s="1380"/>
      <c r="K798" s="1380"/>
      <c r="L798" s="1380"/>
      <c r="M798" s="1380"/>
      <c r="N798" s="1380"/>
      <c r="O798" s="1380"/>
      <c r="P798" s="1380"/>
      <c r="Q798" s="1380"/>
      <c r="R798" s="1380"/>
      <c r="S798" s="1380"/>
      <c r="T798" s="1380"/>
      <c r="U798" s="1380"/>
      <c r="V798" s="1380"/>
      <c r="W798" s="1380"/>
      <c r="X798" s="1380"/>
      <c r="Y798" s="1380"/>
      <c r="Z798" s="1380"/>
      <c r="AA798" s="1380"/>
      <c r="AB798" s="1380"/>
      <c r="AC798" s="1380"/>
      <c r="AD798" s="1380"/>
      <c r="AE798" s="1380"/>
      <c r="AF798" s="1380"/>
      <c r="AG798" s="1380"/>
      <c r="AH798" s="1380"/>
      <c r="AI798" s="1380"/>
      <c r="AJ798" s="1380"/>
      <c r="AK798" s="1380"/>
      <c r="AL798" s="1380"/>
      <c r="AM798" s="1380"/>
      <c r="AN798" s="1380"/>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80"/>
      <c r="D799" s="1380"/>
      <c r="E799" s="1380"/>
      <c r="F799" s="1380"/>
      <c r="G799" s="1380"/>
      <c r="H799" s="1380"/>
      <c r="I799" s="1380"/>
      <c r="J799" s="1380"/>
      <c r="K799" s="1380"/>
      <c r="L799" s="1380"/>
      <c r="M799" s="1380"/>
      <c r="N799" s="1380"/>
      <c r="O799" s="1380"/>
      <c r="P799" s="1380"/>
      <c r="Q799" s="1380"/>
      <c r="R799" s="1380"/>
      <c r="S799" s="1380"/>
      <c r="T799" s="1380"/>
      <c r="U799" s="1380"/>
      <c r="V799" s="1380"/>
      <c r="W799" s="1380"/>
      <c r="X799" s="1380"/>
      <c r="Y799" s="1380"/>
      <c r="Z799" s="1380"/>
      <c r="AA799" s="1380"/>
      <c r="AB799" s="1380"/>
      <c r="AC799" s="1380"/>
      <c r="AD799" s="1380"/>
      <c r="AE799" s="1380"/>
      <c r="AF799" s="1380"/>
      <c r="AG799" s="1380"/>
      <c r="AH799" s="1380"/>
      <c r="AI799" s="1380"/>
      <c r="AJ799" s="1380"/>
      <c r="AK799" s="1380"/>
      <c r="AL799" s="1380"/>
      <c r="AM799" s="1380"/>
      <c r="AN799" s="138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51">
        <f>SUM(DU797:EX797)</f>
        <v>0</v>
      </c>
      <c r="EU799" s="1352"/>
      <c r="EV799" s="1352"/>
      <c r="EW799" s="1352"/>
      <c r="EX799" s="135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8">
        <f>O753+AC777+AC797</f>
        <v>242511</v>
      </c>
      <c r="Z800" s="1628"/>
      <c r="AA800" s="1628"/>
      <c r="AB800" s="1628"/>
      <c r="AC800" s="162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8">
        <f>(O753+AC777+AC797)*12</f>
        <v>2910132</v>
      </c>
      <c r="Z801" s="1628"/>
      <c r="AA801" s="1628"/>
      <c r="AB801" s="1628"/>
      <c r="AC801" s="162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4">
        <f>CP753+CP777+CP797</f>
        <v>0</v>
      </c>
      <c r="CQ802" s="1355"/>
      <c r="CR802" s="1355"/>
      <c r="CS802" s="1355"/>
      <c r="CT802" s="1356"/>
      <c r="CU802" s="1354">
        <f>CU753+CU777+CU797</f>
        <v>158</v>
      </c>
      <c r="CV802" s="1355"/>
      <c r="CW802" s="1355"/>
      <c r="CX802" s="1355"/>
      <c r="CY802" s="1356"/>
      <c r="CZ802" s="1354">
        <f>CZ753+CZ777+CZ797</f>
        <v>1</v>
      </c>
      <c r="DA802" s="1355"/>
      <c r="DB802" s="1355"/>
      <c r="DC802" s="1355"/>
      <c r="DD802" s="1356"/>
      <c r="DE802" s="1354">
        <f>DE753+DE777+DE797</f>
        <v>0</v>
      </c>
      <c r="DF802" s="1355"/>
      <c r="DG802" s="1355"/>
      <c r="DH802" s="1355"/>
      <c r="DI802" s="1356"/>
      <c r="DJ802" s="1354">
        <f>DJ753+DJ777+DJ797</f>
        <v>0</v>
      </c>
      <c r="DK802" s="1355"/>
      <c r="DL802" s="1355"/>
      <c r="DM802" s="1355"/>
      <c r="DN802" s="1356"/>
      <c r="DO802" s="1357">
        <f>DO797+DO777+DO753</f>
        <v>0</v>
      </c>
      <c r="DP802" s="1358"/>
      <c r="DQ802" s="1358"/>
      <c r="DR802" s="1358"/>
      <c r="DS802" s="1359"/>
      <c r="DT802" s="3"/>
      <c r="DU802" s="861">
        <f>DU755+DU800</f>
        <v>157</v>
      </c>
      <c r="DV802" s="57" t="s">
        <v>1861</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618">
        <v>157</v>
      </c>
      <c r="AA806" s="1619"/>
      <c r="AB806" s="1619"/>
      <c r="AC806" s="1619"/>
      <c r="AD806" s="1619"/>
      <c r="AE806" s="162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1">
        <v>20</v>
      </c>
      <c r="AA807" s="1619"/>
      <c r="AB807" s="1619"/>
      <c r="AC807" s="1619"/>
      <c r="AD807" s="1619"/>
      <c r="AE807" s="162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4">
        <v>53447</v>
      </c>
      <c r="AA808" s="1547"/>
      <c r="AB808" s="1547"/>
      <c r="AC808" s="1547"/>
      <c r="AD808" s="1547"/>
      <c r="AE808" s="16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445584</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4000</v>
      </c>
      <c r="AA813" s="1344"/>
      <c r="AB813" s="1344"/>
      <c r="AC813" s="1344"/>
      <c r="AD813" s="1344"/>
      <c r="AE813" s="134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44"/>
      <c r="AB814" s="1344"/>
      <c r="AC814" s="1344"/>
      <c r="AD814" s="1344"/>
      <c r="AE814" s="134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44"/>
      <c r="AB815" s="1344"/>
      <c r="AC815" s="1344"/>
      <c r="AD815" s="1344"/>
      <c r="AE815" s="134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25" t="s">
        <v>334</v>
      </c>
      <c r="Q816" s="1626"/>
      <c r="R816" s="1626"/>
      <c r="S816" s="1626"/>
      <c r="T816" s="1626"/>
      <c r="U816" s="1626"/>
      <c r="V816" s="1626"/>
      <c r="W816" s="1626"/>
      <c r="X816" s="1626"/>
      <c r="Y816" s="1627"/>
      <c r="Z816" s="1476"/>
      <c r="AA816" s="1344"/>
      <c r="AB816" s="1344"/>
      <c r="AC816" s="1344"/>
      <c r="AD816" s="1344"/>
      <c r="AE816" s="134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4000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3">
        <f>Z817+Y801+Z809</f>
        <v>3359716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10" t="s">
        <v>126</v>
      </c>
      <c r="N823" s="1610"/>
      <c r="O823" s="1610"/>
      <c r="P823" s="1611"/>
      <c r="Q823" s="1617" t="s">
        <v>290</v>
      </c>
      <c r="R823" s="1617"/>
      <c r="S823" s="1617"/>
      <c r="T823" s="1617"/>
      <c r="U823" s="1617" t="s">
        <v>291</v>
      </c>
      <c r="V823" s="1617"/>
      <c r="W823" s="1617"/>
      <c r="X823" s="1617"/>
      <c r="Y823" s="1617" t="s">
        <v>292</v>
      </c>
      <c r="Z823" s="1617"/>
      <c r="AA823" s="1617"/>
      <c r="AB823" s="1617"/>
      <c r="AC823" s="1617" t="s">
        <v>360</v>
      </c>
      <c r="AD823" s="1617"/>
      <c r="AE823" s="1617"/>
      <c r="AF823" s="1617"/>
      <c r="AG823" s="1629" t="s">
        <v>2763</v>
      </c>
      <c r="AH823" s="1629"/>
      <c r="AI823" s="1629"/>
      <c r="AJ823" s="16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12"/>
      <c r="N824" s="1612"/>
      <c r="O824" s="1612"/>
      <c r="P824" s="1613"/>
      <c r="Q824" s="1617"/>
      <c r="R824" s="1617"/>
      <c r="S824" s="1617"/>
      <c r="T824" s="1617"/>
      <c r="U824" s="1617"/>
      <c r="V824" s="1617"/>
      <c r="W824" s="1617"/>
      <c r="X824" s="1617"/>
      <c r="Y824" s="1617"/>
      <c r="Z824" s="1617"/>
      <c r="AA824" s="1617"/>
      <c r="AB824" s="1617"/>
      <c r="AC824" s="1617"/>
      <c r="AD824" s="1617"/>
      <c r="AE824" s="1617"/>
      <c r="AF824" s="1617"/>
      <c r="AG824" s="1629"/>
      <c r="AH824" s="1629"/>
      <c r="AI824" s="1629"/>
      <c r="AJ824" s="16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96"/>
      <c r="E825" s="1496"/>
      <c r="F825" s="1496"/>
      <c r="G825" s="1496"/>
      <c r="H825" s="1496"/>
      <c r="I825" s="48"/>
      <c r="J825" s="48"/>
      <c r="K825" s="48"/>
      <c r="L825" s="49"/>
      <c r="M825" s="1604"/>
      <c r="N825" s="1604"/>
      <c r="O825" s="1604"/>
      <c r="P825" s="1604"/>
      <c r="Q825" s="1604"/>
      <c r="R825" s="1604"/>
      <c r="S825" s="1604"/>
      <c r="T825" s="1604"/>
      <c r="U825" s="1604"/>
      <c r="V825" s="1604"/>
      <c r="W825" s="1604"/>
      <c r="X825" s="1604"/>
      <c r="Y825" s="1604"/>
      <c r="Z825" s="1604"/>
      <c r="AA825" s="1604"/>
      <c r="AB825" s="1604"/>
      <c r="AC825" s="1500"/>
      <c r="AD825" s="1501"/>
      <c r="AE825" s="1501"/>
      <c r="AF825" s="1502"/>
      <c r="AG825" s="1500"/>
      <c r="AH825" s="1501"/>
      <c r="AI825" s="1501"/>
      <c r="AJ825" s="150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43" t="s">
        <v>41</v>
      </c>
      <c r="D826" s="1530"/>
      <c r="E826" s="1530"/>
      <c r="F826" s="1530"/>
      <c r="G826" s="1530"/>
      <c r="H826" s="1530"/>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500"/>
      <c r="AD826" s="1501"/>
      <c r="AE826" s="1501"/>
      <c r="AF826" s="1502"/>
      <c r="AG826" s="1500"/>
      <c r="AH826" s="1501"/>
      <c r="AI826" s="1501"/>
      <c r="AJ826" s="150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43" t="s">
        <v>42</v>
      </c>
      <c r="D827" s="1530"/>
      <c r="E827" s="1530"/>
      <c r="F827" s="1530"/>
      <c r="G827" s="1530"/>
      <c r="H827" s="1530"/>
      <c r="I827" s="60"/>
      <c r="J827" s="60"/>
      <c r="K827" s="60"/>
      <c r="L827" s="61"/>
      <c r="M827" s="1604"/>
      <c r="N827" s="1604"/>
      <c r="O827" s="1604"/>
      <c r="P827" s="1604"/>
      <c r="Q827" s="1604"/>
      <c r="R827" s="1604"/>
      <c r="S827" s="1604"/>
      <c r="T827" s="1604"/>
      <c r="U827" s="1604"/>
      <c r="V827" s="1604"/>
      <c r="W827" s="1604"/>
      <c r="X827" s="1604"/>
      <c r="Y827" s="1604"/>
      <c r="Z827" s="1604"/>
      <c r="AA827" s="1604"/>
      <c r="AB827" s="1604"/>
      <c r="AC827" s="1500"/>
      <c r="AD827" s="1501"/>
      <c r="AE827" s="1501"/>
      <c r="AF827" s="1502"/>
      <c r="AG827" s="1500"/>
      <c r="AH827" s="1501"/>
      <c r="AI827" s="1501"/>
      <c r="AJ827" s="150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43" t="s">
        <v>761</v>
      </c>
      <c r="D828" s="1530"/>
      <c r="E828" s="1530"/>
      <c r="F828" s="1530"/>
      <c r="G828" s="1530"/>
      <c r="H828" s="1530"/>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500"/>
      <c r="AD828" s="1501"/>
      <c r="AE828" s="1501"/>
      <c r="AF828" s="1502"/>
      <c r="AG828" s="1500"/>
      <c r="AH828" s="1501"/>
      <c r="AI828" s="1501"/>
      <c r="AJ828" s="150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43" t="s">
        <v>459</v>
      </c>
      <c r="D829" s="1530"/>
      <c r="E829" s="1530"/>
      <c r="F829" s="1530"/>
      <c r="G829" s="1530"/>
      <c r="H829" s="1530"/>
      <c r="I829" s="60"/>
      <c r="J829" s="60"/>
      <c r="K829" s="60"/>
      <c r="L829" s="61"/>
      <c r="M829" s="1604"/>
      <c r="N829" s="1604"/>
      <c r="O829" s="1604"/>
      <c r="P829" s="1604"/>
      <c r="Q829" s="1604">
        <v>43</v>
      </c>
      <c r="R829" s="1604"/>
      <c r="S829" s="1604"/>
      <c r="T829" s="1604"/>
      <c r="U829" s="1604"/>
      <c r="V829" s="1604"/>
      <c r="W829" s="1604"/>
      <c r="X829" s="1604"/>
      <c r="Y829" s="1604"/>
      <c r="Z829" s="1604"/>
      <c r="AA829" s="1604"/>
      <c r="AB829" s="1604"/>
      <c r="AC829" s="1500"/>
      <c r="AD829" s="1501"/>
      <c r="AE829" s="1501"/>
      <c r="AF829" s="1502"/>
      <c r="AG829" s="1500">
        <v>44</v>
      </c>
      <c r="AH829" s="1501"/>
      <c r="AI829" s="1501"/>
      <c r="AJ829" s="150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96" t="s">
        <v>782</v>
      </c>
      <c r="D830" s="1530"/>
      <c r="E830" s="1530"/>
      <c r="F830" s="1530"/>
      <c r="G830" s="1530"/>
      <c r="H830" s="1530"/>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500"/>
      <c r="AD830" s="1501"/>
      <c r="AE830" s="1501"/>
      <c r="AF830" s="1502"/>
      <c r="AG830" s="1500"/>
      <c r="AH830" s="1501"/>
      <c r="AI830" s="1501"/>
      <c r="AJ830" s="150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25" t="s">
        <v>334</v>
      </c>
      <c r="G831" s="1626"/>
      <c r="H831" s="1626"/>
      <c r="I831" s="1626"/>
      <c r="J831" s="1626"/>
      <c r="K831" s="1626"/>
      <c r="L831" s="1626"/>
      <c r="M831" s="1604"/>
      <c r="N831" s="1604"/>
      <c r="O831" s="1604"/>
      <c r="P831" s="1604"/>
      <c r="Q831" s="1604"/>
      <c r="R831" s="1604"/>
      <c r="S831" s="1604"/>
      <c r="T831" s="1604"/>
      <c r="U831" s="1604"/>
      <c r="V831" s="1604"/>
      <c r="W831" s="1604"/>
      <c r="X831" s="1604"/>
      <c r="Y831" s="1604"/>
      <c r="Z831" s="1604"/>
      <c r="AA831" s="1604"/>
      <c r="AB831" s="1604"/>
      <c r="AC831" s="1500"/>
      <c r="AD831" s="1501"/>
      <c r="AE831" s="1501"/>
      <c r="AF831" s="1502"/>
      <c r="AG831" s="1500"/>
      <c r="AH831" s="1501"/>
      <c r="AI831" s="1501"/>
      <c r="AJ831" s="150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513" t="s">
        <v>124</v>
      </c>
      <c r="D832" s="1514"/>
      <c r="E832" s="1514"/>
      <c r="F832" s="1514"/>
      <c r="G832" s="1514"/>
      <c r="H832" s="1514"/>
      <c r="I832" s="1514"/>
      <c r="J832" s="1514"/>
      <c r="K832" s="1514"/>
      <c r="L832" s="1516"/>
      <c r="M832" s="1649">
        <f>SUM(M825:P831)</f>
        <v>0</v>
      </c>
      <c r="N832" s="1649"/>
      <c r="O832" s="1649"/>
      <c r="P832" s="1649"/>
      <c r="Q832" s="1649">
        <f>SUM(Q825:T831)</f>
        <v>43</v>
      </c>
      <c r="R832" s="1649"/>
      <c r="S832" s="1649"/>
      <c r="T832" s="1649"/>
      <c r="U832" s="1649">
        <f>SUM(U825:X831)</f>
        <v>0</v>
      </c>
      <c r="V832" s="1649"/>
      <c r="W832" s="1649"/>
      <c r="X832" s="1649"/>
      <c r="Y832" s="1649">
        <f>SUM(Y825:AB831)</f>
        <v>0</v>
      </c>
      <c r="Z832" s="1649"/>
      <c r="AA832" s="1649"/>
      <c r="AB832" s="1649"/>
      <c r="AC832" s="1649">
        <f>SUM(AC825:AF831)</f>
        <v>0</v>
      </c>
      <c r="AD832" s="1649"/>
      <c r="AE832" s="1649"/>
      <c r="AF832" s="1649"/>
      <c r="AG832" s="1649">
        <f>SUM(AG825:AJ831)</f>
        <v>44</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5" t="s">
        <v>2764</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1">
        <v>3710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1">
        <v>8000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1">
        <f>30850+13356</f>
        <v>44206</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1">
        <v>31565</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25" t="s">
        <v>2765</v>
      </c>
      <c r="N846" s="1626"/>
      <c r="O846" s="1626"/>
      <c r="P846" s="1626"/>
      <c r="Q846" s="1626"/>
      <c r="R846" s="1626"/>
      <c r="S846" s="1626"/>
      <c r="T846" s="1626"/>
      <c r="U846" s="1626"/>
      <c r="V846" s="1627"/>
      <c r="W846" s="1641">
        <v>89821</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3">
        <f>SUM(W842:W846)</f>
        <v>177302</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343</v>
      </c>
      <c r="J849" s="1513" t="s">
        <v>344</v>
      </c>
      <c r="K849" s="1514"/>
      <c r="L849" s="1514"/>
      <c r="M849" s="1514"/>
      <c r="N849" s="1514"/>
      <c r="O849" s="1514"/>
      <c r="P849" s="1514"/>
      <c r="Q849" s="1514"/>
      <c r="R849" s="1514"/>
      <c r="S849" s="1514"/>
      <c r="T849" s="1514"/>
      <c r="U849" s="1514"/>
      <c r="V849" s="1516"/>
      <c r="W849" s="1476">
        <v>190800</v>
      </c>
      <c r="X849" s="1344"/>
      <c r="Y849" s="1344"/>
      <c r="Z849" s="1344"/>
      <c r="AA849" s="1344"/>
      <c r="AB849" s="1344"/>
      <c r="AC849" s="1345"/>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633"/>
      <c r="BA851" s="1633"/>
      <c r="BB851" s="14"/>
      <c r="BC851" s="14"/>
    </row>
    <row r="852" spans="3:55" ht="12.95" customHeight="1">
      <c r="J852" s="45" t="s">
        <v>350</v>
      </c>
      <c r="K852" s="5"/>
      <c r="L852" s="5"/>
      <c r="M852" s="5"/>
      <c r="N852" s="5"/>
      <c r="O852" s="5"/>
      <c r="P852" s="5"/>
      <c r="Q852" s="5"/>
      <c r="R852" s="5"/>
      <c r="S852" s="5"/>
      <c r="T852" s="5"/>
      <c r="U852" s="5"/>
      <c r="V852" s="46"/>
      <c r="W852" s="1653">
        <v>26514</v>
      </c>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76991</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f>77045+44704</f>
        <v>121749</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654">
        <f>SUM(W851:W854)</f>
        <v>225254</v>
      </c>
      <c r="X855" s="1654"/>
      <c r="Y855" s="1654"/>
      <c r="Z855" s="1654"/>
      <c r="AA855" s="1654"/>
      <c r="AB855" s="1654"/>
      <c r="AC855" s="1654"/>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0">
        <v>175527</v>
      </c>
      <c r="X857" s="1651"/>
      <c r="Y857" s="1651"/>
      <c r="Z857" s="1651"/>
      <c r="AA857" s="1651"/>
      <c r="AB857" s="1651"/>
      <c r="AC857" s="1652"/>
      <c r="AD857" s="528"/>
      <c r="AZ857" s="34"/>
      <c r="BA857" s="34"/>
      <c r="BB857" s="34"/>
      <c r="BC857" s="34"/>
    </row>
    <row r="858" spans="3:55" ht="12.95" customHeight="1">
      <c r="C858" s="2" t="s">
        <v>346</v>
      </c>
      <c r="J858" s="121" t="s">
        <v>1653</v>
      </c>
      <c r="K858" s="5"/>
      <c r="L858" s="5"/>
      <c r="M858" s="5"/>
      <c r="N858" s="5"/>
      <c r="O858" s="5"/>
      <c r="P858" s="5"/>
      <c r="Q858" s="5"/>
      <c r="R858" s="5"/>
      <c r="S858" s="5"/>
      <c r="T858" s="1639">
        <v>4</v>
      </c>
      <c r="U858" s="1517"/>
      <c r="V858" s="164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0">
        <v>234209</v>
      </c>
      <c r="X859" s="1651"/>
      <c r="Y859" s="1651"/>
      <c r="Z859" s="1651"/>
      <c r="AA859" s="1651"/>
      <c r="AB859" s="1651"/>
      <c r="AC859" s="1652"/>
      <c r="AD859" s="533"/>
      <c r="AZ859" s="34"/>
      <c r="BA859" s="34"/>
      <c r="BB859" s="34"/>
      <c r="BC859" s="34"/>
    </row>
    <row r="860" spans="3:55" ht="12.95" customHeight="1">
      <c r="C860" s="2"/>
      <c r="J860" s="121" t="s">
        <v>1654</v>
      </c>
      <c r="K860" s="5"/>
      <c r="L860" s="5"/>
      <c r="M860" s="5"/>
      <c r="N860" s="5"/>
      <c r="O860" s="5"/>
      <c r="P860" s="5"/>
      <c r="Q860" s="5"/>
      <c r="R860" s="5"/>
      <c r="S860" s="5"/>
      <c r="T860" s="1639">
        <v>2</v>
      </c>
      <c r="U860" s="1517"/>
      <c r="V860" s="1640"/>
      <c r="W860" s="874"/>
      <c r="X860" s="875"/>
      <c r="Y860" s="875"/>
      <c r="Z860" s="875"/>
      <c r="AA860" s="875"/>
      <c r="AB860" s="875"/>
      <c r="AC860" s="876"/>
      <c r="AD860" s="533"/>
      <c r="AZ860" s="34"/>
      <c r="BA860" s="34"/>
      <c r="BB860" s="34"/>
      <c r="BC860" s="34"/>
    </row>
    <row r="861" spans="3:55" ht="12.95" customHeight="1">
      <c r="J861" s="45" t="s">
        <v>170</v>
      </c>
      <c r="K861" s="5"/>
      <c r="L861" s="5"/>
      <c r="M861" s="1625" t="s">
        <v>2766</v>
      </c>
      <c r="N861" s="1626"/>
      <c r="O861" s="1626"/>
      <c r="P861" s="1626"/>
      <c r="Q861" s="1626"/>
      <c r="R861" s="1626"/>
      <c r="S861" s="1626"/>
      <c r="T861" s="1626"/>
      <c r="U861" s="1626"/>
      <c r="V861" s="1627"/>
      <c r="W861" s="1650">
        <v>211212</v>
      </c>
      <c r="X861" s="1651"/>
      <c r="Y861" s="1651"/>
      <c r="Z861" s="1651"/>
      <c r="AA861" s="1651"/>
      <c r="AB861" s="1651"/>
      <c r="AC861" s="165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620948</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0">
        <v>229993</v>
      </c>
      <c r="X863" s="1651"/>
      <c r="Y863" s="1651"/>
      <c r="Z863" s="1651"/>
      <c r="AA863" s="1651"/>
      <c r="AB863" s="1651"/>
      <c r="AC863" s="165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1">
        <v>11364</v>
      </c>
      <c r="X865" s="1641"/>
      <c r="Y865" s="1641"/>
      <c r="Z865" s="1641"/>
      <c r="AA865" s="1641"/>
      <c r="AB865" s="1641"/>
      <c r="AC865" s="1641"/>
      <c r="AU865" s="14"/>
      <c r="AZ865" s="34"/>
      <c r="BA865" s="34"/>
      <c r="BB865" s="34"/>
      <c r="BC865" s="34"/>
    </row>
    <row r="866" spans="3:55" ht="12.95" customHeight="1">
      <c r="J866" s="45" t="s">
        <v>522</v>
      </c>
      <c r="K866" s="5"/>
      <c r="L866" s="5"/>
      <c r="M866" s="5"/>
      <c r="N866" s="5"/>
      <c r="O866" s="5"/>
      <c r="P866" s="5"/>
      <c r="Q866" s="5"/>
      <c r="R866" s="5"/>
      <c r="S866" s="5"/>
      <c r="T866" s="5"/>
      <c r="U866" s="5"/>
      <c r="V866" s="46"/>
      <c r="W866" s="1641">
        <v>52210</v>
      </c>
      <c r="X866" s="1641"/>
      <c r="Y866" s="1641"/>
      <c r="Z866" s="1641"/>
      <c r="AA866" s="1641"/>
      <c r="AB866" s="1641"/>
      <c r="AC866" s="1641"/>
      <c r="AU866" s="4"/>
      <c r="AZ866" s="34"/>
      <c r="BA866" s="34"/>
      <c r="BB866" s="34"/>
      <c r="BC866" s="34"/>
    </row>
    <row r="867" spans="3:55" ht="12.95" customHeight="1">
      <c r="J867" s="45" t="s">
        <v>521</v>
      </c>
      <c r="K867" s="5"/>
      <c r="L867" s="5"/>
      <c r="M867" s="5"/>
      <c r="N867" s="5"/>
      <c r="O867" s="5"/>
      <c r="P867" s="5"/>
      <c r="Q867" s="5"/>
      <c r="R867" s="5"/>
      <c r="S867" s="5"/>
      <c r="T867" s="5"/>
      <c r="U867" s="5"/>
      <c r="V867" s="46"/>
      <c r="W867" s="1641">
        <v>82727</v>
      </c>
      <c r="X867" s="1641"/>
      <c r="Y867" s="1641"/>
      <c r="Z867" s="1641"/>
      <c r="AA867" s="1641"/>
      <c r="AB867" s="1641"/>
      <c r="AC867" s="1641"/>
      <c r="AU867" s="4"/>
      <c r="AZ867" s="34"/>
      <c r="BA867" s="34"/>
      <c r="BB867" s="34"/>
      <c r="BC867" s="34"/>
    </row>
    <row r="868" spans="3:55" ht="12.95" customHeight="1">
      <c r="J868" s="45" t="s">
        <v>520</v>
      </c>
      <c r="K868" s="5"/>
      <c r="L868" s="5"/>
      <c r="M868" s="5"/>
      <c r="N868" s="5"/>
      <c r="O868" s="5"/>
      <c r="P868" s="5"/>
      <c r="Q868" s="5"/>
      <c r="R868" s="5"/>
      <c r="S868" s="5"/>
      <c r="T868" s="5"/>
      <c r="U868" s="5"/>
      <c r="V868" s="46"/>
      <c r="W868" s="1641">
        <v>22029</v>
      </c>
      <c r="X868" s="1641"/>
      <c r="Y868" s="1641"/>
      <c r="Z868" s="1641"/>
      <c r="AA868" s="1641"/>
      <c r="AB868" s="1641"/>
      <c r="AC868" s="1641"/>
      <c r="AU868" s="4"/>
      <c r="AZ868" s="34"/>
      <c r="BA868" s="34"/>
      <c r="BB868" s="34"/>
      <c r="BC868" s="34"/>
    </row>
    <row r="869" spans="3:55" ht="12.95" customHeight="1">
      <c r="J869" s="45" t="s">
        <v>519</v>
      </c>
      <c r="K869" s="5"/>
      <c r="L869" s="5"/>
      <c r="M869" s="5"/>
      <c r="N869" s="5"/>
      <c r="O869" s="5"/>
      <c r="P869" s="5"/>
      <c r="Q869" s="5"/>
      <c r="R869" s="5"/>
      <c r="S869" s="5"/>
      <c r="T869" s="5"/>
      <c r="U869" s="5"/>
      <c r="V869" s="46"/>
      <c r="W869" s="1641">
        <v>30281</v>
      </c>
      <c r="X869" s="1641"/>
      <c r="Y869" s="1641"/>
      <c r="Z869" s="1641"/>
      <c r="AA869" s="1641"/>
      <c r="AB869" s="1641"/>
      <c r="AC869" s="1641"/>
      <c r="AU869" s="4"/>
      <c r="AZ869" s="34"/>
      <c r="BA869" s="34"/>
      <c r="BB869" s="34"/>
      <c r="BC869" s="34"/>
    </row>
    <row r="870" spans="3:55" ht="12.95" customHeight="1">
      <c r="J870" s="45" t="s">
        <v>518</v>
      </c>
      <c r="K870" s="5"/>
      <c r="L870" s="5"/>
      <c r="M870" s="5"/>
      <c r="N870" s="5"/>
      <c r="O870" s="5"/>
      <c r="P870" s="5"/>
      <c r="Q870" s="5"/>
      <c r="R870" s="5"/>
      <c r="S870" s="5"/>
      <c r="T870" s="5"/>
      <c r="U870" s="5"/>
      <c r="V870" s="46"/>
      <c r="W870" s="1641">
        <v>17974</v>
      </c>
      <c r="X870" s="1641"/>
      <c r="Y870" s="1641"/>
      <c r="Z870" s="1641"/>
      <c r="AA870" s="1641"/>
      <c r="AB870" s="1641"/>
      <c r="AC870" s="1641"/>
      <c r="AU870" s="4"/>
      <c r="AZ870" s="34"/>
      <c r="BA870" s="34"/>
      <c r="BB870" s="34"/>
      <c r="BC870" s="34"/>
    </row>
    <row r="871" spans="3:55" ht="12.95" customHeight="1">
      <c r="J871" s="45" t="s">
        <v>170</v>
      </c>
      <c r="K871" s="5"/>
      <c r="L871" s="5"/>
      <c r="M871" s="1625" t="s">
        <v>2767</v>
      </c>
      <c r="N871" s="1626"/>
      <c r="O871" s="1626"/>
      <c r="P871" s="1626"/>
      <c r="Q871" s="1626"/>
      <c r="R871" s="1626"/>
      <c r="S871" s="1626"/>
      <c r="T871" s="1626"/>
      <c r="U871" s="1626"/>
      <c r="V871" s="1627"/>
      <c r="W871" s="1641">
        <v>37006</v>
      </c>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28">
        <f>SUM(W865:W871)</f>
        <v>253591</v>
      </c>
      <c r="X872" s="1628"/>
      <c r="Y872" s="1628"/>
      <c r="Z872" s="1628"/>
      <c r="AA872" s="1628"/>
      <c r="AB872" s="1628"/>
      <c r="AC872" s="162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625" t="s">
        <v>2768</v>
      </c>
      <c r="N874" s="1626"/>
      <c r="O874" s="1626"/>
      <c r="P874" s="1626"/>
      <c r="Q874" s="1626"/>
      <c r="R874" s="1626"/>
      <c r="S874" s="1626"/>
      <c r="T874" s="1626"/>
      <c r="U874" s="1626"/>
      <c r="V874" s="1627"/>
      <c r="W874" s="1476">
        <v>266367</v>
      </c>
      <c r="X874" s="1344"/>
      <c r="Y874" s="1344"/>
      <c r="Z874" s="1344"/>
      <c r="AA874" s="1344"/>
      <c r="AB874" s="1344"/>
      <c r="AC874" s="1345"/>
      <c r="AD874" s="533"/>
      <c r="AV874" s="14"/>
      <c r="AW874" s="14"/>
      <c r="AX874" s="14"/>
      <c r="AY874" s="14"/>
      <c r="AZ874" s="34"/>
      <c r="BA874" s="34"/>
      <c r="BB874" s="34"/>
      <c r="BC874" s="34"/>
    </row>
    <row r="875" spans="3:55" ht="12.95" customHeight="1">
      <c r="C875" s="2" t="s">
        <v>1242</v>
      </c>
      <c r="J875" s="45" t="s">
        <v>170</v>
      </c>
      <c r="K875" s="5"/>
      <c r="L875" s="5"/>
      <c r="M875" s="1625" t="s">
        <v>2769</v>
      </c>
      <c r="N875" s="1626"/>
      <c r="O875" s="1626"/>
      <c r="P875" s="1626"/>
      <c r="Q875" s="1626"/>
      <c r="R875" s="1626"/>
      <c r="S875" s="1626"/>
      <c r="T875" s="1626"/>
      <c r="U875" s="1626"/>
      <c r="V875" s="1627"/>
      <c r="W875" s="1476">
        <v>589</v>
      </c>
      <c r="X875" s="1344"/>
      <c r="Y875" s="1344"/>
      <c r="Z875" s="1344"/>
      <c r="AA875" s="1344"/>
      <c r="AB875" s="1344"/>
      <c r="AC875" s="1345"/>
      <c r="AD875" s="533"/>
      <c r="AV875" s="14"/>
      <c r="AW875" s="14"/>
      <c r="AX875" s="14"/>
      <c r="AY875" s="14"/>
      <c r="AZ875" s="34"/>
      <c r="BA875" s="34"/>
      <c r="BB875" s="34"/>
      <c r="BC875" s="34"/>
    </row>
    <row r="876" spans="3:55" ht="12.95" customHeight="1">
      <c r="J876" s="45" t="s">
        <v>170</v>
      </c>
      <c r="K876" s="5"/>
      <c r="L876" s="5"/>
      <c r="M876" s="1625" t="s">
        <v>2770</v>
      </c>
      <c r="N876" s="1626"/>
      <c r="O876" s="1626"/>
      <c r="P876" s="1626"/>
      <c r="Q876" s="1626"/>
      <c r="R876" s="1626"/>
      <c r="S876" s="1626"/>
      <c r="T876" s="1626"/>
      <c r="U876" s="1626"/>
      <c r="V876" s="1627"/>
      <c r="W876" s="1476">
        <v>25033</v>
      </c>
      <c r="X876" s="1344"/>
      <c r="Y876" s="1344"/>
      <c r="Z876" s="1344"/>
      <c r="AA876" s="1344"/>
      <c r="AB876" s="1344"/>
      <c r="AC876" s="1345"/>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25" t="s">
        <v>334</v>
      </c>
      <c r="N877" s="1626"/>
      <c r="O877" s="1626"/>
      <c r="P877" s="1626"/>
      <c r="Q877" s="1626"/>
      <c r="R877" s="1626"/>
      <c r="S877" s="1626"/>
      <c r="T877" s="1626"/>
      <c r="U877" s="1626"/>
      <c r="V877" s="1627"/>
      <c r="W877" s="1476"/>
      <c r="X877" s="1344"/>
      <c r="Y877" s="1344"/>
      <c r="Z877" s="1344"/>
      <c r="AA877" s="1344"/>
      <c r="AB877" s="1344"/>
      <c r="AC877" s="1345"/>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25" t="s">
        <v>334</v>
      </c>
      <c r="N878" s="1626"/>
      <c r="O878" s="1626"/>
      <c r="P878" s="1626"/>
      <c r="Q878" s="1626"/>
      <c r="R878" s="1626"/>
      <c r="S878" s="1626"/>
      <c r="T878" s="1626"/>
      <c r="U878" s="1626"/>
      <c r="V878" s="1627"/>
      <c r="W878" s="1476"/>
      <c r="X878" s="1344"/>
      <c r="Y878" s="1344"/>
      <c r="Z878" s="1344"/>
      <c r="AA878" s="1344"/>
      <c r="AB878" s="1344"/>
      <c r="AC878" s="1345"/>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3">
        <f>SUM(W874:W878)</f>
        <v>291989</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1989877</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159</v>
      </c>
      <c r="AD884" s="1645"/>
      <c r="AE884" s="1645"/>
      <c r="AF884" s="1645"/>
      <c r="AG884" s="1645"/>
      <c r="AH884" s="1646"/>
      <c r="AL884" s="4"/>
      <c r="AM884" s="4"/>
      <c r="AN884" s="4"/>
      <c r="AO884" s="4"/>
      <c r="AP884" s="4"/>
      <c r="AQ884" s="4"/>
      <c r="AR884" s="4"/>
      <c r="AS884" s="4"/>
      <c r="AT884" s="4"/>
      <c r="AZ884" s="34"/>
      <c r="BA884" s="34"/>
      <c r="BB884" s="34"/>
      <c r="BC884" s="34"/>
    </row>
    <row r="885" spans="3:55" ht="12.95" customHeight="1">
      <c r="C885" s="41"/>
      <c r="D885" s="42"/>
      <c r="E885" s="1703" t="s">
        <v>32</v>
      </c>
      <c r="F885" s="1703"/>
      <c r="G885" s="1703"/>
      <c r="H885" s="1703"/>
      <c r="I885" s="1703"/>
      <c r="J885" s="1703"/>
      <c r="K885" s="1703"/>
      <c r="L885" s="1703"/>
      <c r="M885" s="1703"/>
      <c r="N885" s="1703"/>
      <c r="O885" s="1703"/>
      <c r="P885" s="1703"/>
      <c r="Q885" s="1703"/>
      <c r="R885" s="1703"/>
      <c r="S885" s="1703"/>
      <c r="T885" s="1703"/>
      <c r="U885" s="1703"/>
      <c r="V885" s="1703"/>
      <c r="W885" s="1703"/>
      <c r="X885" s="1703"/>
      <c r="Y885" s="1703"/>
      <c r="Z885" s="1703"/>
      <c r="AA885" s="1703"/>
      <c r="AB885" s="1704"/>
      <c r="AC885" s="1628">
        <f>IF(ISERROR((ROUNDDOWN(AC883/AC884,0))),0,(ROUNDDOWN(AC883/AC884,0)))</f>
        <v>12514</v>
      </c>
      <c r="AD885" s="1628"/>
      <c r="AE885" s="1628"/>
      <c r="AF885" s="1628"/>
      <c r="AG885" s="1628"/>
      <c r="AH885" s="162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7">
        <f>+'Sources and Uses Budget'!C75</f>
        <v>749672</v>
      </c>
      <c r="AD886" s="1648"/>
      <c r="AE886" s="1648"/>
      <c r="AF886" s="1648"/>
      <c r="AG886" s="1648"/>
      <c r="AH886" s="164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45"/>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4">
        <v>152615</v>
      </c>
      <c r="AD888" s="1344"/>
      <c r="AE888" s="1344"/>
      <c r="AF888" s="1344"/>
      <c r="AG888" s="1344"/>
      <c r="AH888" s="1345"/>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4">
        <v>47700</v>
      </c>
      <c r="AD889" s="1344"/>
      <c r="AE889" s="1344"/>
      <c r="AF889" s="1344"/>
      <c r="AG889" s="1344"/>
      <c r="AH889" s="1345"/>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500">
        <v>6000</v>
      </c>
      <c r="AD890" s="1501"/>
      <c r="AE890" s="1501"/>
      <c r="AF890" s="1501"/>
      <c r="AG890" s="1501"/>
      <c r="AH890" s="150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4">
        <v>30335</v>
      </c>
      <c r="AD891" s="1344"/>
      <c r="AE891" s="1344"/>
      <c r="AF891" s="1344"/>
      <c r="AG891" s="1344"/>
      <c r="AH891" s="1345"/>
      <c r="AZ891" s="34"/>
      <c r="BA891" s="34"/>
      <c r="BB891" s="34"/>
      <c r="BC891" s="34"/>
    </row>
    <row r="892" spans="3:55" ht="12.95" hidden="1" customHeight="1">
      <c r="C892" s="1513" t="s">
        <v>2230</v>
      </c>
      <c r="D892" s="1514"/>
      <c r="E892" s="1514"/>
      <c r="F892" s="1514"/>
      <c r="G892" s="1514"/>
      <c r="H892" s="1514"/>
      <c r="I892" s="1514"/>
      <c r="J892" s="1514"/>
      <c r="K892" s="1514"/>
      <c r="L892" s="1514"/>
      <c r="M892" s="1514"/>
      <c r="N892" s="1514"/>
      <c r="O892" s="1514"/>
      <c r="P892" s="1514"/>
      <c r="Q892" s="1514"/>
      <c r="R892" s="1514"/>
      <c r="S892" s="1514"/>
      <c r="T892" s="1514"/>
      <c r="U892" s="1514"/>
      <c r="V892" s="1514"/>
      <c r="W892" s="1514"/>
      <c r="X892" s="1514"/>
      <c r="Y892" s="1514"/>
      <c r="Z892" s="1514"/>
      <c r="AA892" s="1514"/>
      <c r="AB892" s="1516"/>
      <c r="AC892" s="1344"/>
      <c r="AD892" s="1344"/>
      <c r="AE892" s="1344"/>
      <c r="AF892" s="1344"/>
      <c r="AG892" s="1344"/>
      <c r="AH892" s="1345"/>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44"/>
      <c r="AD893" s="1344"/>
      <c r="AE893" s="1344"/>
      <c r="AF893" s="1344"/>
      <c r="AG893" s="1344"/>
      <c r="AH893" s="1345"/>
      <c r="AZ893" s="34"/>
      <c r="BA893" s="34"/>
      <c r="BB893" s="34"/>
      <c r="BC893" s="34"/>
    </row>
    <row r="894" spans="3:55" ht="12.95" customHeight="1">
      <c r="C894" s="1708" t="s">
        <v>955</v>
      </c>
      <c r="D894" s="1709"/>
      <c r="E894" s="1709"/>
      <c r="F894" s="1709"/>
      <c r="G894" s="1709"/>
      <c r="H894" s="1709"/>
      <c r="I894" s="1709"/>
      <c r="J894" s="1709"/>
      <c r="K894" s="1709"/>
      <c r="L894" s="1709"/>
      <c r="M894" s="1709"/>
      <c r="N894" s="1709"/>
      <c r="O894" s="1709"/>
      <c r="P894" s="1709"/>
      <c r="Q894" s="1709"/>
      <c r="R894" s="1709"/>
      <c r="S894" s="1709"/>
      <c r="T894" s="1709"/>
      <c r="U894" s="1709"/>
      <c r="V894" s="1709"/>
      <c r="W894" s="1709"/>
      <c r="X894" s="1709"/>
      <c r="Y894" s="1709"/>
      <c r="Z894" s="1709"/>
      <c r="AA894" s="1709"/>
      <c r="AB894" s="1710"/>
      <c r="AC894" s="1641"/>
      <c r="AD894" s="1641"/>
      <c r="AE894" s="1641"/>
      <c r="AF894" s="1641"/>
      <c r="AG894" s="1641"/>
      <c r="AH894" s="1641"/>
      <c r="AZ894" s="34"/>
      <c r="BA894" s="34"/>
      <c r="BB894" s="34"/>
      <c r="BC894" s="34"/>
    </row>
    <row r="895" spans="3:55" ht="12.95" customHeight="1">
      <c r="C895" s="1708" t="s">
        <v>955</v>
      </c>
      <c r="D895" s="1709"/>
      <c r="E895" s="1709"/>
      <c r="F895" s="1709"/>
      <c r="G895" s="1709"/>
      <c r="H895" s="1709"/>
      <c r="I895" s="1709"/>
      <c r="J895" s="1709"/>
      <c r="K895" s="1709"/>
      <c r="L895" s="1709"/>
      <c r="M895" s="1709"/>
      <c r="N895" s="1709"/>
      <c r="O895" s="1709"/>
      <c r="P895" s="1709"/>
      <c r="Q895" s="1709"/>
      <c r="R895" s="1709"/>
      <c r="S895" s="1709"/>
      <c r="T895" s="1709"/>
      <c r="U895" s="1709"/>
      <c r="V895" s="1709"/>
      <c r="W895" s="1709"/>
      <c r="X895" s="1709"/>
      <c r="Y895" s="1709"/>
      <c r="Z895" s="1709"/>
      <c r="AA895" s="1709"/>
      <c r="AB895" s="1710"/>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6"/>
      <c r="AA899" s="1344"/>
      <c r="AB899" s="1344"/>
      <c r="AC899" s="1344"/>
      <c r="AD899" s="1344"/>
      <c r="AE899" s="1345"/>
      <c r="AF899" s="533"/>
      <c r="AZ899" s="34"/>
      <c r="BB899" s="30"/>
      <c r="BC899" s="816"/>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6"/>
      <c r="AA900" s="1344"/>
      <c r="AB900" s="1344"/>
      <c r="AC900" s="1344"/>
      <c r="AD900" s="1344"/>
      <c r="AE900" s="1345"/>
      <c r="AZ900" s="34"/>
      <c r="BB900" s="30"/>
      <c r="BC900" s="816"/>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6"/>
      <c r="AA901" s="1344"/>
      <c r="AB901" s="1344"/>
      <c r="AC901" s="1344"/>
      <c r="AD901" s="1344"/>
      <c r="AE901" s="1345"/>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1"/>
      <c r="BE905" s="1661"/>
      <c r="BF905" s="166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60" t="s">
        <v>96</v>
      </c>
      <c r="B910" s="1560"/>
      <c r="C910" s="1560"/>
      <c r="D910" s="1560"/>
      <c r="E910" s="1560"/>
      <c r="F910" s="1560"/>
      <c r="G910" s="1560"/>
      <c r="H910" s="1560"/>
      <c r="I910" s="1560"/>
      <c r="J910" s="1560"/>
      <c r="K910" s="1560"/>
      <c r="L910" s="1560"/>
      <c r="M910" s="1560"/>
      <c r="N910" s="1560"/>
      <c r="O910" s="1560"/>
      <c r="P910" s="1560"/>
      <c r="Q910" s="1560"/>
      <c r="R910" s="1560"/>
      <c r="S910" s="1560"/>
      <c r="T910" s="1560"/>
      <c r="U910" s="1560"/>
      <c r="V910" s="1560"/>
      <c r="W910" s="1560"/>
      <c r="X910" s="1560"/>
      <c r="Y910" s="1560"/>
      <c r="Z910" s="1560"/>
      <c r="AA910" s="1560"/>
      <c r="AB910" s="1560"/>
      <c r="AC910" s="1560"/>
      <c r="AD910" s="1560"/>
      <c r="AE910" s="1560"/>
      <c r="AF910" s="1560"/>
      <c r="AG910" s="1560"/>
      <c r="AH910" s="1560"/>
      <c r="AI910" s="1560"/>
      <c r="AJ910" s="1560"/>
      <c r="AK910" s="1560"/>
      <c r="AL910" s="1560"/>
      <c r="AM910" s="1560"/>
      <c r="AN910" s="1560"/>
      <c r="AO910" s="1560"/>
      <c r="AP910" s="1560"/>
      <c r="AQ910" s="1560"/>
      <c r="AR910" s="1560"/>
      <c r="AS910" s="1560"/>
      <c r="AT910" s="1560"/>
      <c r="AZ910" s="34"/>
      <c r="BA910" s="34"/>
      <c r="BB910" s="30"/>
      <c r="BC910" s="30"/>
      <c r="BD910" s="1638"/>
      <c r="BE910" s="1637"/>
      <c r="BF910" s="911"/>
    </row>
    <row r="911" spans="1:58" ht="12.95" customHeight="1">
      <c r="A911" s="1560"/>
      <c r="B911" s="1560"/>
      <c r="C911" s="1560"/>
      <c r="D911" s="1560"/>
      <c r="E911" s="1560"/>
      <c r="F911" s="1560"/>
      <c r="G911" s="1560"/>
      <c r="H911" s="1560"/>
      <c r="I911" s="1560"/>
      <c r="J911" s="1560"/>
      <c r="K911" s="1560"/>
      <c r="L911" s="1560"/>
      <c r="M911" s="1560"/>
      <c r="N911" s="1560"/>
      <c r="O911" s="1560"/>
      <c r="P911" s="1560"/>
      <c r="Q911" s="1560"/>
      <c r="R911" s="1560"/>
      <c r="S911" s="1560"/>
      <c r="T911" s="1560"/>
      <c r="U911" s="1560"/>
      <c r="V911" s="1560"/>
      <c r="W911" s="1560"/>
      <c r="X911" s="1560"/>
      <c r="Y911" s="1560"/>
      <c r="Z911" s="1560"/>
      <c r="AA911" s="1560"/>
      <c r="AB911" s="1560"/>
      <c r="AC911" s="1560"/>
      <c r="AD911" s="1560"/>
      <c r="AE911" s="1560"/>
      <c r="AF911" s="1560"/>
      <c r="AG911" s="1560"/>
      <c r="AH911" s="1560"/>
      <c r="AI911" s="1560"/>
      <c r="AJ911" s="1560"/>
      <c r="AK911" s="1560"/>
      <c r="AL911" s="1560"/>
      <c r="AM911" s="1560"/>
      <c r="AN911" s="1560"/>
      <c r="AO911" s="1560"/>
      <c r="AP911" s="1560"/>
      <c r="AQ911" s="1560"/>
      <c r="AR911" s="1560"/>
      <c r="AS911" s="1560"/>
      <c r="AT911" s="1560"/>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5" t="s">
        <v>791</v>
      </c>
      <c r="G915" s="1706"/>
      <c r="H915" s="1706"/>
      <c r="I915" s="1706"/>
      <c r="J915" s="1706"/>
      <c r="K915" s="1706"/>
      <c r="L915" s="1706"/>
      <c r="M915" s="1706"/>
      <c r="N915" s="1706"/>
      <c r="O915" s="1706"/>
      <c r="P915" s="1706"/>
      <c r="Q915" s="1706"/>
      <c r="R915" s="1706"/>
      <c r="S915" s="1706"/>
      <c r="T915" s="1707"/>
      <c r="U915" s="1711" t="s">
        <v>31</v>
      </c>
      <c r="V915" s="1610"/>
      <c r="W915" s="1610"/>
      <c r="X915" s="1610"/>
      <c r="Y915" s="1610"/>
      <c r="Z915" s="1610"/>
      <c r="AA915" s="43"/>
      <c r="AB915" s="105"/>
      <c r="AC915" s="105"/>
      <c r="AD915" s="105"/>
      <c r="AE915" s="105"/>
      <c r="AF915" s="106"/>
      <c r="AZ915" s="34"/>
      <c r="BA915" s="34"/>
      <c r="BB915" s="34"/>
      <c r="BC915" s="34"/>
    </row>
    <row r="916" spans="1:58" ht="12.95" customHeight="1">
      <c r="B916" s="2"/>
      <c r="F916" s="1712" t="s">
        <v>817</v>
      </c>
      <c r="G916" s="1713"/>
      <c r="H916" s="1713"/>
      <c r="I916" s="1713"/>
      <c r="J916" s="1713"/>
      <c r="K916" s="1713"/>
      <c r="L916" s="1713"/>
      <c r="M916" s="1713"/>
      <c r="N916" s="1713"/>
      <c r="O916" s="1713"/>
      <c r="P916" s="1713"/>
      <c r="Q916" s="1713"/>
      <c r="R916" s="1713"/>
      <c r="S916" s="1713"/>
      <c r="T916" s="1726"/>
      <c r="U916" s="1712"/>
      <c r="V916" s="1713"/>
      <c r="W916" s="1713"/>
      <c r="X916" s="1713"/>
      <c r="Y916" s="1713"/>
      <c r="Z916" s="1713"/>
      <c r="AA916" s="44"/>
      <c r="AB916" s="4"/>
      <c r="AC916" s="4"/>
      <c r="AD916" s="4"/>
      <c r="AE916" s="4"/>
      <c r="AF916" s="107"/>
      <c r="AZ916" s="34"/>
      <c r="BA916" s="34"/>
      <c r="BB916" s="34"/>
      <c r="BC916" s="34"/>
    </row>
    <row r="917" spans="1:58" ht="12.95" customHeight="1">
      <c r="B917" s="2"/>
      <c r="F917" s="1714"/>
      <c r="G917" s="1612"/>
      <c r="H917" s="1612"/>
      <c r="I917" s="1612"/>
      <c r="J917" s="1612"/>
      <c r="K917" s="1612"/>
      <c r="L917" s="1612"/>
      <c r="M917" s="1612"/>
      <c r="N917" s="1612"/>
      <c r="O917" s="1612"/>
      <c r="P917" s="1612"/>
      <c r="Q917" s="1612"/>
      <c r="R917" s="1612"/>
      <c r="S917" s="1612"/>
      <c r="T917" s="1613"/>
      <c r="U917" s="1714"/>
      <c r="V917" s="1612"/>
      <c r="W917" s="1612"/>
      <c r="X917" s="1612"/>
      <c r="Y917" s="1612"/>
      <c r="Z917" s="1612"/>
      <c r="AA917" s="108"/>
      <c r="AB917" s="1436" t="s">
        <v>390</v>
      </c>
      <c r="AC917" s="1436"/>
      <c r="AD917" s="1436"/>
      <c r="AE917" s="1436"/>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665" t="s">
        <v>545</v>
      </c>
      <c r="V918" s="1428"/>
      <c r="W918" s="1428"/>
      <c r="X918" s="1428"/>
      <c r="Y918" s="1428"/>
      <c r="Z918" s="1429"/>
      <c r="AA918" s="1666"/>
      <c r="AB918" s="1533"/>
      <c r="AC918" s="1533"/>
      <c r="AD918" s="1533"/>
      <c r="AE918" s="1533"/>
      <c r="AF918" s="1667"/>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665" t="s">
        <v>591</v>
      </c>
      <c r="V919" s="1428"/>
      <c r="W919" s="1428"/>
      <c r="X919" s="1428"/>
      <c r="Y919" s="1428"/>
      <c r="Z919" s="1429"/>
      <c r="AA919" s="1666"/>
      <c r="AB919" s="1533"/>
      <c r="AC919" s="1533"/>
      <c r="AD919" s="1533"/>
      <c r="AE919" s="1533"/>
      <c r="AF919" s="1667"/>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665" t="s">
        <v>591</v>
      </c>
      <c r="V920" s="1428"/>
      <c r="W920" s="1428"/>
      <c r="X920" s="1428"/>
      <c r="Y920" s="1428"/>
      <c r="Z920" s="1429"/>
      <c r="AA920" s="1666"/>
      <c r="AB920" s="1533"/>
      <c r="AC920" s="1533"/>
      <c r="AD920" s="1533"/>
      <c r="AE920" s="1533"/>
      <c r="AF920" s="1667"/>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665" t="s">
        <v>591</v>
      </c>
      <c r="V921" s="1428"/>
      <c r="W921" s="1428"/>
      <c r="X921" s="1428"/>
      <c r="Y921" s="1428"/>
      <c r="Z921" s="1429"/>
      <c r="AA921" s="1666"/>
      <c r="AB921" s="1533"/>
      <c r="AC921" s="1533"/>
      <c r="AD921" s="1533"/>
      <c r="AE921" s="1533"/>
      <c r="AF921" s="1667"/>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665" t="s">
        <v>591</v>
      </c>
      <c r="V922" s="1428"/>
      <c r="W922" s="1428"/>
      <c r="X922" s="1428"/>
      <c r="Y922" s="1428"/>
      <c r="Z922" s="1429"/>
      <c r="AA922" s="1666"/>
      <c r="AB922" s="1533"/>
      <c r="AC922" s="1533"/>
      <c r="AD922" s="1533"/>
      <c r="AE922" s="1533"/>
      <c r="AF922" s="1667"/>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665" t="s">
        <v>591</v>
      </c>
      <c r="V923" s="1428"/>
      <c r="W923" s="1428"/>
      <c r="X923" s="1428"/>
      <c r="Y923" s="1428"/>
      <c r="Z923" s="1429"/>
      <c r="AA923" s="1666"/>
      <c r="AB923" s="1533"/>
      <c r="AC923" s="1533"/>
      <c r="AD923" s="1533"/>
      <c r="AE923" s="1533"/>
      <c r="AF923" s="1667"/>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665" t="s">
        <v>591</v>
      </c>
      <c r="V924" s="1428"/>
      <c r="W924" s="1428"/>
      <c r="X924" s="1428"/>
      <c r="Y924" s="1428"/>
      <c r="Z924" s="1429"/>
      <c r="AA924" s="1666"/>
      <c r="AB924" s="1533"/>
      <c r="AC924" s="1533"/>
      <c r="AD924" s="1533"/>
      <c r="AE924" s="1533"/>
      <c r="AF924" s="1667"/>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665" t="s">
        <v>591</v>
      </c>
      <c r="V925" s="1428"/>
      <c r="W925" s="1428"/>
      <c r="X925" s="1428"/>
      <c r="Y925" s="1428"/>
      <c r="Z925" s="1429"/>
      <c r="AA925" s="1666"/>
      <c r="AB925" s="1533"/>
      <c r="AC925" s="1533"/>
      <c r="AD925" s="1533"/>
      <c r="AE925" s="1533"/>
      <c r="AF925" s="1667"/>
      <c r="AZ925" s="34"/>
      <c r="BA925" s="34"/>
      <c r="BB925" s="34"/>
      <c r="BC925" s="34"/>
    </row>
    <row r="926" spans="1:58" ht="12.95" customHeight="1">
      <c r="F926" s="1668" t="s">
        <v>2190</v>
      </c>
      <c r="G926" s="1669"/>
      <c r="H926" s="1669"/>
      <c r="I926" s="1669"/>
      <c r="J926" s="1669"/>
      <c r="K926" s="1669"/>
      <c r="L926" s="1669"/>
      <c r="M926" s="1669"/>
      <c r="N926" s="1669"/>
      <c r="O926" s="1669"/>
      <c r="P926" s="1669"/>
      <c r="Q926" s="1669"/>
      <c r="R926" s="1669"/>
      <c r="S926" s="1669"/>
      <c r="T926" s="1670"/>
      <c r="U926" s="1665" t="s">
        <v>591</v>
      </c>
      <c r="V926" s="1428"/>
      <c r="W926" s="1428"/>
      <c r="X926" s="1428"/>
      <c r="Y926" s="1428"/>
      <c r="Z926" s="1429"/>
      <c r="AA926" s="1666"/>
      <c r="AB926" s="1533"/>
      <c r="AC926" s="1533"/>
      <c r="AD926" s="1533"/>
      <c r="AE926" s="1533"/>
      <c r="AF926" s="1667"/>
      <c r="AZ926" s="34"/>
      <c r="BA926" s="34"/>
      <c r="BB926" s="34"/>
      <c r="BC926" s="34"/>
    </row>
    <row r="927" spans="1:58" ht="12.95" customHeight="1">
      <c r="F927" s="1668" t="s">
        <v>678</v>
      </c>
      <c r="G927" s="1669"/>
      <c r="H927" s="1669"/>
      <c r="I927" s="1669"/>
      <c r="J927" s="1669"/>
      <c r="K927" s="1669"/>
      <c r="L927" s="1669"/>
      <c r="M927" s="1669"/>
      <c r="N927" s="1669"/>
      <c r="O927" s="1669"/>
      <c r="P927" s="1669"/>
      <c r="Q927" s="1669"/>
      <c r="R927" s="1669"/>
      <c r="S927" s="1669"/>
      <c r="T927" s="1670"/>
      <c r="U927" s="1665" t="s">
        <v>591</v>
      </c>
      <c r="V927" s="1428"/>
      <c r="W927" s="1428"/>
      <c r="X927" s="1428"/>
      <c r="Y927" s="1428"/>
      <c r="Z927" s="1429"/>
      <c r="AA927" s="1666"/>
      <c r="AB927" s="1533"/>
      <c r="AC927" s="1533"/>
      <c r="AD927" s="1533"/>
      <c r="AE927" s="1533"/>
      <c r="AF927" s="1667"/>
      <c r="AU927" s="2"/>
      <c r="AZ927" s="34"/>
      <c r="BA927" s="34"/>
      <c r="BB927" s="34"/>
      <c r="BC927" s="34"/>
    </row>
    <row r="928" spans="1:58" ht="12.95" customHeight="1">
      <c r="F928" s="1668" t="s">
        <v>2191</v>
      </c>
      <c r="G928" s="1669"/>
      <c r="H928" s="1669"/>
      <c r="I928" s="1669"/>
      <c r="J928" s="1669"/>
      <c r="K928" s="1669"/>
      <c r="L928" s="1669"/>
      <c r="M928" s="1669"/>
      <c r="N928" s="1669"/>
      <c r="O928" s="1669"/>
      <c r="P928" s="1669"/>
      <c r="Q928" s="1669"/>
      <c r="R928" s="1669"/>
      <c r="S928" s="1669"/>
      <c r="T928" s="1670"/>
      <c r="U928" s="1665" t="s">
        <v>591</v>
      </c>
      <c r="V928" s="1428"/>
      <c r="W928" s="1428"/>
      <c r="X928" s="1428"/>
      <c r="Y928" s="1428"/>
      <c r="Z928" s="1429"/>
      <c r="AA928" s="1666"/>
      <c r="AB928" s="1533"/>
      <c r="AC928" s="1533"/>
      <c r="AD928" s="1533"/>
      <c r="AE928" s="1533"/>
      <c r="AF928" s="1667"/>
      <c r="AU928" s="2"/>
      <c r="AZ928" s="34"/>
      <c r="BA928" s="34"/>
      <c r="BB928" s="34"/>
      <c r="BC928" s="34"/>
    </row>
    <row r="929" spans="6:55" ht="12.95" customHeight="1">
      <c r="F929" s="1668" t="s">
        <v>2192</v>
      </c>
      <c r="G929" s="1669"/>
      <c r="H929" s="1669"/>
      <c r="I929" s="1669"/>
      <c r="J929" s="1669"/>
      <c r="K929" s="1669"/>
      <c r="L929" s="1669"/>
      <c r="M929" s="1669"/>
      <c r="N929" s="1669"/>
      <c r="O929" s="1669"/>
      <c r="P929" s="1669"/>
      <c r="Q929" s="1669"/>
      <c r="R929" s="1669"/>
      <c r="S929" s="1669"/>
      <c r="T929" s="1670"/>
      <c r="U929" s="1665" t="s">
        <v>591</v>
      </c>
      <c r="V929" s="1428"/>
      <c r="W929" s="1428"/>
      <c r="X929" s="1428"/>
      <c r="Y929" s="1428"/>
      <c r="Z929" s="1429"/>
      <c r="AA929" s="1666"/>
      <c r="AB929" s="1533"/>
      <c r="AC929" s="1533"/>
      <c r="AD929" s="1533"/>
      <c r="AE929" s="1533"/>
      <c r="AF929" s="1667"/>
      <c r="AU929" s="2"/>
      <c r="AZ929" s="34"/>
      <c r="BA929" s="34"/>
      <c r="BB929" s="34"/>
      <c r="BC929" s="34"/>
    </row>
    <row r="930" spans="6:55" ht="12.95" customHeight="1">
      <c r="F930" s="1668" t="s">
        <v>2193</v>
      </c>
      <c r="G930" s="1669"/>
      <c r="H930" s="1669"/>
      <c r="I930" s="1669"/>
      <c r="J930" s="1669"/>
      <c r="K930" s="1669"/>
      <c r="L930" s="1669"/>
      <c r="M930" s="1669"/>
      <c r="N930" s="1669"/>
      <c r="O930" s="1669"/>
      <c r="P930" s="1669"/>
      <c r="Q930" s="1669"/>
      <c r="R930" s="1669"/>
      <c r="S930" s="1669"/>
      <c r="T930" s="1670"/>
      <c r="U930" s="1665" t="s">
        <v>591</v>
      </c>
      <c r="V930" s="1428"/>
      <c r="W930" s="1428"/>
      <c r="X930" s="1428"/>
      <c r="Y930" s="1428"/>
      <c r="Z930" s="1429"/>
      <c r="AA930" s="1666"/>
      <c r="AB930" s="1533"/>
      <c r="AC930" s="1533"/>
      <c r="AD930" s="1533"/>
      <c r="AE930" s="1533"/>
      <c r="AF930" s="1667"/>
      <c r="AU930" s="2"/>
      <c r="AZ930" s="34"/>
      <c r="BA930" s="34"/>
      <c r="BB930" s="34"/>
      <c r="BC930" s="34"/>
    </row>
    <row r="931" spans="6:55" ht="12.95" customHeight="1">
      <c r="F931" s="1668" t="s">
        <v>2194</v>
      </c>
      <c r="G931" s="1669"/>
      <c r="H931" s="1669"/>
      <c r="I931" s="1669"/>
      <c r="J931" s="1669"/>
      <c r="K931" s="1669"/>
      <c r="L931" s="1669"/>
      <c r="M931" s="1669"/>
      <c r="N931" s="1669"/>
      <c r="O931" s="1669"/>
      <c r="P931" s="1669"/>
      <c r="Q931" s="1669"/>
      <c r="R931" s="1669"/>
      <c r="S931" s="1669"/>
      <c r="T931" s="1670"/>
      <c r="U931" s="1665" t="s">
        <v>591</v>
      </c>
      <c r="V931" s="1428"/>
      <c r="W931" s="1428"/>
      <c r="X931" s="1428"/>
      <c r="Y931" s="1428"/>
      <c r="Z931" s="1429"/>
      <c r="AA931" s="1666"/>
      <c r="AB931" s="1533"/>
      <c r="AC931" s="1533"/>
      <c r="AD931" s="1533"/>
      <c r="AE931" s="1533"/>
      <c r="AF931" s="1667"/>
      <c r="AU931" s="2"/>
      <c r="AZ931" s="34"/>
      <c r="BA931" s="34"/>
      <c r="BB931" s="34"/>
      <c r="BC931" s="34"/>
    </row>
    <row r="932" spans="6:55" ht="12.95" customHeight="1">
      <c r="F932" s="1668" t="s">
        <v>2195</v>
      </c>
      <c r="G932" s="1669"/>
      <c r="H932" s="1669"/>
      <c r="I932" s="1669"/>
      <c r="J932" s="1669"/>
      <c r="K932" s="1669"/>
      <c r="L932" s="1669"/>
      <c r="M932" s="1669"/>
      <c r="N932" s="1669"/>
      <c r="O932" s="1669"/>
      <c r="P932" s="1669"/>
      <c r="Q932" s="1669"/>
      <c r="R932" s="1669"/>
      <c r="S932" s="1669"/>
      <c r="T932" s="1670"/>
      <c r="U932" s="1665" t="s">
        <v>591</v>
      </c>
      <c r="V932" s="1428"/>
      <c r="W932" s="1428"/>
      <c r="X932" s="1428"/>
      <c r="Y932" s="1428"/>
      <c r="Z932" s="1429"/>
      <c r="AA932" s="1666"/>
      <c r="AB932" s="1533"/>
      <c r="AC932" s="1533"/>
      <c r="AD932" s="1533"/>
      <c r="AE932" s="1533"/>
      <c r="AF932" s="1667"/>
      <c r="AZ932" s="30"/>
      <c r="BA932" s="30"/>
    </row>
    <row r="933" spans="6:55" ht="12.95" customHeight="1">
      <c r="F933" s="178" t="s">
        <v>675</v>
      </c>
      <c r="G933" s="5"/>
      <c r="H933" s="5"/>
      <c r="I933" s="5"/>
      <c r="J933" s="5"/>
      <c r="K933" s="5"/>
      <c r="L933" s="5"/>
      <c r="M933" s="5"/>
      <c r="N933" s="5"/>
      <c r="O933" s="5"/>
      <c r="P933" s="5"/>
      <c r="Q933" s="5"/>
      <c r="R933" s="5"/>
      <c r="S933" s="5"/>
      <c r="T933" s="46"/>
      <c r="U933" s="1665" t="s">
        <v>591</v>
      </c>
      <c r="V933" s="1428"/>
      <c r="W933" s="1428"/>
      <c r="X933" s="1428"/>
      <c r="Y933" s="1428"/>
      <c r="Z933" s="1429"/>
      <c r="AA933" s="1666"/>
      <c r="AB933" s="1533"/>
      <c r="AC933" s="1533"/>
      <c r="AD933" s="1533"/>
      <c r="AE933" s="1533"/>
      <c r="AF933" s="1667"/>
    </row>
    <row r="934" spans="6:55" ht="12.95" customHeight="1">
      <c r="F934" s="121" t="s">
        <v>1275</v>
      </c>
      <c r="G934" s="5"/>
      <c r="H934" s="5"/>
      <c r="I934" s="5"/>
      <c r="J934" s="5"/>
      <c r="K934" s="5"/>
      <c r="L934" s="5"/>
      <c r="M934" s="5"/>
      <c r="N934" s="5"/>
      <c r="O934" s="5"/>
      <c r="P934" s="5"/>
      <c r="Q934" s="5"/>
      <c r="R934" s="5"/>
      <c r="S934" s="5"/>
      <c r="T934" s="46"/>
      <c r="U934" s="1665" t="s">
        <v>591</v>
      </c>
      <c r="V934" s="1428"/>
      <c r="W934" s="1428"/>
      <c r="X934" s="1428"/>
      <c r="Y934" s="1428"/>
      <c r="Z934" s="1429"/>
      <c r="AA934" s="1666"/>
      <c r="AB934" s="1533"/>
      <c r="AC934" s="1533"/>
      <c r="AD934" s="1533"/>
      <c r="AE934" s="1533"/>
      <c r="AF934" s="1667"/>
      <c r="AZ934" s="30"/>
      <c r="BA934" s="14"/>
    </row>
    <row r="935" spans="6:55" ht="12.95" customHeight="1">
      <c r="F935" s="66" t="s">
        <v>801</v>
      </c>
      <c r="G935" s="5"/>
      <c r="H935" s="5"/>
      <c r="I935" s="5"/>
      <c r="J935" s="5"/>
      <c r="K935" s="5"/>
      <c r="L935" s="5"/>
      <c r="M935" s="5"/>
      <c r="N935" s="5"/>
      <c r="O935" s="5"/>
      <c r="P935" s="5"/>
      <c r="Q935" s="5"/>
      <c r="R935" s="5"/>
      <c r="S935" s="5"/>
      <c r="T935" s="46"/>
      <c r="U935" s="1665" t="s">
        <v>591</v>
      </c>
      <c r="V935" s="1428"/>
      <c r="W935" s="1428"/>
      <c r="X935" s="1428"/>
      <c r="Y935" s="1428"/>
      <c r="Z935" s="1429"/>
      <c r="AA935" s="1666"/>
      <c r="AB935" s="1533"/>
      <c r="AC935" s="1533"/>
      <c r="AD935" s="1533"/>
      <c r="AE935" s="1533"/>
      <c r="AF935" s="1667"/>
      <c r="AZ935" s="30"/>
      <c r="BA935" s="14"/>
    </row>
    <row r="936" spans="6:55" ht="12.95" customHeight="1">
      <c r="F936" s="1662" t="s">
        <v>2199</v>
      </c>
      <c r="G936" s="1663"/>
      <c r="H936" s="1663"/>
      <c r="I936" s="1663"/>
      <c r="J936" s="1663"/>
      <c r="K936" s="1663"/>
      <c r="L936" s="1663"/>
      <c r="M936" s="1663"/>
      <c r="N936" s="1663"/>
      <c r="O936" s="1663"/>
      <c r="P936" s="1663"/>
      <c r="Q936" s="1663"/>
      <c r="R936" s="1663"/>
      <c r="S936" s="1663"/>
      <c r="T936" s="1664"/>
      <c r="U936" s="1665" t="s">
        <v>591</v>
      </c>
      <c r="V936" s="1428"/>
      <c r="W936" s="1428"/>
      <c r="X936" s="1428"/>
      <c r="Y936" s="1428"/>
      <c r="Z936" s="1429"/>
      <c r="AA936" s="1666"/>
      <c r="AB936" s="1533"/>
      <c r="AC936" s="1533"/>
      <c r="AD936" s="1533"/>
      <c r="AE936" s="1533"/>
      <c r="AF936" s="1667"/>
      <c r="AZ936" s="30"/>
      <c r="BA936" s="14"/>
    </row>
    <row r="937" spans="6:55" ht="12.95" customHeight="1">
      <c r="F937" s="1662" t="s">
        <v>2200</v>
      </c>
      <c r="G937" s="1663"/>
      <c r="H937" s="1663"/>
      <c r="I937" s="1663"/>
      <c r="J937" s="1663"/>
      <c r="K937" s="1663"/>
      <c r="L937" s="1663"/>
      <c r="M937" s="1663"/>
      <c r="N937" s="1663"/>
      <c r="O937" s="1663"/>
      <c r="P937" s="1663"/>
      <c r="Q937" s="1663"/>
      <c r="R937" s="1663"/>
      <c r="S937" s="1663"/>
      <c r="T937" s="1664"/>
      <c r="U937" s="1665" t="s">
        <v>591</v>
      </c>
      <c r="V937" s="1428"/>
      <c r="W937" s="1428"/>
      <c r="X937" s="1428"/>
      <c r="Y937" s="1428"/>
      <c r="Z937" s="1429"/>
      <c r="AA937" s="1666"/>
      <c r="AB937" s="1533"/>
      <c r="AC937" s="1533"/>
      <c r="AD937" s="1533"/>
      <c r="AE937" s="1533"/>
      <c r="AF937" s="1667"/>
      <c r="AZ937" s="30"/>
      <c r="BA937" s="30"/>
    </row>
    <row r="938" spans="6:55" ht="12.95" customHeight="1">
      <c r="F938" s="1668" t="s">
        <v>2196</v>
      </c>
      <c r="G938" s="1669"/>
      <c r="H938" s="1669"/>
      <c r="I938" s="1669"/>
      <c r="J938" s="1669"/>
      <c r="K938" s="1669"/>
      <c r="L938" s="1669"/>
      <c r="M938" s="1669"/>
      <c r="N938" s="1669"/>
      <c r="O938" s="1669"/>
      <c r="P938" s="1669"/>
      <c r="Q938" s="1669"/>
      <c r="R938" s="1669"/>
      <c r="S938" s="1669"/>
      <c r="T938" s="1670"/>
      <c r="U938" s="1665" t="s">
        <v>591</v>
      </c>
      <c r="V938" s="1428"/>
      <c r="W938" s="1428"/>
      <c r="X938" s="1428"/>
      <c r="Y938" s="1428"/>
      <c r="Z938" s="1429"/>
      <c r="AA938" s="1666"/>
      <c r="AB938" s="1533"/>
      <c r="AC938" s="1533"/>
      <c r="AD938" s="1533"/>
      <c r="AE938" s="1533"/>
      <c r="AF938" s="1667"/>
      <c r="AZ938" s="30"/>
      <c r="BA938" s="30"/>
    </row>
    <row r="939" spans="6:55" ht="12.95" customHeight="1">
      <c r="F939" s="1668" t="s">
        <v>2197</v>
      </c>
      <c r="G939" s="1669"/>
      <c r="H939" s="1669"/>
      <c r="I939" s="1669"/>
      <c r="J939" s="1669"/>
      <c r="K939" s="1669"/>
      <c r="L939" s="1669"/>
      <c r="M939" s="1669"/>
      <c r="N939" s="1669"/>
      <c r="O939" s="1669"/>
      <c r="P939" s="1669"/>
      <c r="Q939" s="1669"/>
      <c r="R939" s="1669"/>
      <c r="S939" s="1669"/>
      <c r="T939" s="1670"/>
      <c r="U939" s="1665" t="s">
        <v>591</v>
      </c>
      <c r="V939" s="1428"/>
      <c r="W939" s="1428"/>
      <c r="X939" s="1428"/>
      <c r="Y939" s="1428"/>
      <c r="Z939" s="1429"/>
      <c r="AA939" s="1666"/>
      <c r="AB939" s="1533"/>
      <c r="AC939" s="1533"/>
      <c r="AD939" s="1533"/>
      <c r="AE939" s="1533"/>
      <c r="AF939" s="1667"/>
      <c r="AZ939" s="30"/>
      <c r="BA939" s="30"/>
    </row>
    <row r="940" spans="6:55" ht="12.95" customHeight="1">
      <c r="F940" s="1668" t="s">
        <v>2198</v>
      </c>
      <c r="G940" s="1669"/>
      <c r="H940" s="1669"/>
      <c r="I940" s="1669"/>
      <c r="J940" s="1669"/>
      <c r="K940" s="1669"/>
      <c r="L940" s="1669"/>
      <c r="M940" s="1669"/>
      <c r="N940" s="1669"/>
      <c r="O940" s="1669"/>
      <c r="P940" s="1669"/>
      <c r="Q940" s="1669"/>
      <c r="R940" s="1669"/>
      <c r="S940" s="1669"/>
      <c r="T940" s="1670"/>
      <c r="U940" s="1665" t="s">
        <v>591</v>
      </c>
      <c r="V940" s="1428"/>
      <c r="W940" s="1428"/>
      <c r="X940" s="1428"/>
      <c r="Y940" s="1428"/>
      <c r="Z940" s="1429"/>
      <c r="AA940" s="1666"/>
      <c r="AB940" s="1533"/>
      <c r="AC940" s="1533"/>
      <c r="AD940" s="1533"/>
      <c r="AE940" s="1533"/>
      <c r="AF940" s="1667"/>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665" t="s">
        <v>591</v>
      </c>
      <c r="V941" s="1428"/>
      <c r="W941" s="1428"/>
      <c r="X941" s="1428"/>
      <c r="Y941" s="1428"/>
      <c r="Z941" s="1429"/>
      <c r="AA941" s="1666"/>
      <c r="AB941" s="1533"/>
      <c r="AC941" s="1533"/>
      <c r="AD941" s="1533"/>
      <c r="AE941" s="1533"/>
      <c r="AF941" s="1667"/>
      <c r="AZ941" s="34"/>
      <c r="BA941" s="34"/>
      <c r="BB941" s="14"/>
      <c r="BC941" s="14"/>
    </row>
    <row r="942" spans="6:55" ht="12.95" customHeight="1">
      <c r="F942" s="1662" t="s">
        <v>2201</v>
      </c>
      <c r="G942" s="1663"/>
      <c r="H942" s="1663"/>
      <c r="I942" s="1663"/>
      <c r="J942" s="1663"/>
      <c r="K942" s="1663"/>
      <c r="L942" s="1663"/>
      <c r="M942" s="1663"/>
      <c r="N942" s="1663"/>
      <c r="O942" s="1663"/>
      <c r="P942" s="1663"/>
      <c r="Q942" s="1663"/>
      <c r="R942" s="1663"/>
      <c r="S942" s="1663"/>
      <c r="T942" s="1664"/>
      <c r="U942" s="1665" t="s">
        <v>591</v>
      </c>
      <c r="V942" s="1428"/>
      <c r="W942" s="1428"/>
      <c r="X942" s="1428"/>
      <c r="Y942" s="1428"/>
      <c r="Z942" s="1429"/>
      <c r="AA942" s="1666"/>
      <c r="AB942" s="1533"/>
      <c r="AC942" s="1533"/>
      <c r="AD942" s="1533"/>
      <c r="AE942" s="1533"/>
      <c r="AF942" s="1667"/>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665" t="s">
        <v>591</v>
      </c>
      <c r="V943" s="1428"/>
      <c r="W943" s="1428"/>
      <c r="X943" s="1428"/>
      <c r="Y943" s="1428"/>
      <c r="Z943" s="1429"/>
      <c r="AA943" s="1666"/>
      <c r="AB943" s="1533"/>
      <c r="AC943" s="1533"/>
      <c r="AD943" s="1533"/>
      <c r="AE943" s="1533"/>
      <c r="AF943" s="1667"/>
      <c r="AZ943" s="34"/>
      <c r="BA943" s="34"/>
      <c r="BB943" s="34"/>
      <c r="BC943" s="34"/>
    </row>
    <row r="944" spans="6:55" ht="12.95" customHeight="1">
      <c r="F944" s="1662" t="s">
        <v>2202</v>
      </c>
      <c r="G944" s="1663"/>
      <c r="H944" s="1663"/>
      <c r="I944" s="1663"/>
      <c r="J944" s="1663"/>
      <c r="K944" s="1663"/>
      <c r="L944" s="1663"/>
      <c r="M944" s="1663"/>
      <c r="N944" s="1663"/>
      <c r="O944" s="1663"/>
      <c r="P944" s="1663"/>
      <c r="Q944" s="1663"/>
      <c r="R944" s="1663"/>
      <c r="S944" s="1663"/>
      <c r="T944" s="1664"/>
      <c r="U944" s="1665" t="s">
        <v>591</v>
      </c>
      <c r="V944" s="1428"/>
      <c r="W944" s="1428"/>
      <c r="X944" s="1428"/>
      <c r="Y944" s="1428"/>
      <c r="Z944" s="1429"/>
      <c r="AA944" s="1666"/>
      <c r="AB944" s="1533"/>
      <c r="AC944" s="1533"/>
      <c r="AD944" s="1533"/>
      <c r="AE944" s="1533"/>
      <c r="AF944" s="1667"/>
      <c r="AZ944" s="34"/>
      <c r="BA944" s="34"/>
      <c r="BB944" s="34"/>
      <c r="BC944" s="34"/>
    </row>
    <row r="945" spans="1:55" ht="12.95" customHeight="1">
      <c r="F945" s="45" t="s">
        <v>805</v>
      </c>
      <c r="G945" s="5"/>
      <c r="H945" s="5"/>
      <c r="I945" s="5"/>
      <c r="J945" s="5"/>
      <c r="K945" s="5"/>
      <c r="L945" s="5"/>
      <c r="M945" s="5"/>
      <c r="N945" s="5"/>
      <c r="O945" s="5"/>
      <c r="P945" s="1665" t="s">
        <v>668</v>
      </c>
      <c r="Q945" s="1428"/>
      <c r="R945" s="1428"/>
      <c r="S945" s="1428"/>
      <c r="T945" s="1429"/>
      <c r="U945" s="1665" t="s">
        <v>591</v>
      </c>
      <c r="V945" s="1428"/>
      <c r="W945" s="1428"/>
      <c r="X945" s="1428"/>
      <c r="Y945" s="1428"/>
      <c r="Z945" s="1429"/>
      <c r="AA945" s="1666"/>
      <c r="AB945" s="1533"/>
      <c r="AC945" s="1533"/>
      <c r="AD945" s="1533"/>
      <c r="AE945" s="1533"/>
      <c r="AF945" s="1667"/>
      <c r="AZ945" s="34"/>
      <c r="BA945" s="34"/>
      <c r="BB945" s="34"/>
      <c r="BC945" s="34"/>
    </row>
    <row r="946" spans="1:55" ht="12.95" customHeight="1">
      <c r="F946" s="1668" t="s">
        <v>2189</v>
      </c>
      <c r="G946" s="1669"/>
      <c r="H946" s="1670"/>
      <c r="I946" s="1625" t="s">
        <v>334</v>
      </c>
      <c r="J946" s="1626"/>
      <c r="K946" s="1626"/>
      <c r="L946" s="1626"/>
      <c r="M946" s="1626"/>
      <c r="N946" s="1626"/>
      <c r="O946" s="1626"/>
      <c r="P946" s="1626"/>
      <c r="Q946" s="1626"/>
      <c r="R946" s="1626"/>
      <c r="S946" s="1626"/>
      <c r="T946" s="1627"/>
      <c r="U946" s="1665" t="s">
        <v>591</v>
      </c>
      <c r="V946" s="1428"/>
      <c r="W946" s="1428"/>
      <c r="X946" s="1428"/>
      <c r="Y946" s="1428"/>
      <c r="Z946" s="1429"/>
      <c r="AA946" s="1666"/>
      <c r="AB946" s="1533"/>
      <c r="AC946" s="1533"/>
      <c r="AD946" s="1533"/>
      <c r="AE946" s="1533"/>
      <c r="AF946" s="1667"/>
      <c r="AZ946" s="34"/>
      <c r="BA946" s="34"/>
      <c r="BB946" s="34"/>
      <c r="BC946" s="34"/>
    </row>
    <row r="947" spans="1:55" ht="12.95" customHeight="1">
      <c r="F947" s="45" t="s">
        <v>86</v>
      </c>
      <c r="G947" s="48"/>
      <c r="H947" s="48"/>
      <c r="I947" s="1625" t="s">
        <v>334</v>
      </c>
      <c r="J947" s="1626"/>
      <c r="K947" s="1626"/>
      <c r="L947" s="1626"/>
      <c r="M947" s="1626"/>
      <c r="N947" s="1626"/>
      <c r="O947" s="1626"/>
      <c r="P947" s="1626"/>
      <c r="Q947" s="1626"/>
      <c r="R947" s="1626"/>
      <c r="S947" s="1626"/>
      <c r="T947" s="1627"/>
      <c r="U947" s="1665" t="s">
        <v>591</v>
      </c>
      <c r="V947" s="1428"/>
      <c r="W947" s="1428"/>
      <c r="X947" s="1428"/>
      <c r="Y947" s="1428"/>
      <c r="Z947" s="1429"/>
      <c r="AA947" s="1666"/>
      <c r="AB947" s="1533"/>
      <c r="AC947" s="1533"/>
      <c r="AD947" s="1533"/>
      <c r="AE947" s="1533"/>
      <c r="AF947" s="1667"/>
      <c r="AZ947" s="34"/>
      <c r="BA947" s="34"/>
      <c r="BB947" s="34"/>
      <c r="BC947" s="34"/>
    </row>
    <row r="948" spans="1:55" ht="12.95" customHeight="1">
      <c r="F948" s="45" t="s">
        <v>10</v>
      </c>
      <c r="G948" s="48"/>
      <c r="H948" s="48"/>
      <c r="I948" s="1693" t="s">
        <v>334</v>
      </c>
      <c r="J948" s="1694"/>
      <c r="K948" s="1694"/>
      <c r="L948" s="1694"/>
      <c r="M948" s="1694"/>
      <c r="N948" s="1694"/>
      <c r="O948" s="1694"/>
      <c r="P948" s="1694"/>
      <c r="Q948" s="1694"/>
      <c r="R948" s="1694"/>
      <c r="S948" s="1694"/>
      <c r="T948" s="1695"/>
      <c r="U948" s="1665" t="s">
        <v>591</v>
      </c>
      <c r="V948" s="1428"/>
      <c r="W948" s="1428"/>
      <c r="X948" s="1428"/>
      <c r="Y948" s="1428"/>
      <c r="Z948" s="1429"/>
      <c r="AA948" s="1666"/>
      <c r="AB948" s="1533"/>
      <c r="AC948" s="1533"/>
      <c r="AD948" s="1533"/>
      <c r="AE948" s="1533"/>
      <c r="AF948" s="1667"/>
      <c r="AV948" s="2"/>
      <c r="AW948" s="2"/>
      <c r="AX948" s="2"/>
      <c r="AY948" s="2"/>
      <c r="AZ948" s="34"/>
      <c r="BA948" s="34"/>
      <c r="BB948" s="34"/>
      <c r="BC948" s="34"/>
    </row>
    <row r="949" spans="1:55" ht="12.95" customHeight="1">
      <c r="F949" s="47" t="s">
        <v>170</v>
      </c>
      <c r="G949" s="48"/>
      <c r="H949" s="48"/>
      <c r="I949" s="1693" t="s">
        <v>334</v>
      </c>
      <c r="J949" s="1694"/>
      <c r="K949" s="1694"/>
      <c r="L949" s="1694"/>
      <c r="M949" s="1694"/>
      <c r="N949" s="1694"/>
      <c r="O949" s="1694"/>
      <c r="P949" s="1694"/>
      <c r="Q949" s="1694"/>
      <c r="R949" s="1694"/>
      <c r="S949" s="1694"/>
      <c r="T949" s="1695"/>
      <c r="U949" s="1665" t="s">
        <v>591</v>
      </c>
      <c r="V949" s="1428"/>
      <c r="W949" s="1428"/>
      <c r="X949" s="1428"/>
      <c r="Y949" s="1428"/>
      <c r="Z949" s="1429"/>
      <c r="AA949" s="1666"/>
      <c r="AB949" s="1533"/>
      <c r="AC949" s="1533"/>
      <c r="AD949" s="1533"/>
      <c r="AE949" s="1533"/>
      <c r="AF949" s="1667"/>
      <c r="AU949" s="2"/>
      <c r="AZ949" s="34"/>
      <c r="BA949" s="34"/>
      <c r="BB949" s="34"/>
      <c r="BC949" s="34"/>
    </row>
    <row r="950" spans="1:55" ht="12.95" customHeight="1">
      <c r="F950" s="47" t="s">
        <v>170</v>
      </c>
      <c r="G950" s="48"/>
      <c r="H950" s="48"/>
      <c r="I950" s="1693" t="s">
        <v>334</v>
      </c>
      <c r="J950" s="1694"/>
      <c r="K950" s="1694"/>
      <c r="L950" s="1694"/>
      <c r="M950" s="1694"/>
      <c r="N950" s="1694"/>
      <c r="O950" s="1694"/>
      <c r="P950" s="1694"/>
      <c r="Q950" s="1694"/>
      <c r="R950" s="1694"/>
      <c r="S950" s="1694"/>
      <c r="T950" s="1695"/>
      <c r="U950" s="1665" t="s">
        <v>591</v>
      </c>
      <c r="V950" s="1428"/>
      <c r="W950" s="1428"/>
      <c r="X950" s="1428"/>
      <c r="Y950" s="1428"/>
      <c r="Z950" s="1429"/>
      <c r="AA950" s="1666"/>
      <c r="AB950" s="1533"/>
      <c r="AC950" s="1533"/>
      <c r="AD950" s="1533"/>
      <c r="AE950" s="1533"/>
      <c r="AF950" s="1667"/>
      <c r="AU950" s="2"/>
      <c r="AZ950" s="34"/>
      <c r="BA950" s="34"/>
      <c r="BB950" s="34"/>
      <c r="BC950" s="34"/>
    </row>
    <row r="951" spans="1:55" ht="12.95" customHeight="1">
      <c r="AU951" s="2"/>
      <c r="AZ951" s="34"/>
      <c r="BA951" s="34"/>
      <c r="BB951" s="34"/>
      <c r="BC951" s="34"/>
    </row>
    <row r="952" spans="1:55" ht="12.95" customHeight="1">
      <c r="A952" s="2" t="s">
        <v>576</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46">
        <v>46143</v>
      </c>
      <c r="N955" s="1547"/>
      <c r="O955" s="1547"/>
      <c r="P955" s="1547"/>
      <c r="Q955" s="1547"/>
      <c r="R955" s="1547"/>
      <c r="S955" s="1635"/>
      <c r="U955" s="66" t="s">
        <v>11</v>
      </c>
      <c r="V955" s="5"/>
      <c r="W955" s="5"/>
      <c r="X955" s="5"/>
      <c r="Y955" s="5"/>
      <c r="Z955" s="5"/>
      <c r="AA955" s="5"/>
      <c r="AB955" s="5"/>
      <c r="AC955" s="5"/>
      <c r="AD955" s="46"/>
      <c r="AE955" s="1746"/>
      <c r="AF955" s="1547"/>
      <c r="AG955" s="1547"/>
      <c r="AH955" s="1547"/>
      <c r="AI955" s="1547"/>
      <c r="AJ955" s="1547"/>
      <c r="AK955" s="1635"/>
      <c r="AZ955" s="34"/>
      <c r="BA955" s="34"/>
      <c r="BB955" s="34"/>
      <c r="BC955" s="34"/>
    </row>
    <row r="956" spans="1:55" ht="12.95" customHeight="1">
      <c r="C956" s="66" t="s">
        <v>12</v>
      </c>
      <c r="D956" s="5"/>
      <c r="E956" s="5"/>
      <c r="F956" s="5"/>
      <c r="G956" s="5"/>
      <c r="H956" s="5"/>
      <c r="I956" s="5"/>
      <c r="J956" s="5"/>
      <c r="K956" s="5"/>
      <c r="L956" s="46"/>
      <c r="M956" s="1658" t="s">
        <v>2771</v>
      </c>
      <c r="N956" s="1554"/>
      <c r="O956" s="1554"/>
      <c r="P956" s="1554"/>
      <c r="Q956" s="1554"/>
      <c r="R956" s="1554"/>
      <c r="S956" s="1659"/>
      <c r="U956" s="66" t="s">
        <v>12</v>
      </c>
      <c r="V956" s="5"/>
      <c r="W956" s="5"/>
      <c r="X956" s="5"/>
      <c r="Y956" s="5"/>
      <c r="Z956" s="5"/>
      <c r="AA956" s="5"/>
      <c r="AB956" s="5"/>
      <c r="AC956" s="5"/>
      <c r="AD956" s="46"/>
      <c r="AE956" s="1658"/>
      <c r="AF956" s="1554"/>
      <c r="AG956" s="1554"/>
      <c r="AH956" s="1554"/>
      <c r="AI956" s="1554"/>
      <c r="AJ956" s="1554"/>
      <c r="AK956" s="1659"/>
      <c r="AZ956" s="34"/>
      <c r="BA956" s="34"/>
      <c r="BB956" s="34"/>
      <c r="BC956" s="34"/>
    </row>
    <row r="957" spans="1:55" ht="12.95" customHeight="1">
      <c r="C957" s="66" t="s">
        <v>879</v>
      </c>
      <c r="D957" s="5"/>
      <c r="E957" s="5"/>
      <c r="J957" s="1805" t="s">
        <v>2772</v>
      </c>
      <c r="K957" s="1806"/>
      <c r="L957" s="1806"/>
      <c r="M957" s="1806"/>
      <c r="N957" s="1806"/>
      <c r="O957" s="1806"/>
      <c r="P957" s="1806"/>
      <c r="Q957" s="1806"/>
      <c r="R957" s="1806"/>
      <c r="S957" s="1807"/>
      <c r="U957" s="66" t="s">
        <v>879</v>
      </c>
      <c r="V957" s="5"/>
      <c r="W957" s="5"/>
      <c r="AB957" s="1805" t="s">
        <v>307</v>
      </c>
      <c r="AC957" s="1806"/>
      <c r="AD957" s="1806"/>
      <c r="AE957" s="1806"/>
      <c r="AF957" s="1806"/>
      <c r="AG957" s="1806"/>
      <c r="AH957" s="1806"/>
      <c r="AI957" s="1806"/>
      <c r="AJ957" s="1806"/>
      <c r="AK957" s="1807"/>
      <c r="AZ957" s="34"/>
      <c r="BA957" s="34"/>
      <c r="BB957" s="34"/>
      <c r="BC957" s="34"/>
    </row>
    <row r="958" spans="1:55" ht="12.95" customHeight="1">
      <c r="C958" s="66" t="s">
        <v>13</v>
      </c>
      <c r="D958" s="5"/>
      <c r="E958" s="5"/>
      <c r="F958" s="5"/>
      <c r="G958" s="5"/>
      <c r="H958" s="5"/>
      <c r="I958" s="5"/>
      <c r="J958" s="5"/>
      <c r="K958" s="5"/>
      <c r="L958" s="46"/>
      <c r="M958" s="1740">
        <v>1</v>
      </c>
      <c r="N958" s="1741"/>
      <c r="O958" s="1741"/>
      <c r="P958" s="1741"/>
      <c r="Q958" s="1741"/>
      <c r="R958" s="1741"/>
      <c r="S958" s="1742"/>
      <c r="U958" s="66" t="s">
        <v>13</v>
      </c>
      <c r="V958" s="5"/>
      <c r="W958" s="5"/>
      <c r="X958" s="5"/>
      <c r="Y958" s="5"/>
      <c r="Z958" s="5"/>
      <c r="AA958" s="5"/>
      <c r="AB958" s="5"/>
      <c r="AC958" s="5"/>
      <c r="AD958" s="46"/>
      <c r="AE958" s="1790"/>
      <c r="AF958" s="1741"/>
      <c r="AG958" s="1741"/>
      <c r="AH958" s="1741"/>
      <c r="AI958" s="1741"/>
      <c r="AJ958" s="1741"/>
      <c r="AK958" s="1742"/>
      <c r="AZ958" s="34"/>
      <c r="BA958" s="34"/>
      <c r="BB958" s="34"/>
      <c r="BC958" s="34"/>
    </row>
    <row r="959" spans="1:55" ht="12.95" customHeight="1">
      <c r="C959" s="66" t="s">
        <v>14</v>
      </c>
      <c r="D959" s="5"/>
      <c r="E959" s="5"/>
      <c r="F959" s="5"/>
      <c r="G959" s="5"/>
      <c r="H959" s="5"/>
      <c r="I959" s="5"/>
      <c r="J959" s="5"/>
      <c r="K959" s="5"/>
      <c r="L959" s="46"/>
      <c r="M959" s="1618">
        <v>157</v>
      </c>
      <c r="N959" s="1619"/>
      <c r="O959" s="1619"/>
      <c r="P959" s="1619"/>
      <c r="Q959" s="1619"/>
      <c r="R959" s="1619"/>
      <c r="S959" s="1620"/>
      <c r="U959" s="66" t="s">
        <v>14</v>
      </c>
      <c r="V959" s="5"/>
      <c r="W959" s="5"/>
      <c r="X959" s="5"/>
      <c r="Y959" s="5"/>
      <c r="Z959" s="5"/>
      <c r="AA959" s="5"/>
      <c r="AB959" s="5"/>
      <c r="AC959" s="5"/>
      <c r="AD959" s="46"/>
      <c r="AE959" s="1618"/>
      <c r="AF959" s="1619"/>
      <c r="AG959" s="1619"/>
      <c r="AH959" s="1619"/>
      <c r="AI959" s="1619"/>
      <c r="AJ959" s="1619"/>
      <c r="AK959" s="1620"/>
      <c r="AV959" s="2"/>
      <c r="AW959" s="2"/>
      <c r="AX959" s="2"/>
      <c r="AY959" s="2"/>
      <c r="AZ959" s="34"/>
      <c r="BA959" s="34"/>
      <c r="BB959" s="34"/>
      <c r="BC959" s="34"/>
    </row>
    <row r="960" spans="1:55" ht="12.95" customHeight="1">
      <c r="C960" s="66" t="s">
        <v>15</v>
      </c>
      <c r="D960" s="5"/>
      <c r="E960" s="5"/>
      <c r="F960" s="5"/>
      <c r="G960" s="5"/>
      <c r="H960" s="5"/>
      <c r="I960" s="5"/>
      <c r="J960" s="5"/>
      <c r="K960" s="5"/>
      <c r="L960" s="46"/>
      <c r="M960" s="1666">
        <f>+('Subsidy Contract Calculation'!F4*67*12)+('Subsidy Contract Calculation'!F7*90*12)</f>
        <v>3355716</v>
      </c>
      <c r="N960" s="1533"/>
      <c r="O960" s="1533"/>
      <c r="P960" s="1533"/>
      <c r="Q960" s="1533"/>
      <c r="R960" s="1533"/>
      <c r="S960" s="1667"/>
      <c r="U960" s="66" t="s">
        <v>15</v>
      </c>
      <c r="V960" s="5"/>
      <c r="W960" s="5"/>
      <c r="X960" s="5"/>
      <c r="Y960" s="5"/>
      <c r="Z960" s="5"/>
      <c r="AA960" s="5"/>
      <c r="AB960" s="5"/>
      <c r="AC960" s="5"/>
      <c r="AD960" s="46"/>
      <c r="AE960" s="1666"/>
      <c r="AF960" s="1533"/>
      <c r="AG960" s="1533"/>
      <c r="AH960" s="1533"/>
      <c r="AI960" s="1533"/>
      <c r="AJ960" s="1533"/>
      <c r="AK960" s="1667"/>
      <c r="AV960" s="2"/>
      <c r="AW960" s="2"/>
      <c r="AX960" s="2"/>
      <c r="AY960" s="2"/>
      <c r="AZ960" s="34"/>
      <c r="BA960" s="34"/>
      <c r="BB960" s="34"/>
      <c r="BC960" s="34"/>
    </row>
    <row r="961" spans="1:64" ht="12.95" customHeight="1">
      <c r="C961" s="66" t="s">
        <v>16</v>
      </c>
      <c r="D961" s="5"/>
      <c r="E961" s="5"/>
      <c r="F961" s="5"/>
      <c r="G961" s="5"/>
      <c r="H961" s="5"/>
      <c r="I961" s="5"/>
      <c r="J961" s="5"/>
      <c r="K961" s="5"/>
      <c r="L961" s="46"/>
      <c r="M961" s="1666">
        <f>+M960*20</f>
        <v>67114320</v>
      </c>
      <c r="N961" s="1533"/>
      <c r="O961" s="1533"/>
      <c r="P961" s="1533"/>
      <c r="Q961" s="1533"/>
      <c r="R961" s="1533"/>
      <c r="S961" s="1667"/>
      <c r="U961" s="66" t="s">
        <v>16</v>
      </c>
      <c r="V961" s="5"/>
      <c r="W961" s="5"/>
      <c r="X961" s="5"/>
      <c r="Y961" s="5"/>
      <c r="Z961" s="5"/>
      <c r="AA961" s="5"/>
      <c r="AB961" s="5"/>
      <c r="AC961" s="5"/>
      <c r="AD961" s="46"/>
      <c r="AE961" s="1666"/>
      <c r="AF961" s="1533"/>
      <c r="AG961" s="1533"/>
      <c r="AH961" s="1533"/>
      <c r="AI961" s="1533"/>
      <c r="AJ961" s="1533"/>
      <c r="AK961" s="1667"/>
      <c r="AV961" s="2"/>
      <c r="AW961" s="2"/>
      <c r="AX961" s="2"/>
      <c r="AY961" s="2"/>
      <c r="AZ961" s="34"/>
      <c r="BB961" s="34"/>
      <c r="BC961" s="34"/>
    </row>
    <row r="962" spans="1:64" ht="12.95" customHeight="1">
      <c r="C962" s="121" t="s">
        <v>1659</v>
      </c>
      <c r="D962" s="5"/>
      <c r="E962" s="5"/>
      <c r="F962" s="5"/>
      <c r="G962" s="5"/>
      <c r="H962" s="5"/>
      <c r="I962" s="5"/>
      <c r="J962" s="5"/>
      <c r="K962" s="5"/>
      <c r="L962" s="46"/>
      <c r="M962" s="1787">
        <v>20</v>
      </c>
      <c r="N962" s="1788"/>
      <c r="O962" s="1788"/>
      <c r="P962" s="1788"/>
      <c r="Q962" s="1788"/>
      <c r="R962" s="1788"/>
      <c r="S962" s="1789"/>
      <c r="U962" s="121" t="s">
        <v>1659</v>
      </c>
      <c r="V962" s="5"/>
      <c r="W962" s="5"/>
      <c r="X962" s="5"/>
      <c r="Y962" s="5"/>
      <c r="Z962" s="5"/>
      <c r="AA962" s="5"/>
      <c r="AB962" s="5"/>
      <c r="AC962" s="5"/>
      <c r="AD962" s="46"/>
      <c r="AE962" s="1787"/>
      <c r="AF962" s="1788"/>
      <c r="AG962" s="1788"/>
      <c r="AH962" s="1788"/>
      <c r="AI962" s="1788"/>
      <c r="AJ962" s="1788"/>
      <c r="AK962" s="178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700"/>
      <c r="N967" s="1701"/>
      <c r="O967" s="1701"/>
      <c r="P967" s="1701"/>
      <c r="Q967" s="1701"/>
      <c r="R967" s="1701"/>
      <c r="S967" s="1702"/>
      <c r="T967" s="66" t="s">
        <v>789</v>
      </c>
      <c r="U967" s="5"/>
      <c r="V967" s="5"/>
      <c r="W967" s="5"/>
      <c r="X967" s="5"/>
      <c r="Y967" s="5"/>
      <c r="Z967" s="46"/>
      <c r="AA967" s="1700"/>
      <c r="AB967" s="1701"/>
      <c r="AC967" s="1701"/>
      <c r="AD967" s="1701"/>
      <c r="AE967" s="1701"/>
      <c r="AF967" s="1701"/>
      <c r="AG967" s="170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700"/>
      <c r="N968" s="1701"/>
      <c r="O968" s="1701"/>
      <c r="P968" s="1701"/>
      <c r="Q968" s="1701"/>
      <c r="R968" s="1701"/>
      <c r="S968" s="1702"/>
      <c r="T968" s="66" t="s">
        <v>788</v>
      </c>
      <c r="U968" s="5"/>
      <c r="V968" s="5"/>
      <c r="W968" s="5"/>
      <c r="X968" s="5"/>
      <c r="Y968" s="5"/>
      <c r="Z968" s="46"/>
      <c r="AA968" s="1700"/>
      <c r="AB968" s="1701"/>
      <c r="AC968" s="1701"/>
      <c r="AD968" s="1701"/>
      <c r="AE968" s="1701"/>
      <c r="AF968" s="1701"/>
      <c r="AG968" s="170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97" t="s">
        <v>591</v>
      </c>
      <c r="N969" s="1698"/>
      <c r="O969" s="1698"/>
      <c r="P969" s="1698"/>
      <c r="Q969" s="1698"/>
      <c r="R969" s="1698"/>
      <c r="S969" s="1699"/>
      <c r="T969" s="45" t="s">
        <v>336</v>
      </c>
      <c r="U969" s="5"/>
      <c r="V969" s="5"/>
      <c r="W969" s="5"/>
      <c r="X969" s="5"/>
      <c r="Y969" s="5"/>
      <c r="Z969" s="46"/>
      <c r="AA969" s="1700"/>
      <c r="AB969" s="1701"/>
      <c r="AC969" s="1701"/>
      <c r="AD969" s="1701"/>
      <c r="AE969" s="1701"/>
      <c r="AF969" s="1701"/>
      <c r="AG969" s="170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700"/>
      <c r="N970" s="1701"/>
      <c r="O970" s="1701"/>
      <c r="P970" s="1701"/>
      <c r="Q970" s="1701"/>
      <c r="R970" s="1701"/>
      <c r="S970" s="1702"/>
      <c r="T970" s="45" t="s">
        <v>337</v>
      </c>
      <c r="U970" s="5"/>
      <c r="V970" s="5"/>
      <c r="W970" s="5"/>
      <c r="X970" s="5"/>
      <c r="Y970" s="5"/>
      <c r="Z970" s="46"/>
      <c r="AA970" s="1700"/>
      <c r="AB970" s="1701"/>
      <c r="AC970" s="1701"/>
      <c r="AD970" s="1701"/>
      <c r="AE970" s="1701"/>
      <c r="AF970" s="1701"/>
      <c r="AG970" s="170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700"/>
      <c r="N971" s="1701"/>
      <c r="O971" s="1701"/>
      <c r="P971" s="1701"/>
      <c r="Q971" s="1701"/>
      <c r="R971" s="1701"/>
      <c r="S971" s="1702"/>
      <c r="T971" s="45" t="s">
        <v>375</v>
      </c>
      <c r="U971" s="5"/>
      <c r="V971" s="5"/>
      <c r="W971" s="5"/>
      <c r="X971" s="5"/>
      <c r="Y971" s="5"/>
      <c r="Z971" s="46"/>
      <c r="AA971" s="1700"/>
      <c r="AB971" s="1701"/>
      <c r="AC971" s="1701"/>
      <c r="AD971" s="1701"/>
      <c r="AE971" s="1701"/>
      <c r="AF971" s="1701"/>
      <c r="AG971" s="170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805" t="s">
        <v>307</v>
      </c>
      <c r="N972" s="1806"/>
      <c r="O972" s="1806"/>
      <c r="P972" s="1806"/>
      <c r="Q972" s="1806"/>
      <c r="R972" s="1806"/>
      <c r="S972" s="1807"/>
      <c r="T972" s="1774"/>
      <c r="U972" s="1775"/>
      <c r="V972" s="1775"/>
      <c r="W972" s="1775"/>
      <c r="X972" s="1775"/>
      <c r="Y972" s="1775"/>
      <c r="Z972" s="1776"/>
      <c r="AA972" s="1700"/>
      <c r="AB972" s="1701"/>
      <c r="AC972" s="1701"/>
      <c r="AD972" s="1701"/>
      <c r="AE972" s="1701"/>
      <c r="AF972" s="1701"/>
      <c r="AG972" s="170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700"/>
      <c r="N973" s="1701"/>
      <c r="O973" s="1701"/>
      <c r="P973" s="1701"/>
      <c r="Q973" s="1701"/>
      <c r="R973" s="1701"/>
      <c r="S973" s="1702"/>
      <c r="T973" s="1774"/>
      <c r="U973" s="1775"/>
      <c r="V973" s="1775"/>
      <c r="W973" s="1775"/>
      <c r="X973" s="1775"/>
      <c r="Y973" s="1775"/>
      <c r="Z973" s="1776"/>
      <c r="AA973" s="1700"/>
      <c r="AB973" s="1701"/>
      <c r="AC973" s="1701"/>
      <c r="AD973" s="1701"/>
      <c r="AE973" s="1701"/>
      <c r="AF973" s="1701"/>
      <c r="AG973" s="170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6" t="s">
        <v>668</v>
      </c>
      <c r="P974" s="1378"/>
      <c r="Q974" s="92"/>
      <c r="R974" s="92"/>
      <c r="S974" s="93"/>
      <c r="T974" s="41" t="s">
        <v>170</v>
      </c>
      <c r="U974" s="42"/>
      <c r="V974" s="42"/>
      <c r="W974" s="1808" t="s">
        <v>2773</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96"/>
      <c r="H975" s="1496"/>
      <c r="I975" s="1496"/>
      <c r="J975" s="1496"/>
      <c r="K975" s="1496"/>
      <c r="L975" s="1496"/>
      <c r="M975" s="1700"/>
      <c r="N975" s="1701"/>
      <c r="O975" s="1701"/>
      <c r="P975" s="1701"/>
      <c r="Q975" s="1701"/>
      <c r="R975" s="1701"/>
      <c r="S975" s="1702"/>
      <c r="T975" s="47"/>
      <c r="U975" s="48"/>
      <c r="V975" s="48"/>
      <c r="W975" s="48"/>
      <c r="X975" s="48"/>
      <c r="Y975" s="48"/>
      <c r="Z975" s="124" t="s">
        <v>134</v>
      </c>
      <c r="AA975" s="1771"/>
      <c r="AB975" s="1772"/>
      <c r="AC975" s="1772"/>
      <c r="AD975" s="1772"/>
      <c r="AE975" s="1772"/>
      <c r="AF975" s="1772"/>
      <c r="AG975" s="177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60" t="s">
        <v>548</v>
      </c>
      <c r="B979" s="1560"/>
      <c r="C979" s="1560"/>
      <c r="D979" s="1560"/>
      <c r="E979" s="1560"/>
      <c r="F979" s="1560"/>
      <c r="G979" s="1560"/>
      <c r="H979" s="1560"/>
      <c r="I979" s="1560"/>
      <c r="J979" s="1560"/>
      <c r="K979" s="1560"/>
      <c r="L979" s="1560"/>
      <c r="M979" s="1560"/>
      <c r="N979" s="1560"/>
      <c r="O979" s="1560"/>
      <c r="P979" s="1560"/>
      <c r="Q979" s="1560"/>
      <c r="R979" s="1560"/>
      <c r="S979" s="1560"/>
      <c r="T979" s="1560"/>
      <c r="U979" s="1560"/>
      <c r="V979" s="1560"/>
      <c r="W979" s="1560"/>
      <c r="X979" s="1560"/>
      <c r="Y979" s="1560"/>
      <c r="Z979" s="1560"/>
      <c r="AA979" s="1560"/>
      <c r="AB979" s="1560"/>
      <c r="AC979" s="1560"/>
      <c r="AD979" s="1560"/>
      <c r="AE979" s="1560"/>
      <c r="AF979" s="1560"/>
      <c r="AG979" s="1560"/>
      <c r="AH979" s="1560"/>
      <c r="AI979" s="1560"/>
      <c r="AJ979" s="1560"/>
      <c r="AK979" s="1560"/>
      <c r="AL979" s="1560"/>
      <c r="AM979" s="1560"/>
      <c r="AN979" s="1560"/>
      <c r="AO979" s="1560"/>
      <c r="AP979" s="1560"/>
      <c r="AQ979" s="1560"/>
      <c r="AR979" s="1560"/>
      <c r="AS979" s="1560"/>
      <c r="AT979" s="1560"/>
      <c r="AU979" s="68"/>
      <c r="AV979" s="68"/>
      <c r="AW979" s="68"/>
      <c r="AX979" s="68"/>
      <c r="AY979" s="68"/>
      <c r="AZ979" s="14"/>
      <c r="BA979" s="14"/>
      <c r="BB979" s="912"/>
      <c r="BC979" s="912"/>
    </row>
    <row r="980" spans="1:64" ht="12.95" customHeight="1">
      <c r="A980" s="1560"/>
      <c r="B980" s="1560"/>
      <c r="C980" s="1560"/>
      <c r="D980" s="1560"/>
      <c r="E980" s="1560"/>
      <c r="F980" s="1560"/>
      <c r="G980" s="1560"/>
      <c r="H980" s="1560"/>
      <c r="I980" s="1560"/>
      <c r="J980" s="1560"/>
      <c r="K980" s="1560"/>
      <c r="L980" s="1560"/>
      <c r="M980" s="1560"/>
      <c r="N980" s="1560"/>
      <c r="O980" s="1560"/>
      <c r="P980" s="1560"/>
      <c r="Q980" s="1560"/>
      <c r="R980" s="1560"/>
      <c r="S980" s="1560"/>
      <c r="T980" s="1560"/>
      <c r="U980" s="1560"/>
      <c r="V980" s="1560"/>
      <c r="W980" s="1560"/>
      <c r="X980" s="1560"/>
      <c r="Y980" s="1560"/>
      <c r="Z980" s="1560"/>
      <c r="AA980" s="1560"/>
      <c r="AB980" s="1560"/>
      <c r="AC980" s="1560"/>
      <c r="AD980" s="1560"/>
      <c r="AE980" s="1560"/>
      <c r="AF980" s="1560"/>
      <c r="AG980" s="1560"/>
      <c r="AH980" s="1560"/>
      <c r="AI980" s="1560"/>
      <c r="AJ980" s="1560"/>
      <c r="AK980" s="1560"/>
      <c r="AL980" s="1560"/>
      <c r="AM980" s="1560"/>
      <c r="AN980" s="1560"/>
      <c r="AO980" s="1560"/>
      <c r="AP980" s="1560"/>
      <c r="AQ980" s="1560"/>
      <c r="AR980" s="1560"/>
      <c r="AS980" s="1560"/>
      <c r="AT980" s="1560"/>
      <c r="AU980" s="68"/>
      <c r="AV980" s="68"/>
      <c r="AW980" s="68"/>
      <c r="AX980" s="68"/>
      <c r="AY980" s="68"/>
      <c r="AZ980" s="30"/>
      <c r="BA980" s="14"/>
      <c r="BB980" s="14"/>
      <c r="BC980" s="14"/>
    </row>
    <row r="981" spans="1:64" ht="12.95" customHeight="1">
      <c r="A981" s="1560"/>
      <c r="B981" s="1560"/>
      <c r="C981" s="1560"/>
      <c r="D981" s="1560"/>
      <c r="E981" s="1560"/>
      <c r="F981" s="1560"/>
      <c r="G981" s="1560"/>
      <c r="H981" s="1560"/>
      <c r="I981" s="1560"/>
      <c r="J981" s="1560"/>
      <c r="K981" s="1560"/>
      <c r="L981" s="1560"/>
      <c r="M981" s="1560"/>
      <c r="N981" s="1560"/>
      <c r="O981" s="1560"/>
      <c r="P981" s="1560"/>
      <c r="Q981" s="1560"/>
      <c r="R981" s="1560"/>
      <c r="S981" s="1560"/>
      <c r="T981" s="1560"/>
      <c r="U981" s="1560"/>
      <c r="V981" s="1560"/>
      <c r="W981" s="1560"/>
      <c r="X981" s="1560"/>
      <c r="Y981" s="1560"/>
      <c r="Z981" s="1560"/>
      <c r="AA981" s="1560"/>
      <c r="AB981" s="1560"/>
      <c r="AC981" s="1560"/>
      <c r="AD981" s="1560"/>
      <c r="AE981" s="1560"/>
      <c r="AF981" s="1560"/>
      <c r="AG981" s="1560"/>
      <c r="AH981" s="1560"/>
      <c r="AI981" s="1560"/>
      <c r="AJ981" s="1560"/>
      <c r="AK981" s="1560"/>
      <c r="AL981" s="1560"/>
      <c r="AM981" s="1560"/>
      <c r="AN981" s="1560"/>
      <c r="AO981" s="1560"/>
      <c r="AP981" s="1560"/>
      <c r="AQ981" s="1560"/>
      <c r="AR981" s="1560"/>
      <c r="AS981" s="1560"/>
      <c r="AT981" s="1560"/>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817" t="s">
        <v>637</v>
      </c>
      <c r="E985" s="1818"/>
      <c r="F985" s="1818"/>
      <c r="G985" s="1818"/>
      <c r="H985" s="1818"/>
      <c r="I985" s="1818"/>
      <c r="J985" s="1818"/>
      <c r="K985" s="1818"/>
      <c r="L985" s="1818"/>
      <c r="M985" s="1818"/>
      <c r="N985" s="1818"/>
      <c r="O985" s="1818"/>
      <c r="P985" s="1818"/>
      <c r="Q985" s="1819"/>
      <c r="R985" s="1817" t="s">
        <v>638</v>
      </c>
      <c r="S985" s="1818"/>
      <c r="T985" s="1818"/>
      <c r="U985" s="1818"/>
      <c r="V985" s="1818"/>
      <c r="W985" s="1818"/>
      <c r="X985" s="1818"/>
      <c r="Y985" s="1818"/>
      <c r="Z985" s="1818"/>
      <c r="AA985" s="1819"/>
      <c r="AB985" s="1817" t="s">
        <v>639</v>
      </c>
      <c r="AC985" s="1818"/>
      <c r="AD985" s="1818"/>
      <c r="AE985" s="1818"/>
      <c r="AF985" s="1818"/>
      <c r="AG985" s="1818"/>
      <c r="AH985" s="1818"/>
      <c r="AI985" s="1819"/>
      <c r="AJ985" s="1817" t="s">
        <v>640</v>
      </c>
      <c r="AK985" s="1818"/>
      <c r="AL985" s="1818"/>
      <c r="AM985" s="1818"/>
      <c r="AN985" s="1818"/>
      <c r="AO985" s="1818"/>
      <c r="AP985" s="1818"/>
      <c r="AQ985" s="1819"/>
      <c r="AR985" s="68"/>
      <c r="AS985" s="68"/>
      <c r="AT985" s="68"/>
      <c r="AU985" s="68"/>
      <c r="AV985" s="68"/>
      <c r="AW985" s="68"/>
      <c r="AX985" s="68"/>
      <c r="AY985" s="68"/>
      <c r="AZ985" s="30"/>
      <c r="BB985" s="14"/>
      <c r="BC985" s="14"/>
    </row>
    <row r="986" spans="1:64" ht="12.95" customHeight="1">
      <c r="A986" s="14"/>
      <c r="B986" s="73"/>
      <c r="C986" s="929"/>
      <c r="D986" s="1768" t="s">
        <v>632</v>
      </c>
      <c r="E986" s="1769"/>
      <c r="F986" s="1769"/>
      <c r="G986" s="1769"/>
      <c r="H986" s="1769"/>
      <c r="I986" s="1769"/>
      <c r="J986" s="1769"/>
      <c r="K986" s="1769"/>
      <c r="L986" s="1769"/>
      <c r="M986" s="1769"/>
      <c r="N986" s="1769"/>
      <c r="O986" s="1769"/>
      <c r="P986" s="1769"/>
      <c r="Q986" s="1770"/>
      <c r="R986" s="1730">
        <f>IF(ISNA(IF($CU$122="4%",(INDEX($CS$160:$CW$217,MATCH($DG$122,$CR$160:$CR$217,0),MATCH(D986,$CS$159:$CW$159,0))),(INDEX($CZ$160:$DD$217,MATCH($DG$122,$CY$160:$CY$217,0),MATCH(D986,$CZ$159:$DD$159,0))))),0,IF($CU$122="4%",(INDEX($CS$160:$CW$217,MATCH($DG$122,$CR$160:$CR$217,0),MATCH(D986,$CS$159:$CW$159,0))),(INDEX($CZ$160:$DD$217,MATCH($DG$122,$CY$160:$CY$217,0),MATCH(D986,$CZ$159:$DD$159,0)))))</f>
        <v>437727</v>
      </c>
      <c r="S986" s="1730"/>
      <c r="T986" s="1730"/>
      <c r="U986" s="1730"/>
      <c r="V986" s="1730"/>
      <c r="W986" s="1730"/>
      <c r="X986" s="1730"/>
      <c r="Y986" s="1730"/>
      <c r="Z986" s="1730"/>
      <c r="AA986" s="1730"/>
      <c r="AB986" s="1727">
        <f>CP802</f>
        <v>0</v>
      </c>
      <c r="AC986" s="1728"/>
      <c r="AD986" s="1728"/>
      <c r="AE986" s="1728"/>
      <c r="AF986" s="1728"/>
      <c r="AG986" s="1728"/>
      <c r="AH986" s="1728"/>
      <c r="AI986" s="1729"/>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68" t="s">
        <v>325</v>
      </c>
      <c r="E987" s="1769"/>
      <c r="F987" s="1769"/>
      <c r="G987" s="1769"/>
      <c r="H987" s="1769"/>
      <c r="I987" s="1769"/>
      <c r="J987" s="1769"/>
      <c r="K987" s="1769"/>
      <c r="L987" s="1769"/>
      <c r="M987" s="1769"/>
      <c r="N987" s="1769"/>
      <c r="O987" s="1769"/>
      <c r="P987" s="1769"/>
      <c r="Q987" s="1770"/>
      <c r="R987" s="1730">
        <f>IF(ISNA(IF($CU$122="4%",(INDEX($CS$160:$CW$217,MATCH($DG$122,$CR$160:$CR$217,0),MATCH(D987,$CS$159:$CW$159,0))),(INDEX($CZ$160:$DD$217,MATCH($DG$122,$CY$160:$CY$217,0),MATCH(D987,$CZ$159:$DD$159,0))))),0,IF($CU$122="4%",(INDEX($CS$160:$CW$217,MATCH($DG$122,$CR$160:$CR$217,0),MATCH(D987,$CS$159:$CW$159,0))),(INDEX($CZ$160:$DD$217,MATCH($DG$122,$CY$160:$CY$217,0),MATCH(D987,$CZ$159:$DD$159,0)))))</f>
        <v>504695</v>
      </c>
      <c r="S987" s="1730"/>
      <c r="T987" s="1730"/>
      <c r="U987" s="1730"/>
      <c r="V987" s="1730"/>
      <c r="W987" s="1730"/>
      <c r="X987" s="1730"/>
      <c r="Y987" s="1730"/>
      <c r="Z987" s="1730"/>
      <c r="AA987" s="1730"/>
      <c r="AB987" s="1727">
        <f>CU802</f>
        <v>158</v>
      </c>
      <c r="AC987" s="1728"/>
      <c r="AD987" s="1728"/>
      <c r="AE987" s="1728"/>
      <c r="AF987" s="1728"/>
      <c r="AG987" s="1728"/>
      <c r="AH987" s="1728"/>
      <c r="AI987" s="1729"/>
      <c r="AJ987" s="1716">
        <f>IF(ISERROR((R987*AB987)),0,(R987*AB987))</f>
        <v>79741810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68" t="s">
        <v>163</v>
      </c>
      <c r="E988" s="1769"/>
      <c r="F988" s="1769"/>
      <c r="G988" s="1769"/>
      <c r="H988" s="1769"/>
      <c r="I988" s="1769"/>
      <c r="J988" s="1769"/>
      <c r="K988" s="1769"/>
      <c r="L988" s="1769"/>
      <c r="M988" s="1769"/>
      <c r="N988" s="1769"/>
      <c r="O988" s="1769"/>
      <c r="P988" s="1769"/>
      <c r="Q988" s="1770"/>
      <c r="R988" s="1730">
        <f>IF(ISNA(IF($CU$122="4%",(INDEX($CS$160:$CW$217,MATCH($DG$122,$CR$160:$CR$217,0),MATCH(D988,$CS$159:$CW$159,0))),(INDEX($CZ$160:$DD$217,MATCH($DG$122,$CY$160:$CY$217,0),MATCH(D988,$CZ$159:$DD$159,0))))),0,IF($CU$122="4%",(INDEX($CS$160:$CW$217,MATCH($DG$122,$CR$160:$CR$217,0),MATCH(D988,$CS$159:$CW$159,0))),(INDEX($CZ$160:$DD$217,MATCH($DG$122,$CY$160:$CY$217,0),MATCH(D988,$CZ$159:$DD$159,0)))))</f>
        <v>608800</v>
      </c>
      <c r="S988" s="1730"/>
      <c r="T988" s="1730"/>
      <c r="U988" s="1730"/>
      <c r="V988" s="1730"/>
      <c r="W988" s="1730"/>
      <c r="X988" s="1730"/>
      <c r="Y988" s="1730"/>
      <c r="Z988" s="1730"/>
      <c r="AA988" s="1730"/>
      <c r="AB988" s="1727">
        <f>CZ802</f>
        <v>1</v>
      </c>
      <c r="AC988" s="1728"/>
      <c r="AD988" s="1728"/>
      <c r="AE988" s="1728"/>
      <c r="AF988" s="1728"/>
      <c r="AG988" s="1728"/>
      <c r="AH988" s="1728"/>
      <c r="AI988" s="1729"/>
      <c r="AJ988" s="1716">
        <f>IF(ISERROR((R988*AB988)),0,(R988*AB988))</f>
        <v>608800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68" t="s">
        <v>164</v>
      </c>
      <c r="E989" s="1769"/>
      <c r="F989" s="1769"/>
      <c r="G989" s="1769"/>
      <c r="H989" s="1769"/>
      <c r="I989" s="1769"/>
      <c r="J989" s="1769"/>
      <c r="K989" s="1769"/>
      <c r="L989" s="1769"/>
      <c r="M989" s="1769"/>
      <c r="N989" s="1769"/>
      <c r="O989" s="1769"/>
      <c r="P989" s="1769"/>
      <c r="Q989" s="1770"/>
      <c r="R989" s="1730">
        <f>IF(ISNA(IF($CU$122="4%",(INDEX($CS$160:$CW$217,MATCH($DG$122,$CR$160:$CR$217,0),MATCH(D989,$CS$159:$CW$159,0))),(INDEX($CZ$160:$DD$217,MATCH($DG$122,$CY$160:$CY$217,0),MATCH(D989,$CZ$159:$DD$159,0))))),0,IF($CU$122="4%",(INDEX($CS$160:$CW$217,MATCH($DG$122,$CR$160:$CR$217,0),MATCH(D989,$CS$159:$CW$159,0))),(INDEX($CZ$160:$DD$217,MATCH($DG$122,$CY$160:$CY$217,0),MATCH(D989,$CZ$159:$DD$159,0)))))</f>
        <v>779264</v>
      </c>
      <c r="S989" s="1730"/>
      <c r="T989" s="1730"/>
      <c r="U989" s="1730"/>
      <c r="V989" s="1730"/>
      <c r="W989" s="1730"/>
      <c r="X989" s="1730"/>
      <c r="Y989" s="1730"/>
      <c r="Z989" s="1730"/>
      <c r="AA989" s="1730"/>
      <c r="AB989" s="1727">
        <f>DE802</f>
        <v>0</v>
      </c>
      <c r="AC989" s="1728"/>
      <c r="AD989" s="1728"/>
      <c r="AE989" s="1728"/>
      <c r="AF989" s="1728"/>
      <c r="AG989" s="1728"/>
      <c r="AH989" s="1728"/>
      <c r="AI989" s="1729"/>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68" t="s">
        <v>460</v>
      </c>
      <c r="E990" s="1769"/>
      <c r="F990" s="1769"/>
      <c r="G990" s="1769"/>
      <c r="H990" s="1769"/>
      <c r="I990" s="1769"/>
      <c r="J990" s="1769"/>
      <c r="K990" s="1769"/>
      <c r="L990" s="1769"/>
      <c r="M990" s="1769"/>
      <c r="N990" s="1769"/>
      <c r="O990" s="1769"/>
      <c r="P990" s="1769"/>
      <c r="Q990" s="1770"/>
      <c r="R990" s="1730">
        <f>IF(ISNA(IF($CU$122="4%",(INDEX($CS$160:$CW$217,MATCH($DG$122,$CR$160:$CR$217,0),MATCH(D990,$CS$159:$CW$159,0))),(INDEX($CZ$160:$DD$217,MATCH($DG$122,$CY$160:$CY$217,0),MATCH(D990,$CZ$159:$DD$159,0))))),0,IF($CU$122="4%",(INDEX($CS$160:$CW$217,MATCH($DG$122,$CR$160:$CR$217,0),MATCH(D990,$CS$159:$CW$159,0))),(INDEX($CZ$160:$DD$217,MATCH($DG$122,$CY$160:$CY$217,0),MATCH(D990,$CZ$159:$DD$159,0)))))</f>
        <v>868149</v>
      </c>
      <c r="S990" s="1730"/>
      <c r="T990" s="1730"/>
      <c r="U990" s="1730"/>
      <c r="V990" s="1730"/>
      <c r="W990" s="1730"/>
      <c r="X990" s="1730"/>
      <c r="Y990" s="1730"/>
      <c r="Z990" s="1730"/>
      <c r="AA990" s="1730"/>
      <c r="AB990" s="1727">
        <f>DO802+DJ802</f>
        <v>0</v>
      </c>
      <c r="AC990" s="1728"/>
      <c r="AD990" s="1728"/>
      <c r="AE990" s="1728"/>
      <c r="AF990" s="1728"/>
      <c r="AG990" s="1728"/>
      <c r="AH990" s="1728"/>
      <c r="AI990" s="1729"/>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1" t="s">
        <v>790</v>
      </c>
      <c r="C991" s="1732"/>
      <c r="D991" s="1732"/>
      <c r="E991" s="1732"/>
      <c r="F991" s="1732"/>
      <c r="G991" s="1732"/>
      <c r="H991" s="1732"/>
      <c r="I991" s="1732"/>
      <c r="J991" s="1732"/>
      <c r="K991" s="1732"/>
      <c r="L991" s="1732"/>
      <c r="M991" s="1732"/>
      <c r="N991" s="1732"/>
      <c r="O991" s="1732"/>
      <c r="P991" s="1732"/>
      <c r="Q991" s="1732"/>
      <c r="R991" s="1732"/>
      <c r="S991" s="1732"/>
      <c r="T991" s="1732"/>
      <c r="U991" s="1732"/>
      <c r="V991" s="1732"/>
      <c r="W991" s="1732"/>
      <c r="X991" s="1732"/>
      <c r="Y991" s="1732"/>
      <c r="Z991" s="1732"/>
      <c r="AA991" s="1733"/>
      <c r="AB991" s="1727">
        <f>SUM(AB986:AI990)</f>
        <v>159</v>
      </c>
      <c r="AC991" s="1728"/>
      <c r="AD991" s="1728"/>
      <c r="AE991" s="1728"/>
      <c r="AF991" s="1728"/>
      <c r="AG991" s="1728"/>
      <c r="AH991" s="1728"/>
      <c r="AI991" s="1729"/>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43" t="s">
        <v>512</v>
      </c>
      <c r="C992" s="1744"/>
      <c r="D992" s="1744"/>
      <c r="E992" s="1744"/>
      <c r="F992" s="1744"/>
      <c r="G992" s="1744"/>
      <c r="H992" s="1744"/>
      <c r="I992" s="1744"/>
      <c r="J992" s="1744"/>
      <c r="K992" s="1744"/>
      <c r="L992" s="1744"/>
      <c r="M992" s="1744"/>
      <c r="N992" s="1744"/>
      <c r="O992" s="1744"/>
      <c r="P992" s="1744"/>
      <c r="Q992" s="1744"/>
      <c r="R992" s="1744"/>
      <c r="S992" s="1744"/>
      <c r="T992" s="1744"/>
      <c r="U992" s="1744"/>
      <c r="V992" s="1744"/>
      <c r="W992" s="1744"/>
      <c r="X992" s="1744"/>
      <c r="Y992" s="1744"/>
      <c r="Z992" s="1744"/>
      <c r="AA992" s="1744"/>
      <c r="AB992" s="1744"/>
      <c r="AC992" s="1744"/>
      <c r="AD992" s="1744"/>
      <c r="AE992" s="1744"/>
      <c r="AF992" s="1744"/>
      <c r="AG992" s="1744"/>
      <c r="AH992" s="1744"/>
      <c r="AI992" s="1745"/>
      <c r="AJ992" s="1716">
        <f>SUM(AJ986:AQ990)</f>
        <v>80350610</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98"/>
      <c r="C993" s="1799"/>
      <c r="D993" s="1799"/>
      <c r="E993" s="1799"/>
      <c r="F993" s="1799"/>
      <c r="G993" s="1799"/>
      <c r="H993" s="1799"/>
      <c r="I993" s="1799"/>
      <c r="J993" s="1799"/>
      <c r="K993" s="1799"/>
      <c r="L993" s="1799"/>
      <c r="M993" s="1799"/>
      <c r="N993" s="1799"/>
      <c r="O993" s="1799"/>
      <c r="P993" s="1799"/>
      <c r="Q993" s="1799"/>
      <c r="R993" s="1799"/>
      <c r="S993" s="1799"/>
      <c r="T993" s="1799"/>
      <c r="U993" s="1799"/>
      <c r="V993" s="1799"/>
      <c r="W993" s="1799"/>
      <c r="X993" s="1799"/>
      <c r="Y993" s="1799"/>
      <c r="Z993" s="1799"/>
      <c r="AA993" s="1799"/>
      <c r="AB993" s="1799"/>
      <c r="AC993" s="1799"/>
      <c r="AD993" s="1799"/>
      <c r="AE993" s="1800"/>
      <c r="AF993" s="1835" t="s">
        <v>665</v>
      </c>
      <c r="AG993" s="1836"/>
      <c r="AH993" s="1836"/>
      <c r="AI993" s="1837"/>
      <c r="AJ993" s="1798"/>
      <c r="AK993" s="1799"/>
      <c r="AL993" s="1799"/>
      <c r="AM993" s="1799"/>
      <c r="AN993" s="1799"/>
      <c r="AO993" s="1799"/>
      <c r="AP993" s="1799"/>
      <c r="AQ993" s="1800"/>
      <c r="AR993" s="68"/>
      <c r="AS993" s="68"/>
      <c r="AT993" s="68"/>
      <c r="AU993" s="68"/>
      <c r="AV993" s="68"/>
      <c r="AW993" s="68"/>
      <c r="AX993" s="68"/>
      <c r="AY993" s="68"/>
      <c r="AZ993" s="34"/>
      <c r="BA993" s="34"/>
      <c r="BB993" s="34"/>
      <c r="BC993" s="34"/>
    </row>
    <row r="994" spans="1:55" ht="12.95" customHeight="1">
      <c r="A994" s="14"/>
      <c r="B994" s="73"/>
      <c r="C994" s="927" t="s">
        <v>667</v>
      </c>
      <c r="D994" s="1734" t="s">
        <v>1218</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38" t="s">
        <v>545</v>
      </c>
      <c r="AH994" s="1839"/>
      <c r="AI994" s="87"/>
      <c r="AJ994" s="1750">
        <f>ROUND(IF(AND(AG994="yes",D1000&gt;0),AJ992*0.2,0),0)</f>
        <v>16070122</v>
      </c>
      <c r="AK994" s="1751"/>
      <c r="AL994" s="1751"/>
      <c r="AM994" s="1751"/>
      <c r="AN994" s="1751"/>
      <c r="AO994" s="1751"/>
      <c r="AP994" s="1751"/>
      <c r="AQ994" s="1752"/>
      <c r="AR994" s="68"/>
      <c r="AS994" s="68"/>
      <c r="AT994" s="68"/>
      <c r="AU994" s="68"/>
      <c r="AV994" s="68"/>
      <c r="AW994" s="68"/>
      <c r="AX994" s="68"/>
      <c r="AY994" s="68"/>
      <c r="AZ994" s="34"/>
      <c r="BA994" s="34"/>
      <c r="BB994" s="34"/>
      <c r="BC994" s="34"/>
    </row>
    <row r="995" spans="1:55" ht="12.95" customHeight="1">
      <c r="A995" s="14"/>
      <c r="B995" s="257"/>
      <c r="C995" s="256"/>
      <c r="D995" s="1777" t="s">
        <v>2232</v>
      </c>
      <c r="E995" s="1778"/>
      <c r="F995" s="1778"/>
      <c r="G995" s="1778"/>
      <c r="H995" s="1778"/>
      <c r="I995" s="1778"/>
      <c r="J995" s="1778"/>
      <c r="K995" s="1778"/>
      <c r="L995" s="1778"/>
      <c r="M995" s="1778"/>
      <c r="N995" s="1778"/>
      <c r="O995" s="1778"/>
      <c r="P995" s="1778"/>
      <c r="Q995" s="1778"/>
      <c r="R995" s="1778"/>
      <c r="S995" s="1778"/>
      <c r="T995" s="1778"/>
      <c r="U995" s="1778"/>
      <c r="V995" s="1778"/>
      <c r="W995" s="1778"/>
      <c r="X995" s="1778"/>
      <c r="Y995" s="1778"/>
      <c r="Z995" s="1778"/>
      <c r="AA995" s="1778"/>
      <c r="AB995" s="1778"/>
      <c r="AC995" s="1778"/>
      <c r="AD995" s="1778"/>
      <c r="AE995" s="1779"/>
      <c r="AF995" s="73"/>
      <c r="AG995" s="14"/>
      <c r="AH995" s="14"/>
      <c r="AI995" s="83"/>
      <c r="AJ995" s="1753"/>
      <c r="AK995" s="1754"/>
      <c r="AL995" s="1754"/>
      <c r="AM995" s="1754"/>
      <c r="AN995" s="1754"/>
      <c r="AO995" s="1754"/>
      <c r="AP995" s="1754"/>
      <c r="AQ995" s="1755"/>
      <c r="AR995" s="68"/>
      <c r="AS995" s="68"/>
      <c r="AT995" s="68"/>
      <c r="AU995" s="68"/>
      <c r="AV995" s="68"/>
      <c r="AW995" s="68"/>
      <c r="AX995" s="68"/>
      <c r="AY995" s="68"/>
      <c r="AZ995" s="34"/>
      <c r="BA995" s="34"/>
      <c r="BB995" s="34"/>
      <c r="BC995" s="34"/>
    </row>
    <row r="996" spans="1:55" ht="12.95" customHeight="1">
      <c r="A996" s="14"/>
      <c r="B996" s="257"/>
      <c r="C996" s="256"/>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53"/>
      <c r="AK996" s="1754"/>
      <c r="AL996" s="1754"/>
      <c r="AM996" s="1754"/>
      <c r="AN996" s="1754"/>
      <c r="AO996" s="1754"/>
      <c r="AP996" s="1754"/>
      <c r="AQ996" s="1755"/>
      <c r="AR996" s="68"/>
      <c r="AS996" s="68"/>
      <c r="AT996" s="68"/>
      <c r="AU996" s="68"/>
      <c r="AV996" s="68"/>
      <c r="AW996" s="68"/>
      <c r="AX996" s="68"/>
      <c r="AY996" s="68"/>
      <c r="AZ996" s="34"/>
      <c r="BA996" s="34"/>
      <c r="BB996" s="34"/>
      <c r="BC996" s="34"/>
    </row>
    <row r="997" spans="1:55" ht="12.95" customHeight="1">
      <c r="A997" s="14"/>
      <c r="B997" s="257"/>
      <c r="C997" s="256"/>
      <c r="D997" s="1777"/>
      <c r="E997" s="1778"/>
      <c r="F997" s="1778"/>
      <c r="G997" s="1778"/>
      <c r="H997" s="1778"/>
      <c r="I997" s="1778"/>
      <c r="J997" s="1778"/>
      <c r="K997" s="1778"/>
      <c r="L997" s="1778"/>
      <c r="M997" s="1778"/>
      <c r="N997" s="1778"/>
      <c r="O997" s="1778"/>
      <c r="P997" s="1778"/>
      <c r="Q997" s="1778"/>
      <c r="R997" s="1778"/>
      <c r="S997" s="1778"/>
      <c r="T997" s="1778"/>
      <c r="U997" s="1778"/>
      <c r="V997" s="1778"/>
      <c r="W997" s="1778"/>
      <c r="X997" s="1778"/>
      <c r="Y997" s="1778"/>
      <c r="Z997" s="1778"/>
      <c r="AA997" s="1778"/>
      <c r="AB997" s="1778"/>
      <c r="AC997" s="1778"/>
      <c r="AD997" s="1778"/>
      <c r="AE997" s="1779"/>
      <c r="AF997" s="73"/>
      <c r="AG997" s="14"/>
      <c r="AH997" s="14"/>
      <c r="AI997" s="83"/>
      <c r="AJ997" s="1753"/>
      <c r="AK997" s="1754"/>
      <c r="AL997" s="1754"/>
      <c r="AM997" s="1754"/>
      <c r="AN997" s="1754"/>
      <c r="AO997" s="1754"/>
      <c r="AP997" s="1754"/>
      <c r="AQ997" s="1755"/>
      <c r="AR997" s="68"/>
      <c r="AS997" s="68"/>
      <c r="AT997" s="68"/>
      <c r="AU997" s="68"/>
      <c r="AV997" s="68"/>
      <c r="AW997" s="68"/>
      <c r="AX997" s="68"/>
      <c r="AY997" s="68"/>
      <c r="AZ997" s="34"/>
      <c r="BA997" s="34"/>
      <c r="BB997" s="34"/>
      <c r="BC997" s="34"/>
    </row>
    <row r="998" spans="1:55" ht="12.95" customHeight="1">
      <c r="A998" s="14"/>
      <c r="B998" s="257"/>
      <c r="C998" s="256"/>
      <c r="D998" s="1777"/>
      <c r="E998" s="1778"/>
      <c r="F998" s="1778"/>
      <c r="G998" s="1778"/>
      <c r="H998" s="1778"/>
      <c r="I998" s="1778"/>
      <c r="J998" s="1778"/>
      <c r="K998" s="1778"/>
      <c r="L998" s="1778"/>
      <c r="M998" s="1778"/>
      <c r="N998" s="1778"/>
      <c r="O998" s="1778"/>
      <c r="P998" s="1778"/>
      <c r="Q998" s="1778"/>
      <c r="R998" s="1778"/>
      <c r="S998" s="1778"/>
      <c r="T998" s="1778"/>
      <c r="U998" s="1778"/>
      <c r="V998" s="1778"/>
      <c r="W998" s="1778"/>
      <c r="X998" s="1778"/>
      <c r="Y998" s="1778"/>
      <c r="Z998" s="1778"/>
      <c r="AA998" s="1778"/>
      <c r="AB998" s="1778"/>
      <c r="AC998" s="1778"/>
      <c r="AD998" s="1778"/>
      <c r="AE998" s="1779"/>
      <c r="AF998" s="73"/>
      <c r="AG998" s="14"/>
      <c r="AH998" s="14"/>
      <c r="AI998" s="83"/>
      <c r="AJ998" s="1753"/>
      <c r="AK998" s="1754"/>
      <c r="AL998" s="1754"/>
      <c r="AM998" s="1754"/>
      <c r="AN998" s="1754"/>
      <c r="AO998" s="1754"/>
      <c r="AP998" s="1754"/>
      <c r="AQ998" s="1755"/>
      <c r="AR998" s="68"/>
      <c r="AS998" s="68"/>
      <c r="AT998" s="68"/>
      <c r="AU998" s="68"/>
      <c r="AV998" s="68"/>
      <c r="AW998" s="68"/>
      <c r="AX998" s="68"/>
      <c r="AY998" s="68"/>
      <c r="AZ998" s="34"/>
      <c r="BA998" s="34"/>
      <c r="BB998" s="34"/>
      <c r="BC998" s="34"/>
    </row>
    <row r="999" spans="1:55" ht="12.95" customHeight="1">
      <c r="A999" s="14"/>
      <c r="B999" s="257"/>
      <c r="C999" s="256"/>
      <c r="D999" s="1780" t="s">
        <v>2203</v>
      </c>
      <c r="E999" s="1781"/>
      <c r="F999" s="1781"/>
      <c r="G999" s="1781"/>
      <c r="H999" s="1781"/>
      <c r="I999" s="1781"/>
      <c r="J999" s="1781"/>
      <c r="K999" s="1781"/>
      <c r="L999" s="1781"/>
      <c r="M999" s="1781"/>
      <c r="N999" s="1781"/>
      <c r="O999" s="1781"/>
      <c r="P999" s="1781"/>
      <c r="Q999" s="1781"/>
      <c r="R999" s="1781"/>
      <c r="S999" s="1781"/>
      <c r="T999" s="1781"/>
      <c r="U999" s="1781"/>
      <c r="V999" s="1781"/>
      <c r="W999" s="1781"/>
      <c r="X999" s="1781"/>
      <c r="Y999" s="1781"/>
      <c r="Z999" s="1781"/>
      <c r="AA999" s="1781"/>
      <c r="AB999" s="1781"/>
      <c r="AC999" s="1781"/>
      <c r="AD999" s="1781"/>
      <c r="AE999" s="1782"/>
      <c r="AF999" s="73"/>
      <c r="AG999" s="14"/>
      <c r="AH999" s="14"/>
      <c r="AI999" s="83"/>
      <c r="AJ999" s="1753"/>
      <c r="AK999" s="1754"/>
      <c r="AL999" s="1754"/>
      <c r="AM999" s="1754"/>
      <c r="AN999" s="1754"/>
      <c r="AO999" s="1754"/>
      <c r="AP999" s="1754"/>
      <c r="AQ999" s="1755"/>
      <c r="AR999" s="68"/>
      <c r="AS999" s="68"/>
      <c r="AT999" s="68"/>
      <c r="AU999" s="68"/>
      <c r="AV999" s="68"/>
      <c r="AW999" s="68"/>
      <c r="AX999" s="68"/>
      <c r="AY999" s="68"/>
      <c r="AZ999" s="34"/>
      <c r="BA999" s="34"/>
      <c r="BB999" s="34"/>
      <c r="BC999" s="34"/>
    </row>
    <row r="1000" spans="1:55" ht="12.95" customHeight="1">
      <c r="A1000" s="14"/>
      <c r="B1000" s="257"/>
      <c r="C1000" s="256"/>
      <c r="D1000" s="1737" t="s">
        <v>2732</v>
      </c>
      <c r="E1000" s="1738"/>
      <c r="F1000" s="1738"/>
      <c r="G1000" s="1738"/>
      <c r="H1000" s="1738"/>
      <c r="I1000" s="1738"/>
      <c r="J1000" s="1738"/>
      <c r="K1000" s="1738"/>
      <c r="L1000" s="1738"/>
      <c r="M1000" s="1738"/>
      <c r="N1000" s="1738"/>
      <c r="O1000" s="1738"/>
      <c r="P1000" s="1738"/>
      <c r="Q1000" s="1738"/>
      <c r="R1000" s="1738"/>
      <c r="S1000" s="1738"/>
      <c r="T1000" s="1738"/>
      <c r="U1000" s="1738"/>
      <c r="V1000" s="1738"/>
      <c r="W1000" s="1738"/>
      <c r="X1000" s="1738"/>
      <c r="Y1000" s="1738"/>
      <c r="Z1000" s="1738"/>
      <c r="AA1000" s="1738"/>
      <c r="AB1000" s="1738"/>
      <c r="AC1000" s="1738"/>
      <c r="AD1000" s="1738"/>
      <c r="AE1000" s="1739"/>
      <c r="AF1000" s="77"/>
      <c r="AG1000" s="7"/>
      <c r="AH1000" s="7"/>
      <c r="AI1000" s="78"/>
      <c r="AJ1000" s="1756"/>
      <c r="AK1000" s="1757"/>
      <c r="AL1000" s="1757"/>
      <c r="AM1000" s="1757"/>
      <c r="AN1000" s="1757"/>
      <c r="AO1000" s="1757"/>
      <c r="AP1000" s="1757"/>
      <c r="AQ1000" s="1758"/>
      <c r="AR1000" s="68"/>
      <c r="AS1000" s="68"/>
      <c r="AT1000" s="68"/>
      <c r="AU1000" s="68"/>
      <c r="AV1000" s="68"/>
      <c r="AW1000" s="68"/>
      <c r="AX1000" s="68"/>
      <c r="AY1000" s="68"/>
      <c r="AZ1000" s="34"/>
      <c r="BA1000" s="34"/>
      <c r="BB1000" s="34"/>
      <c r="BC1000" s="34"/>
    </row>
    <row r="1001" spans="1:55" ht="12.95" customHeight="1">
      <c r="A1001" s="14"/>
      <c r="B1001" s="255"/>
      <c r="C1001" s="318"/>
      <c r="D1001" s="1765" t="s">
        <v>1284</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91" t="s">
        <v>668</v>
      </c>
      <c r="AH1001" s="1792"/>
      <c r="AI1001" s="87"/>
      <c r="AJ1001" s="1750">
        <f>ROUND(IF(AG1001="yes",AJ992*0.05,0),0)</f>
        <v>0</v>
      </c>
      <c r="AK1001" s="1751"/>
      <c r="AL1001" s="1751"/>
      <c r="AM1001" s="1751"/>
      <c r="AN1001" s="1751"/>
      <c r="AO1001" s="1751"/>
      <c r="AP1001" s="1751"/>
      <c r="AQ1001" s="1752"/>
      <c r="AR1001" s="68"/>
      <c r="AS1001" s="68"/>
      <c r="AT1001" s="68"/>
      <c r="AU1001" s="68"/>
      <c r="AV1001" s="68"/>
      <c r="AW1001" s="68"/>
      <c r="AX1001" s="68"/>
      <c r="AY1001" s="68"/>
      <c r="AZ1001" s="34"/>
      <c r="BA1001" s="34"/>
      <c r="BB1001" s="34"/>
      <c r="BC1001" s="34"/>
    </row>
    <row r="1002" spans="1:55" ht="12.95" customHeight="1">
      <c r="A1002" s="14"/>
      <c r="B1002" s="257"/>
      <c r="C1002" s="82"/>
      <c r="D1002" s="1777" t="s">
        <v>1282</v>
      </c>
      <c r="E1002" s="1778"/>
      <c r="F1002" s="1778"/>
      <c r="G1002" s="1778"/>
      <c r="H1002" s="1778"/>
      <c r="I1002" s="1778"/>
      <c r="J1002" s="1778"/>
      <c r="K1002" s="1778"/>
      <c r="L1002" s="1778"/>
      <c r="M1002" s="1778"/>
      <c r="N1002" s="1778"/>
      <c r="O1002" s="1778"/>
      <c r="P1002" s="1778"/>
      <c r="Q1002" s="1778"/>
      <c r="R1002" s="1778"/>
      <c r="S1002" s="1778"/>
      <c r="T1002" s="1778"/>
      <c r="U1002" s="1778"/>
      <c r="V1002" s="1778"/>
      <c r="W1002" s="1778"/>
      <c r="X1002" s="1778"/>
      <c r="Y1002" s="1778"/>
      <c r="Z1002" s="1778"/>
      <c r="AA1002" s="1778"/>
      <c r="AB1002" s="1778"/>
      <c r="AC1002" s="1778"/>
      <c r="AD1002" s="1778"/>
      <c r="AE1002" s="1779"/>
      <c r="AF1002" s="73"/>
      <c r="AG1002" s="14"/>
      <c r="AH1002" s="14"/>
      <c r="AI1002" s="83"/>
      <c r="AJ1002" s="1753"/>
      <c r="AK1002" s="1754"/>
      <c r="AL1002" s="1754"/>
      <c r="AM1002" s="1754"/>
      <c r="AN1002" s="1754"/>
      <c r="AO1002" s="1754"/>
      <c r="AP1002" s="1754"/>
      <c r="AQ1002" s="1755"/>
      <c r="AR1002" s="68"/>
      <c r="AS1002" s="68"/>
      <c r="AT1002" s="68"/>
      <c r="AU1002" s="68"/>
      <c r="AV1002" s="68"/>
      <c r="AW1002" s="68"/>
      <c r="AX1002" s="68"/>
      <c r="AY1002" s="34"/>
      <c r="AZ1002" s="34"/>
      <c r="BB1002" s="34"/>
    </row>
    <row r="1003" spans="1:55" ht="12.95" customHeight="1">
      <c r="A1003" s="14"/>
      <c r="B1003" s="257"/>
      <c r="C1003" s="82"/>
      <c r="D1003" s="1777"/>
      <c r="E1003" s="1778"/>
      <c r="F1003" s="1778"/>
      <c r="G1003" s="1778"/>
      <c r="H1003" s="1778"/>
      <c r="I1003" s="1778"/>
      <c r="J1003" s="1778"/>
      <c r="K1003" s="1778"/>
      <c r="L1003" s="1778"/>
      <c r="M1003" s="1778"/>
      <c r="N1003" s="1778"/>
      <c r="O1003" s="1778"/>
      <c r="P1003" s="1778"/>
      <c r="Q1003" s="1778"/>
      <c r="R1003" s="1778"/>
      <c r="S1003" s="1778"/>
      <c r="T1003" s="1778"/>
      <c r="U1003" s="1778"/>
      <c r="V1003" s="1778"/>
      <c r="W1003" s="1778"/>
      <c r="X1003" s="1778"/>
      <c r="Y1003" s="1778"/>
      <c r="Z1003" s="1778"/>
      <c r="AA1003" s="1778"/>
      <c r="AB1003" s="1778"/>
      <c r="AC1003" s="1778"/>
      <c r="AD1003" s="1778"/>
      <c r="AE1003" s="1779"/>
      <c r="AF1003" s="73"/>
      <c r="AG1003" s="14"/>
      <c r="AH1003" s="14"/>
      <c r="AI1003" s="83"/>
      <c r="AJ1003" s="1753"/>
      <c r="AK1003" s="1754"/>
      <c r="AL1003" s="1754"/>
      <c r="AM1003" s="1754"/>
      <c r="AN1003" s="1754"/>
      <c r="AO1003" s="1754"/>
      <c r="AP1003" s="1754"/>
      <c r="AQ1003" s="1755"/>
      <c r="AR1003" s="68"/>
      <c r="AS1003" s="68"/>
      <c r="AT1003" s="68"/>
      <c r="AU1003" s="68"/>
      <c r="AV1003" s="68"/>
      <c r="AW1003" s="68"/>
      <c r="AX1003" s="68"/>
      <c r="AY1003" s="914">
        <f>G753+O797</f>
        <v>157</v>
      </c>
      <c r="AZ1003" s="34"/>
      <c r="BB1003" s="34"/>
    </row>
    <row r="1004" spans="1:55" ht="12.95" customHeight="1">
      <c r="A1004" s="14"/>
      <c r="B1004" s="257"/>
      <c r="C1004" s="82"/>
      <c r="D1004" s="1777"/>
      <c r="E1004" s="1778"/>
      <c r="F1004" s="1778"/>
      <c r="G1004" s="1778"/>
      <c r="H1004" s="1778"/>
      <c r="I1004" s="1778"/>
      <c r="J1004" s="1778"/>
      <c r="K1004" s="1778"/>
      <c r="L1004" s="1778"/>
      <c r="M1004" s="1778"/>
      <c r="N1004" s="1778"/>
      <c r="O1004" s="1778"/>
      <c r="P1004" s="1778"/>
      <c r="Q1004" s="1778"/>
      <c r="R1004" s="1778"/>
      <c r="S1004" s="1778"/>
      <c r="T1004" s="1778"/>
      <c r="U1004" s="1778"/>
      <c r="V1004" s="1778"/>
      <c r="W1004" s="1778"/>
      <c r="X1004" s="1778"/>
      <c r="Y1004" s="1778"/>
      <c r="Z1004" s="1778"/>
      <c r="AA1004" s="1778"/>
      <c r="AB1004" s="1778"/>
      <c r="AC1004" s="1778"/>
      <c r="AD1004" s="1778"/>
      <c r="AE1004" s="1779"/>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14"/>
      <c r="AZ1004" s="34"/>
      <c r="BB1004" s="34"/>
    </row>
    <row r="1005" spans="1:55" ht="12.95" customHeight="1">
      <c r="A1005" s="14"/>
      <c r="B1005" s="257"/>
      <c r="C1005" s="82"/>
      <c r="D1005" s="1777"/>
      <c r="E1005" s="1778"/>
      <c r="F1005" s="1778"/>
      <c r="G1005" s="1778"/>
      <c r="H1005" s="1778"/>
      <c r="I1005" s="1778"/>
      <c r="J1005" s="1778"/>
      <c r="K1005" s="1778"/>
      <c r="L1005" s="1778"/>
      <c r="M1005" s="1778"/>
      <c r="N1005" s="1778"/>
      <c r="O1005" s="1778"/>
      <c r="P1005" s="1778"/>
      <c r="Q1005" s="1778"/>
      <c r="R1005" s="1778"/>
      <c r="S1005" s="1778"/>
      <c r="T1005" s="1778"/>
      <c r="U1005" s="1778"/>
      <c r="V1005" s="1778"/>
      <c r="W1005" s="1778"/>
      <c r="X1005" s="1778"/>
      <c r="Y1005" s="1778"/>
      <c r="Z1005" s="1778"/>
      <c r="AA1005" s="1778"/>
      <c r="AB1005" s="1778"/>
      <c r="AC1005" s="1778"/>
      <c r="AD1005" s="1778"/>
      <c r="AE1005" s="1779"/>
      <c r="AF1005" s="73"/>
      <c r="AG1005" s="14"/>
      <c r="AH1005" s="14"/>
      <c r="AI1005" s="83"/>
      <c r="AJ1005" s="1753"/>
      <c r="AK1005" s="1754"/>
      <c r="AL1005" s="1754"/>
      <c r="AM1005" s="1754"/>
      <c r="AN1005" s="1754"/>
      <c r="AO1005" s="1754"/>
      <c r="AP1005" s="1754"/>
      <c r="AQ1005" s="1755"/>
      <c r="AR1005" s="68"/>
      <c r="AS1005" s="68"/>
      <c r="AT1005" s="68"/>
      <c r="AU1005" s="68"/>
      <c r="AV1005" s="68"/>
      <c r="AW1005" s="68"/>
      <c r="AX1005" s="68"/>
      <c r="AY1005" s="913">
        <f>ROUNDDOWN(X1048/I1048,2)</f>
        <v>0.1</v>
      </c>
      <c r="AZ1005" s="34"/>
      <c r="BB1005" s="34"/>
    </row>
    <row r="1006" spans="1:55" ht="12.95" customHeight="1">
      <c r="A1006" s="14"/>
      <c r="B1006" s="75"/>
      <c r="C1006" s="76"/>
      <c r="D1006" s="1780"/>
      <c r="E1006" s="1781"/>
      <c r="F1006" s="1781"/>
      <c r="G1006" s="1781"/>
      <c r="H1006" s="1781"/>
      <c r="I1006" s="1781"/>
      <c r="J1006" s="1781"/>
      <c r="K1006" s="1781"/>
      <c r="L1006" s="1781"/>
      <c r="M1006" s="1781"/>
      <c r="N1006" s="1781"/>
      <c r="O1006" s="1781"/>
      <c r="P1006" s="1781"/>
      <c r="Q1006" s="1781"/>
      <c r="R1006" s="1781"/>
      <c r="S1006" s="1781"/>
      <c r="T1006" s="1781"/>
      <c r="U1006" s="1781"/>
      <c r="V1006" s="1781"/>
      <c r="W1006" s="1781"/>
      <c r="X1006" s="1781"/>
      <c r="Y1006" s="1781"/>
      <c r="Z1006" s="1781"/>
      <c r="AA1006" s="1781"/>
      <c r="AB1006" s="1781"/>
      <c r="AC1006" s="1781"/>
      <c r="AD1006" s="1781"/>
      <c r="AE1006" s="1782"/>
      <c r="AF1006" s="77"/>
      <c r="AG1006" s="7"/>
      <c r="AH1006" s="7"/>
      <c r="AI1006" s="78"/>
      <c r="AJ1006" s="1756"/>
      <c r="AK1006" s="1757"/>
      <c r="AL1006" s="1757"/>
      <c r="AM1006" s="1757"/>
      <c r="AN1006" s="1757"/>
      <c r="AO1006" s="1757"/>
      <c r="AP1006" s="1757"/>
      <c r="AQ1006" s="1758"/>
      <c r="AR1006" s="68"/>
      <c r="AS1006" s="68"/>
      <c r="AT1006" s="68"/>
      <c r="AU1006" s="68"/>
      <c r="AV1006" s="68"/>
      <c r="AW1006" s="68"/>
      <c r="AX1006" s="68"/>
      <c r="AY1006" s="913">
        <f>ROUNDDOWN(X1052/I1052,2)</f>
        <v>0.1</v>
      </c>
      <c r="AZ1006" s="34"/>
      <c r="BB1006" s="34"/>
    </row>
    <row r="1007" spans="1:55" ht="12.95" customHeight="1">
      <c r="A1007" s="14"/>
      <c r="B1007" s="255"/>
      <c r="C1007" s="80" t="s">
        <v>671</v>
      </c>
      <c r="D1007" s="1765" t="s">
        <v>1681</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91" t="s">
        <v>668</v>
      </c>
      <c r="AH1007" s="1792"/>
      <c r="AI1007" s="87"/>
      <c r="AJ1007" s="1750">
        <f>ROUND(IF(AG1007="yes",AJ992*0.1,0),0)</f>
        <v>0</v>
      </c>
      <c r="AK1007" s="1751"/>
      <c r="AL1007" s="1751"/>
      <c r="AM1007" s="1751"/>
      <c r="AN1007" s="1751"/>
      <c r="AO1007" s="1751"/>
      <c r="AP1007" s="1751"/>
      <c r="AQ1007" s="1752"/>
      <c r="AR1007" s="68"/>
      <c r="AS1007" s="68"/>
      <c r="AT1007" s="68"/>
      <c r="AU1007" s="68"/>
      <c r="AV1007" s="68"/>
      <c r="AW1007" s="68"/>
      <c r="AX1007" s="68"/>
      <c r="BB1007" s="34"/>
    </row>
    <row r="1008" spans="1:55" ht="12.95" customHeight="1">
      <c r="A1008" s="14"/>
      <c r="B1008" s="73"/>
      <c r="C1008" s="74"/>
      <c r="D1008" s="1747" t="s">
        <v>1283</v>
      </c>
      <c r="E1008" s="1748"/>
      <c r="F1008" s="1748"/>
      <c r="G1008" s="1748"/>
      <c r="H1008" s="1748"/>
      <c r="I1008" s="1748"/>
      <c r="J1008" s="1748"/>
      <c r="K1008" s="1748"/>
      <c r="L1008" s="1748"/>
      <c r="M1008" s="1748"/>
      <c r="N1008" s="1748"/>
      <c r="O1008" s="1748"/>
      <c r="P1008" s="1748"/>
      <c r="Q1008" s="1748"/>
      <c r="R1008" s="1748"/>
      <c r="S1008" s="1748"/>
      <c r="T1008" s="1748"/>
      <c r="U1008" s="1748"/>
      <c r="V1008" s="1748"/>
      <c r="W1008" s="1748"/>
      <c r="X1008" s="1748"/>
      <c r="Y1008" s="1748"/>
      <c r="Z1008" s="1748"/>
      <c r="AA1008" s="1748"/>
      <c r="AB1008" s="1748"/>
      <c r="AC1008" s="1748"/>
      <c r="AD1008" s="1748"/>
      <c r="AE1008" s="1749"/>
      <c r="AF1008" s="73"/>
      <c r="AI1008" s="83"/>
      <c r="AJ1008" s="1753"/>
      <c r="AK1008" s="1754"/>
      <c r="AL1008" s="1754"/>
      <c r="AM1008" s="1754"/>
      <c r="AN1008" s="1754"/>
      <c r="AO1008" s="1754"/>
      <c r="AP1008" s="1754"/>
      <c r="AQ1008" s="1755"/>
      <c r="AR1008" s="68"/>
      <c r="AS1008" s="68"/>
      <c r="AT1008" s="68"/>
      <c r="AU1008" s="68"/>
      <c r="AV1008" s="68"/>
      <c r="AW1008" s="68"/>
      <c r="AX1008" s="68"/>
    </row>
    <row r="1009" spans="1:52" ht="12.95" customHeight="1">
      <c r="A1009" s="14"/>
      <c r="B1009" s="73"/>
      <c r="C1009" s="74"/>
      <c r="D1009" s="1747"/>
      <c r="E1009" s="1748"/>
      <c r="F1009" s="1748"/>
      <c r="G1009" s="1748"/>
      <c r="H1009" s="1748"/>
      <c r="I1009" s="1748"/>
      <c r="J1009" s="1748"/>
      <c r="K1009" s="1748"/>
      <c r="L1009" s="1748"/>
      <c r="M1009" s="1748"/>
      <c r="N1009" s="1748"/>
      <c r="O1009" s="1748"/>
      <c r="P1009" s="1748"/>
      <c r="Q1009" s="1748"/>
      <c r="R1009" s="1748"/>
      <c r="S1009" s="1748"/>
      <c r="T1009" s="1748"/>
      <c r="U1009" s="1748"/>
      <c r="V1009" s="1748"/>
      <c r="W1009" s="1748"/>
      <c r="X1009" s="1748"/>
      <c r="Y1009" s="1748"/>
      <c r="Z1009" s="1748"/>
      <c r="AA1009" s="1748"/>
      <c r="AB1009" s="1748"/>
      <c r="AC1009" s="1748"/>
      <c r="AD1009" s="1748"/>
      <c r="AE1009" s="1749"/>
      <c r="AF1009" s="73"/>
      <c r="AG1009" s="14"/>
      <c r="AH1009" s="14"/>
      <c r="AI1009" s="83"/>
      <c r="AJ1009" s="1753"/>
      <c r="AK1009" s="1754"/>
      <c r="AL1009" s="1754"/>
      <c r="AM1009" s="1754"/>
      <c r="AN1009" s="1754"/>
      <c r="AO1009" s="1754"/>
      <c r="AP1009" s="1754"/>
      <c r="AQ1009" s="1755"/>
      <c r="AR1009" s="68"/>
      <c r="AS1009" s="68"/>
      <c r="AT1009" s="68"/>
      <c r="AU1009" s="68"/>
      <c r="AV1009" s="68"/>
      <c r="AW1009" s="68"/>
      <c r="AX1009" s="68"/>
    </row>
    <row r="1010" spans="1:52" ht="12.95" customHeight="1">
      <c r="A1010" s="14"/>
      <c r="B1010" s="85"/>
      <c r="C1010" s="76"/>
      <c r="D1010" s="1783"/>
      <c r="E1010" s="1784"/>
      <c r="F1010" s="1784"/>
      <c r="G1010" s="1784"/>
      <c r="H1010" s="1784"/>
      <c r="I1010" s="1784"/>
      <c r="J1010" s="1784"/>
      <c r="K1010" s="1784"/>
      <c r="L1010" s="1784"/>
      <c r="M1010" s="1784"/>
      <c r="N1010" s="1784"/>
      <c r="O1010" s="1784"/>
      <c r="P1010" s="1784"/>
      <c r="Q1010" s="1784"/>
      <c r="R1010" s="1784"/>
      <c r="S1010" s="1784"/>
      <c r="T1010" s="1784"/>
      <c r="U1010" s="1784"/>
      <c r="V1010" s="1784"/>
      <c r="W1010" s="1784"/>
      <c r="X1010" s="1784"/>
      <c r="Y1010" s="1784"/>
      <c r="Z1010" s="1784"/>
      <c r="AA1010" s="1784"/>
      <c r="AB1010" s="1784"/>
      <c r="AC1010" s="1784"/>
      <c r="AD1010" s="1784"/>
      <c r="AE1010" s="1785"/>
      <c r="AF1010" s="77"/>
      <c r="AG1010" s="7"/>
      <c r="AH1010" s="7"/>
      <c r="AI1010" s="78"/>
      <c r="AJ1010" s="1756"/>
      <c r="AK1010" s="1757"/>
      <c r="AL1010" s="1757"/>
      <c r="AM1010" s="1757"/>
      <c r="AN1010" s="1757"/>
      <c r="AO1010" s="1757"/>
      <c r="AP1010" s="1757"/>
      <c r="AQ1010" s="1758"/>
      <c r="AR1010" s="68"/>
      <c r="AS1010" s="68"/>
      <c r="AT1010" s="68"/>
      <c r="AU1010" s="68"/>
      <c r="AV1010" s="68"/>
      <c r="AW1010" s="68"/>
      <c r="AX1010" s="68"/>
    </row>
    <row r="1011" spans="1:52" ht="12.95" customHeight="1">
      <c r="A1011" s="14"/>
      <c r="B1011" s="79"/>
      <c r="C1011" s="80" t="s">
        <v>212</v>
      </c>
      <c r="D1011" s="1765" t="s">
        <v>1285</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91" t="s">
        <v>668</v>
      </c>
      <c r="AH1011" s="1792"/>
      <c r="AI1011" s="87"/>
      <c r="AJ1011" s="1750">
        <f>ROUND(IF(AG1011="yes",AJ992*0.02,0),0)</f>
        <v>0</v>
      </c>
      <c r="AK1011" s="1751"/>
      <c r="AL1011" s="1751"/>
      <c r="AM1011" s="1751"/>
      <c r="AN1011" s="1751"/>
      <c r="AO1011" s="1751"/>
      <c r="AP1011" s="1751"/>
      <c r="AQ1011" s="1752"/>
      <c r="AR1011" s="68"/>
      <c r="AS1011" s="68"/>
      <c r="AT1011" s="68"/>
      <c r="AU1011" s="68"/>
      <c r="AV1011" s="68"/>
      <c r="AW1011" s="68"/>
      <c r="AX1011" s="68"/>
    </row>
    <row r="1012" spans="1:52" ht="14.25" customHeight="1">
      <c r="A1012" s="14"/>
      <c r="B1012" s="73"/>
      <c r="C1012" s="74"/>
      <c r="D1012" s="1783" t="s">
        <v>1286</v>
      </c>
      <c r="E1012" s="1784"/>
      <c r="F1012" s="1784"/>
      <c r="G1012" s="1784"/>
      <c r="H1012" s="1784"/>
      <c r="I1012" s="1784"/>
      <c r="J1012" s="1784"/>
      <c r="K1012" s="1784"/>
      <c r="L1012" s="1784"/>
      <c r="M1012" s="1784"/>
      <c r="N1012" s="1784"/>
      <c r="O1012" s="1784"/>
      <c r="P1012" s="1784"/>
      <c r="Q1012" s="1784"/>
      <c r="R1012" s="1784"/>
      <c r="S1012" s="1784"/>
      <c r="T1012" s="1784"/>
      <c r="U1012" s="1784"/>
      <c r="V1012" s="1784"/>
      <c r="W1012" s="1784"/>
      <c r="X1012" s="1784"/>
      <c r="Y1012" s="1784"/>
      <c r="Z1012" s="1784"/>
      <c r="AA1012" s="1784"/>
      <c r="AB1012" s="1784"/>
      <c r="AC1012" s="1784"/>
      <c r="AD1012" s="1784"/>
      <c r="AE1012" s="1785"/>
      <c r="AF1012" s="77"/>
      <c r="AG1012" s="7"/>
      <c r="AH1012" s="7"/>
      <c r="AI1012" s="78"/>
      <c r="AJ1012" s="1756"/>
      <c r="AK1012" s="1757"/>
      <c r="AL1012" s="1757"/>
      <c r="AM1012" s="1757"/>
      <c r="AN1012" s="1757"/>
      <c r="AO1012" s="1757"/>
      <c r="AP1012" s="1757"/>
      <c r="AQ1012" s="1758"/>
      <c r="AR1012" s="68"/>
      <c r="AS1012" s="68"/>
      <c r="AT1012" s="68"/>
      <c r="AU1012" s="68"/>
      <c r="AV1012" s="68"/>
      <c r="AW1012" s="68"/>
      <c r="AX1012" s="3" t="s">
        <v>1839</v>
      </c>
      <c r="AZ1012" s="3" t="s">
        <v>2604</v>
      </c>
    </row>
    <row r="1013" spans="1:52" ht="12.95" customHeight="1">
      <c r="A1013" s="14"/>
      <c r="B1013" s="79"/>
      <c r="C1013" s="80" t="s">
        <v>215</v>
      </c>
      <c r="D1013" s="1765" t="s">
        <v>1287</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91" t="s">
        <v>668</v>
      </c>
      <c r="AH1013" s="1792"/>
      <c r="AI1013" s="79"/>
      <c r="AJ1013" s="1750">
        <f>ROUND(IF(AG1013="yes",AJ992*0.02,0),0)</f>
        <v>0</v>
      </c>
      <c r="AK1013" s="1751"/>
      <c r="AL1013" s="1751"/>
      <c r="AM1013" s="1751"/>
      <c r="AN1013" s="1751"/>
      <c r="AO1013" s="1751"/>
      <c r="AP1013" s="1751"/>
      <c r="AQ1013" s="1752"/>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47" t="s">
        <v>1288</v>
      </c>
      <c r="E1014" s="1748"/>
      <c r="F1014" s="1748"/>
      <c r="G1014" s="1748"/>
      <c r="H1014" s="1748"/>
      <c r="I1014" s="1748"/>
      <c r="J1014" s="1748"/>
      <c r="K1014" s="1748"/>
      <c r="L1014" s="1748"/>
      <c r="M1014" s="1748"/>
      <c r="N1014" s="1748"/>
      <c r="O1014" s="1748"/>
      <c r="P1014" s="1748"/>
      <c r="Q1014" s="1748"/>
      <c r="R1014" s="1748"/>
      <c r="S1014" s="1748"/>
      <c r="T1014" s="1748"/>
      <c r="U1014" s="1748"/>
      <c r="V1014" s="1748"/>
      <c r="W1014" s="1748"/>
      <c r="X1014" s="1748"/>
      <c r="Y1014" s="1748"/>
      <c r="Z1014" s="1748"/>
      <c r="AA1014" s="1748"/>
      <c r="AB1014" s="1748"/>
      <c r="AC1014" s="1748"/>
      <c r="AD1014" s="1748"/>
      <c r="AE1014" s="1749"/>
      <c r="AF1014" s="1759" t="str">
        <f>IF(AND(AG1013="yes",T212&lt;&gt;1),"The project may not be eligible for this boost","")</f>
        <v/>
      </c>
      <c r="AG1014" s="1760"/>
      <c r="AH1014" s="1760"/>
      <c r="AI1014" s="1761"/>
      <c r="AJ1014" s="1753"/>
      <c r="AK1014" s="1754"/>
      <c r="AL1014" s="1754"/>
      <c r="AM1014" s="1754"/>
      <c r="AN1014" s="1754"/>
      <c r="AO1014" s="1754"/>
      <c r="AP1014" s="1754"/>
      <c r="AQ1014" s="1755"/>
      <c r="AR1014" s="68"/>
      <c r="AS1014" s="68"/>
      <c r="AT1014" s="68"/>
      <c r="AU1014" s="68"/>
      <c r="AV1014" s="68"/>
      <c r="AW1014" s="68"/>
      <c r="AX1014" s="3">
        <v>2</v>
      </c>
      <c r="AY1014" s="200">
        <f t="shared" ref="AY1014:AY1023" si="54">IF((_xlfn.XLOOKUP(AX1014,$C$1065:$C$1103,$A$1065:$A$1103,"",0,1))="Yes",AZ1014,0)</f>
        <v>0</v>
      </c>
      <c r="AZ1014" s="1255">
        <v>0.15</v>
      </c>
    </row>
    <row r="1015" spans="1:52" ht="12.95" customHeight="1">
      <c r="A1015" s="14"/>
      <c r="B1015" s="75"/>
      <c r="C1015" s="76"/>
      <c r="D1015" s="1783"/>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1762"/>
      <c r="AG1015" s="1763"/>
      <c r="AH1015" s="1763"/>
      <c r="AI1015" s="1764"/>
      <c r="AJ1015" s="1756"/>
      <c r="AK1015" s="1757"/>
      <c r="AL1015" s="1757"/>
      <c r="AM1015" s="1757"/>
      <c r="AN1015" s="1757"/>
      <c r="AO1015" s="1757"/>
      <c r="AP1015" s="1757"/>
      <c r="AQ1015" s="1758"/>
      <c r="AR1015" s="68"/>
      <c r="AS1015" s="68"/>
      <c r="AT1015" s="68"/>
      <c r="AU1015" s="68"/>
      <c r="AV1015" s="68"/>
      <c r="AW1015" s="68"/>
      <c r="AX1015" s="3">
        <v>3</v>
      </c>
      <c r="AY1015" s="200">
        <f t="shared" si="54"/>
        <v>0</v>
      </c>
      <c r="AZ1015" s="1255">
        <v>0.05</v>
      </c>
    </row>
    <row r="1016" spans="1:52" ht="12.95" customHeight="1">
      <c r="A1016" s="14"/>
      <c r="B1016" s="79"/>
      <c r="C1016" s="80" t="s">
        <v>218</v>
      </c>
      <c r="D1016" s="1734" t="s">
        <v>2233</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91" t="s">
        <v>668</v>
      </c>
      <c r="AH1016" s="1792"/>
      <c r="AI1016" s="87"/>
      <c r="AJ1016" s="1750">
        <f>IF(AG1016="yes",AJ992*AY1024,0)</f>
        <v>0</v>
      </c>
      <c r="AK1016" s="1751"/>
      <c r="AL1016" s="1751"/>
      <c r="AM1016" s="1751"/>
      <c r="AN1016" s="1751"/>
      <c r="AO1016" s="1751"/>
      <c r="AP1016" s="1751"/>
      <c r="AQ1016" s="1752"/>
      <c r="AR1016" s="68"/>
      <c r="AS1016" s="68"/>
      <c r="AT1016" s="68"/>
      <c r="AU1016" s="68"/>
      <c r="AV1016" s="68"/>
      <c r="AW1016" s="68"/>
      <c r="AX1016" s="3">
        <v>4</v>
      </c>
      <c r="AY1016" s="200">
        <f t="shared" si="54"/>
        <v>0</v>
      </c>
      <c r="AZ1016" s="1255">
        <v>0.02</v>
      </c>
    </row>
    <row r="1017" spans="1:52" ht="12.95" customHeight="1">
      <c r="A1017" s="14"/>
      <c r="B1017" s="73"/>
      <c r="C1017" s="74"/>
      <c r="D1017" s="1747" t="s">
        <v>1289</v>
      </c>
      <c r="E1017" s="1748"/>
      <c r="F1017" s="1748"/>
      <c r="G1017" s="1748"/>
      <c r="H1017" s="1748"/>
      <c r="I1017" s="1748"/>
      <c r="J1017" s="1748"/>
      <c r="K1017" s="1748"/>
      <c r="L1017" s="1748"/>
      <c r="M1017" s="1748"/>
      <c r="N1017" s="1748"/>
      <c r="O1017" s="1748"/>
      <c r="P1017" s="1748"/>
      <c r="Q1017" s="1748"/>
      <c r="R1017" s="1748"/>
      <c r="S1017" s="1748"/>
      <c r="T1017" s="1748"/>
      <c r="U1017" s="1748"/>
      <c r="V1017" s="1748"/>
      <c r="W1017" s="1748"/>
      <c r="X1017" s="1748"/>
      <c r="Y1017" s="1748"/>
      <c r="Z1017" s="1748"/>
      <c r="AA1017" s="1748"/>
      <c r="AB1017" s="1748"/>
      <c r="AC1017" s="1748"/>
      <c r="AD1017" s="1748"/>
      <c r="AE1017" s="1749"/>
      <c r="AF1017" s="1858" t="str">
        <f>IF(AND(AG1016="Yes",AY1024=0),AY1027,"")</f>
        <v/>
      </c>
      <c r="AG1017" s="1859"/>
      <c r="AH1017" s="1859"/>
      <c r="AI1017" s="1860"/>
      <c r="AJ1017" s="1753"/>
      <c r="AK1017" s="1754"/>
      <c r="AL1017" s="1754"/>
      <c r="AM1017" s="1754"/>
      <c r="AN1017" s="1754"/>
      <c r="AO1017" s="1754"/>
      <c r="AP1017" s="1754"/>
      <c r="AQ1017" s="1755"/>
      <c r="AR1017" s="68"/>
      <c r="AS1017" s="68"/>
      <c r="AT1017" s="68"/>
      <c r="AU1017" s="68"/>
      <c r="AV1017" s="68"/>
      <c r="AW1017" s="68"/>
      <c r="AX1017" s="3">
        <v>5</v>
      </c>
      <c r="AY1017" s="200">
        <f t="shared" si="54"/>
        <v>0</v>
      </c>
      <c r="AZ1017" s="1255">
        <v>0.04</v>
      </c>
    </row>
    <row r="1018" spans="1:52" ht="12.95" customHeight="1">
      <c r="A1018" s="14"/>
      <c r="B1018" s="73"/>
      <c r="C1018" s="74"/>
      <c r="D1018" s="1747"/>
      <c r="E1018" s="1748"/>
      <c r="F1018" s="1748"/>
      <c r="G1018" s="1748"/>
      <c r="H1018" s="1748"/>
      <c r="I1018" s="1748"/>
      <c r="J1018" s="1748"/>
      <c r="K1018" s="1748"/>
      <c r="L1018" s="1748"/>
      <c r="M1018" s="1748"/>
      <c r="N1018" s="1748"/>
      <c r="O1018" s="1748"/>
      <c r="P1018" s="1748"/>
      <c r="Q1018" s="1748"/>
      <c r="R1018" s="1748"/>
      <c r="S1018" s="1748"/>
      <c r="T1018" s="1748"/>
      <c r="U1018" s="1748"/>
      <c r="V1018" s="1748"/>
      <c r="W1018" s="1748"/>
      <c r="X1018" s="1748"/>
      <c r="Y1018" s="1748"/>
      <c r="Z1018" s="1748"/>
      <c r="AA1018" s="1748"/>
      <c r="AB1018" s="1748"/>
      <c r="AC1018" s="1748"/>
      <c r="AD1018" s="1748"/>
      <c r="AE1018" s="1749"/>
      <c r="AF1018" s="1858"/>
      <c r="AG1018" s="1859"/>
      <c r="AH1018" s="1859"/>
      <c r="AI1018" s="1860"/>
      <c r="AJ1018" s="1753"/>
      <c r="AK1018" s="1754"/>
      <c r="AL1018" s="1754"/>
      <c r="AM1018" s="1754"/>
      <c r="AN1018" s="1754"/>
      <c r="AO1018" s="1754"/>
      <c r="AP1018" s="1754"/>
      <c r="AQ1018" s="1755"/>
      <c r="AR1018" s="68"/>
      <c r="AS1018" s="68"/>
      <c r="AT1018" s="68"/>
      <c r="AU1018" s="68"/>
      <c r="AV1018" s="68"/>
      <c r="AW1018" s="68"/>
      <c r="AX1018" s="3">
        <v>6</v>
      </c>
      <c r="AY1018" s="200">
        <f t="shared" si="54"/>
        <v>0</v>
      </c>
      <c r="AZ1018" s="1255">
        <v>0.04</v>
      </c>
    </row>
    <row r="1019" spans="1:52" ht="12.95" customHeight="1">
      <c r="A1019" s="14"/>
      <c r="B1019" s="81"/>
      <c r="C1019" s="82"/>
      <c r="D1019" s="1783"/>
      <c r="E1019" s="1784"/>
      <c r="F1019" s="1784"/>
      <c r="G1019" s="1784"/>
      <c r="H1019" s="1784"/>
      <c r="I1019" s="1784"/>
      <c r="J1019" s="1784"/>
      <c r="K1019" s="1784"/>
      <c r="L1019" s="1784"/>
      <c r="M1019" s="1784"/>
      <c r="N1019" s="1784"/>
      <c r="O1019" s="1784"/>
      <c r="P1019" s="1784"/>
      <c r="Q1019" s="1784"/>
      <c r="R1019" s="1784"/>
      <c r="S1019" s="1784"/>
      <c r="T1019" s="1784"/>
      <c r="U1019" s="1784"/>
      <c r="V1019" s="1784"/>
      <c r="W1019" s="1784"/>
      <c r="X1019" s="1784"/>
      <c r="Y1019" s="1784"/>
      <c r="Z1019" s="1784"/>
      <c r="AA1019" s="1784"/>
      <c r="AB1019" s="1784"/>
      <c r="AC1019" s="1784"/>
      <c r="AD1019" s="1784"/>
      <c r="AE1019" s="1785"/>
      <c r="AF1019" s="1861"/>
      <c r="AG1019" s="1862"/>
      <c r="AH1019" s="1862"/>
      <c r="AI1019" s="1863"/>
      <c r="AJ1019" s="1756"/>
      <c r="AK1019" s="1757"/>
      <c r="AL1019" s="1757"/>
      <c r="AM1019" s="1757"/>
      <c r="AN1019" s="1757"/>
      <c r="AO1019" s="1757"/>
      <c r="AP1019" s="1757"/>
      <c r="AQ1019" s="1758"/>
      <c r="AR1019" s="68"/>
      <c r="AS1019" s="68"/>
      <c r="AT1019" s="68"/>
      <c r="AU1019" s="68"/>
      <c r="AV1019" s="68"/>
      <c r="AW1019" s="68"/>
      <c r="AX1019" s="3">
        <v>7</v>
      </c>
      <c r="AY1019" s="200">
        <f t="shared" si="54"/>
        <v>0</v>
      </c>
      <c r="AZ1019" s="1255">
        <v>0.01</v>
      </c>
    </row>
    <row r="1020" spans="1:52" ht="12.95" customHeight="1">
      <c r="A1020" s="14"/>
      <c r="B1020" s="79"/>
      <c r="C1020" s="80" t="s">
        <v>223</v>
      </c>
      <c r="D1020" s="1823" t="s">
        <v>1290</v>
      </c>
      <c r="E1020" s="1824"/>
      <c r="F1020" s="1824"/>
      <c r="G1020" s="1824"/>
      <c r="H1020" s="1824"/>
      <c r="I1020" s="1824"/>
      <c r="J1020" s="1824"/>
      <c r="K1020" s="1824"/>
      <c r="L1020" s="1824"/>
      <c r="M1020" s="1824"/>
      <c r="N1020" s="1824"/>
      <c r="O1020" s="1824"/>
      <c r="P1020" s="1824"/>
      <c r="Q1020" s="1824"/>
      <c r="R1020" s="1824"/>
      <c r="S1020" s="1824"/>
      <c r="T1020" s="1824"/>
      <c r="U1020" s="1824"/>
      <c r="V1020" s="1824"/>
      <c r="W1020" s="1824"/>
      <c r="X1020" s="1824"/>
      <c r="Y1020" s="1824"/>
      <c r="Z1020" s="1824"/>
      <c r="AA1020" s="1824"/>
      <c r="AB1020" s="1824"/>
      <c r="AC1020" s="1824"/>
      <c r="AD1020" s="1824"/>
      <c r="AE1020" s="1825"/>
      <c r="AF1020" s="79"/>
      <c r="AG1020" s="1791" t="s">
        <v>668</v>
      </c>
      <c r="AH1020" s="1792"/>
      <c r="AI1020" s="87"/>
      <c r="AJ1020" s="1750">
        <f>ROUND(IF(AND(AG1020="Yes",J1024&lt;&gt;"N/A",AF1023&lt;&gt;""),MIN(AF1023,(0.15*AJ992)),0),0)</f>
        <v>0</v>
      </c>
      <c r="AK1020" s="1751"/>
      <c r="AL1020" s="1751"/>
      <c r="AM1020" s="1751"/>
      <c r="AN1020" s="1751"/>
      <c r="AO1020" s="1751"/>
      <c r="AP1020" s="1751"/>
      <c r="AQ1020" s="1752"/>
      <c r="AR1020" s="68"/>
      <c r="AS1020" s="68"/>
      <c r="AT1020" s="68"/>
      <c r="AU1020" s="68"/>
      <c r="AV1020" s="68"/>
      <c r="AW1020" s="68"/>
      <c r="AX1020" s="3">
        <v>8</v>
      </c>
      <c r="AY1020" s="200">
        <f t="shared" si="54"/>
        <v>0</v>
      </c>
      <c r="AZ1020" s="1255">
        <v>0.01</v>
      </c>
    </row>
    <row r="1021" spans="1:52" ht="12.95" customHeight="1">
      <c r="A1021" s="14"/>
      <c r="B1021" s="81"/>
      <c r="C1021" s="84"/>
      <c r="D1021" s="1826"/>
      <c r="E1021" s="1827"/>
      <c r="F1021" s="1827"/>
      <c r="G1021" s="1827"/>
      <c r="H1021" s="1827"/>
      <c r="I1021" s="1827"/>
      <c r="J1021" s="1827"/>
      <c r="K1021" s="1827"/>
      <c r="L1021" s="1827"/>
      <c r="M1021" s="1827"/>
      <c r="N1021" s="1827"/>
      <c r="O1021" s="1827"/>
      <c r="P1021" s="1827"/>
      <c r="Q1021" s="1827"/>
      <c r="R1021" s="1827"/>
      <c r="S1021" s="1827"/>
      <c r="T1021" s="1827"/>
      <c r="U1021" s="1827"/>
      <c r="V1021" s="1827"/>
      <c r="W1021" s="1827"/>
      <c r="X1021" s="1827"/>
      <c r="Y1021" s="1827"/>
      <c r="Z1021" s="1827"/>
      <c r="AA1021" s="1827"/>
      <c r="AB1021" s="1827"/>
      <c r="AC1021" s="1827"/>
      <c r="AD1021" s="1827"/>
      <c r="AE1021" s="1828"/>
      <c r="AF1021" s="1840" t="str">
        <f>IF(AG1020="yes","Please Select Type and Enter Amount:","")</f>
        <v/>
      </c>
      <c r="AG1021" s="1841"/>
      <c r="AH1021" s="1841"/>
      <c r="AI1021" s="1842"/>
      <c r="AJ1021" s="1753"/>
      <c r="AK1021" s="1754"/>
      <c r="AL1021" s="1754"/>
      <c r="AM1021" s="1754"/>
      <c r="AN1021" s="1754"/>
      <c r="AO1021" s="1754"/>
      <c r="AP1021" s="1754"/>
      <c r="AQ1021" s="1755"/>
      <c r="AR1021" s="68"/>
      <c r="AS1021" s="68"/>
      <c r="AT1021" s="68"/>
      <c r="AU1021" s="68"/>
      <c r="AV1021" s="68"/>
      <c r="AW1021" s="68"/>
      <c r="AX1021" s="3">
        <v>9</v>
      </c>
      <c r="AY1021" s="200">
        <f t="shared" si="54"/>
        <v>0</v>
      </c>
      <c r="AZ1021" s="1255">
        <v>0.01</v>
      </c>
    </row>
    <row r="1022" spans="1:52" ht="12.95" customHeight="1">
      <c r="A1022" s="14"/>
      <c r="B1022" s="81"/>
      <c r="C1022" s="84"/>
      <c r="D1022" s="1747" t="s">
        <v>1291</v>
      </c>
      <c r="E1022" s="1748"/>
      <c r="F1022" s="1748"/>
      <c r="G1022" s="1748"/>
      <c r="H1022" s="1748"/>
      <c r="I1022" s="1748"/>
      <c r="J1022" s="1748"/>
      <c r="K1022" s="1748"/>
      <c r="L1022" s="1748"/>
      <c r="M1022" s="1748"/>
      <c r="N1022" s="1748"/>
      <c r="O1022" s="1748"/>
      <c r="P1022" s="1748"/>
      <c r="Q1022" s="1748"/>
      <c r="R1022" s="1748"/>
      <c r="S1022" s="1748"/>
      <c r="T1022" s="1748"/>
      <c r="U1022" s="1748"/>
      <c r="V1022" s="1748"/>
      <c r="W1022" s="1748"/>
      <c r="X1022" s="1748"/>
      <c r="Y1022" s="1748"/>
      <c r="Z1022" s="1748"/>
      <c r="AA1022" s="1748"/>
      <c r="AB1022" s="1748"/>
      <c r="AC1022" s="1748"/>
      <c r="AD1022" s="1748"/>
      <c r="AE1022" s="1749"/>
      <c r="AF1022" s="1840"/>
      <c r="AG1022" s="1841"/>
      <c r="AH1022" s="1841"/>
      <c r="AI1022" s="1842"/>
      <c r="AJ1022" s="1753"/>
      <c r="AK1022" s="1754"/>
      <c r="AL1022" s="1754"/>
      <c r="AM1022" s="1754"/>
      <c r="AN1022" s="1754"/>
      <c r="AO1022" s="1754"/>
      <c r="AP1022" s="1754"/>
      <c r="AQ1022" s="1755"/>
      <c r="AR1022" s="68"/>
      <c r="AS1022" s="68"/>
      <c r="AT1022" s="68"/>
      <c r="AU1022" s="68"/>
      <c r="AV1022" s="68"/>
      <c r="AW1022" s="68"/>
      <c r="AX1022" s="3">
        <v>10</v>
      </c>
      <c r="AY1022" s="200">
        <f t="shared" si="54"/>
        <v>0</v>
      </c>
      <c r="AZ1022" s="1255">
        <v>0.02</v>
      </c>
    </row>
    <row r="1023" spans="1:52" ht="12.95" customHeight="1">
      <c r="A1023" s="14"/>
      <c r="B1023" s="81"/>
      <c r="C1023" s="84"/>
      <c r="D1023" s="1747"/>
      <c r="E1023" s="1748"/>
      <c r="F1023" s="1748"/>
      <c r="G1023" s="1748"/>
      <c r="H1023" s="1748"/>
      <c r="I1023" s="1748"/>
      <c r="J1023" s="1748"/>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786"/>
      <c r="AG1023" s="1786"/>
      <c r="AH1023" s="1786"/>
      <c r="AI1023" s="1786"/>
      <c r="AJ1023" s="1753"/>
      <c r="AK1023" s="1754"/>
      <c r="AL1023" s="1754"/>
      <c r="AM1023" s="1754"/>
      <c r="AN1023" s="1754"/>
      <c r="AO1023" s="1754"/>
      <c r="AP1023" s="1754"/>
      <c r="AQ1023" s="1755"/>
      <c r="AR1023" s="68"/>
      <c r="AS1023" s="68"/>
      <c r="AT1023" s="68"/>
      <c r="AU1023" s="68"/>
      <c r="AV1023" s="68"/>
      <c r="AW1023" s="68"/>
      <c r="AX1023" s="3">
        <v>11</v>
      </c>
      <c r="AY1023" s="200">
        <f t="shared" si="54"/>
        <v>0</v>
      </c>
      <c r="AZ1023" s="1255">
        <v>0.02</v>
      </c>
    </row>
    <row r="1024" spans="1:52" ht="12.95" customHeight="1">
      <c r="A1024" s="14"/>
      <c r="B1024" s="81"/>
      <c r="C1024" s="84"/>
      <c r="D1024" s="526" t="s">
        <v>358</v>
      </c>
      <c r="E1024" s="90"/>
      <c r="F1024" s="90"/>
      <c r="G1024" s="104"/>
      <c r="H1024" s="104"/>
      <c r="I1024" s="49"/>
      <c r="J1024" s="1832" t="s">
        <v>591</v>
      </c>
      <c r="K1024" s="1833"/>
      <c r="L1024" s="1833"/>
      <c r="M1024" s="1833"/>
      <c r="N1024" s="1833"/>
      <c r="O1024" s="1833"/>
      <c r="P1024" s="1833"/>
      <c r="Q1024" s="1833"/>
      <c r="R1024" s="1833"/>
      <c r="S1024" s="1833"/>
      <c r="T1024" s="1833"/>
      <c r="U1024" s="1833"/>
      <c r="V1024" s="1833"/>
      <c r="W1024" s="1833"/>
      <c r="X1024" s="1833"/>
      <c r="Y1024" s="1833"/>
      <c r="Z1024" s="1833"/>
      <c r="AA1024" s="1833"/>
      <c r="AB1024" s="1833"/>
      <c r="AC1024" s="1833"/>
      <c r="AD1024" s="1833"/>
      <c r="AE1024" s="1834"/>
      <c r="AF1024" s="1786"/>
      <c r="AG1024" s="1786"/>
      <c r="AH1024" s="1786"/>
      <c r="AI1024" s="1786"/>
      <c r="AJ1024" s="1756"/>
      <c r="AK1024" s="1757"/>
      <c r="AL1024" s="1757"/>
      <c r="AM1024" s="1757"/>
      <c r="AN1024" s="1757"/>
      <c r="AO1024" s="1757"/>
      <c r="AP1024" s="1757"/>
      <c r="AQ1024" s="1758"/>
      <c r="AR1024" s="68"/>
      <c r="AS1024" s="68"/>
      <c r="AT1024" s="68"/>
      <c r="AU1024" s="68"/>
      <c r="AV1024" s="68"/>
      <c r="AW1024" s="68"/>
      <c r="AX1024" s="1032" t="s">
        <v>2603</v>
      </c>
      <c r="AY1024" s="201">
        <f>IF(SUM(AY1013:AY1023)&lt;=0.2,SUM(AY1013:AY1023),0.2)</f>
        <v>0</v>
      </c>
    </row>
    <row r="1025" spans="1:57" ht="12.95" customHeight="1">
      <c r="A1025" s="14"/>
      <c r="B1025" s="79"/>
      <c r="C1025" s="80" t="s">
        <v>229</v>
      </c>
      <c r="D1025" s="1765" t="s">
        <v>1292</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91" t="s">
        <v>668</v>
      </c>
      <c r="AH1025" s="1792"/>
      <c r="AI1025" s="87"/>
      <c r="AJ1025" s="1750">
        <f>ROUND(IF(AG1025="Yes",AF1027,0),0)</f>
        <v>0</v>
      </c>
      <c r="AK1025" s="1751"/>
      <c r="AL1025" s="1751"/>
      <c r="AM1025" s="1751"/>
      <c r="AN1025" s="1751"/>
      <c r="AO1025" s="1751"/>
      <c r="AP1025" s="1751"/>
      <c r="AQ1025" s="1752"/>
      <c r="AR1025" s="68"/>
      <c r="AS1025" s="68"/>
      <c r="AT1025" s="68"/>
      <c r="AU1025" s="68"/>
      <c r="AV1025" s="68"/>
      <c r="AW1025" s="68"/>
      <c r="AX1025" s="68"/>
      <c r="AY1025" s="68"/>
    </row>
    <row r="1026" spans="1:57" ht="12.95" customHeight="1">
      <c r="A1026" s="14"/>
      <c r="B1026" s="73"/>
      <c r="C1026" s="74"/>
      <c r="D1026" s="1747" t="s">
        <v>1688</v>
      </c>
      <c r="E1026" s="1748"/>
      <c r="F1026" s="1748"/>
      <c r="G1026" s="1748"/>
      <c r="H1026" s="1748"/>
      <c r="I1026" s="1748"/>
      <c r="J1026" s="1748"/>
      <c r="K1026" s="1748"/>
      <c r="L1026" s="1748"/>
      <c r="M1026" s="1748"/>
      <c r="N1026" s="1748"/>
      <c r="O1026" s="1748"/>
      <c r="P1026" s="1748"/>
      <c r="Q1026" s="1748"/>
      <c r="R1026" s="1748"/>
      <c r="S1026" s="1748"/>
      <c r="T1026" s="1748"/>
      <c r="U1026" s="1748"/>
      <c r="V1026" s="1748"/>
      <c r="W1026" s="1748"/>
      <c r="X1026" s="1748"/>
      <c r="Y1026" s="1748"/>
      <c r="Z1026" s="1748"/>
      <c r="AA1026" s="1748"/>
      <c r="AB1026" s="1748"/>
      <c r="AC1026" s="1748"/>
      <c r="AD1026" s="1748"/>
      <c r="AE1026" s="1749"/>
      <c r="AF1026" s="1829" t="str">
        <f>IF(AG1025="yes","Enter Amount:","")</f>
        <v/>
      </c>
      <c r="AG1026" s="1830"/>
      <c r="AH1026" s="1830"/>
      <c r="AI1026" s="1831"/>
      <c r="AJ1026" s="1753"/>
      <c r="AK1026" s="1754"/>
      <c r="AL1026" s="1754"/>
      <c r="AM1026" s="1754"/>
      <c r="AN1026" s="1754"/>
      <c r="AO1026" s="1754"/>
      <c r="AP1026" s="1754"/>
      <c r="AQ1026" s="1755"/>
      <c r="AR1026" s="68"/>
      <c r="AS1026" s="68"/>
      <c r="AT1026" s="68"/>
      <c r="AU1026" s="68"/>
      <c r="AV1026" s="68"/>
      <c r="AW1026" s="68"/>
      <c r="AX1026" s="68"/>
      <c r="AY1026" s="68"/>
    </row>
    <row r="1027" spans="1:57" ht="12.95" customHeight="1">
      <c r="A1027" s="14"/>
      <c r="B1027" s="73"/>
      <c r="C1027" s="74"/>
      <c r="D1027" s="1747"/>
      <c r="E1027" s="1748"/>
      <c r="F1027" s="1748"/>
      <c r="G1027" s="1748"/>
      <c r="H1027" s="1748"/>
      <c r="I1027" s="1748"/>
      <c r="J1027" s="1748"/>
      <c r="K1027" s="1748"/>
      <c r="L1027" s="1748"/>
      <c r="M1027" s="1748"/>
      <c r="N1027" s="1748"/>
      <c r="O1027" s="1748"/>
      <c r="P1027" s="1748"/>
      <c r="Q1027" s="1748"/>
      <c r="R1027" s="1748"/>
      <c r="S1027" s="1748"/>
      <c r="T1027" s="1748"/>
      <c r="U1027" s="1748"/>
      <c r="V1027" s="1748"/>
      <c r="W1027" s="1748"/>
      <c r="X1027" s="1748"/>
      <c r="Y1027" s="1748"/>
      <c r="Z1027" s="1748"/>
      <c r="AA1027" s="1748"/>
      <c r="AB1027" s="1748"/>
      <c r="AC1027" s="1748"/>
      <c r="AD1027" s="1748"/>
      <c r="AE1027" s="1749"/>
      <c r="AF1027" s="1786"/>
      <c r="AG1027" s="1786"/>
      <c r="AH1027" s="1786"/>
      <c r="AI1027" s="1786"/>
      <c r="AJ1027" s="1753"/>
      <c r="AK1027" s="1754"/>
      <c r="AL1027" s="1754"/>
      <c r="AM1027" s="1754"/>
      <c r="AN1027" s="1754"/>
      <c r="AO1027" s="1754"/>
      <c r="AP1027" s="1754"/>
      <c r="AQ1027" s="1755"/>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83"/>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1786"/>
      <c r="AG1028" s="1786"/>
      <c r="AH1028" s="1786"/>
      <c r="AI1028" s="1786"/>
      <c r="AJ1028" s="1756"/>
      <c r="AK1028" s="1757"/>
      <c r="AL1028" s="1757"/>
      <c r="AM1028" s="1757"/>
      <c r="AN1028" s="1757"/>
      <c r="AO1028" s="1757"/>
      <c r="AP1028" s="1757"/>
      <c r="AQ1028" s="1758"/>
      <c r="AR1028" s="68"/>
      <c r="AS1028" s="68"/>
      <c r="AT1028" s="68"/>
      <c r="AU1028" s="68"/>
      <c r="AV1028" s="68"/>
      <c r="AW1028" s="68"/>
      <c r="AX1028" s="68"/>
      <c r="AY1028" s="68"/>
    </row>
    <row r="1029" spans="1:57" ht="12.95" customHeight="1">
      <c r="A1029" s="14"/>
      <c r="B1029" s="79"/>
      <c r="C1029" s="80" t="s">
        <v>234</v>
      </c>
      <c r="D1029" s="1734" t="s">
        <v>1293</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91" t="s">
        <v>545</v>
      </c>
      <c r="AH1029" s="1792"/>
      <c r="AI1029" s="87"/>
      <c r="AJ1029" s="1750">
        <f>ROUND(IF(AG1029="yes",(AJ992*0.1),0),0)</f>
        <v>8035061</v>
      </c>
      <c r="AK1029" s="1751"/>
      <c r="AL1029" s="1751"/>
      <c r="AM1029" s="1751"/>
      <c r="AN1029" s="1751"/>
      <c r="AO1029" s="1751"/>
      <c r="AP1029" s="1751"/>
      <c r="AQ1029" s="1752"/>
      <c r="AR1029" s="68"/>
      <c r="AS1029" s="68"/>
      <c r="AT1029" s="68"/>
      <c r="AU1029" s="68"/>
      <c r="AV1029" s="68"/>
      <c r="AW1029" s="68"/>
      <c r="AX1029" s="68"/>
      <c r="AY1029" s="68"/>
    </row>
    <row r="1030" spans="1:57" ht="12.95" customHeight="1">
      <c r="A1030" s="14"/>
      <c r="B1030" s="73"/>
      <c r="C1030" s="74"/>
      <c r="D1030" s="1747" t="s">
        <v>1294</v>
      </c>
      <c r="E1030" s="1748"/>
      <c r="F1030" s="1748"/>
      <c r="G1030" s="1748"/>
      <c r="H1030" s="1748"/>
      <c r="I1030" s="1748"/>
      <c r="J1030" s="1748"/>
      <c r="K1030" s="1748"/>
      <c r="L1030" s="1748"/>
      <c r="M1030" s="1748"/>
      <c r="N1030" s="1748"/>
      <c r="O1030" s="1748"/>
      <c r="P1030" s="1748"/>
      <c r="Q1030" s="1748"/>
      <c r="R1030" s="1748"/>
      <c r="S1030" s="1748"/>
      <c r="T1030" s="1748"/>
      <c r="U1030" s="1748"/>
      <c r="V1030" s="1748"/>
      <c r="W1030" s="1748"/>
      <c r="X1030" s="1748"/>
      <c r="Y1030" s="1748"/>
      <c r="Z1030" s="1748"/>
      <c r="AA1030" s="1748"/>
      <c r="AB1030" s="1748"/>
      <c r="AC1030" s="1748"/>
      <c r="AD1030" s="1748"/>
      <c r="AE1030" s="1749"/>
      <c r="AF1030" s="73"/>
      <c r="AG1030" s="14"/>
      <c r="AH1030" s="14"/>
      <c r="AI1030" s="83"/>
      <c r="AJ1030" s="1753"/>
      <c r="AK1030" s="1754"/>
      <c r="AL1030" s="1754"/>
      <c r="AM1030" s="1754"/>
      <c r="AN1030" s="1754"/>
      <c r="AO1030" s="1754"/>
      <c r="AP1030" s="1754"/>
      <c r="AQ1030" s="1755"/>
      <c r="AR1030" s="68"/>
      <c r="AS1030" s="68"/>
      <c r="AT1030" s="68"/>
      <c r="AU1030" s="68"/>
      <c r="AV1030" s="68"/>
      <c r="AW1030" s="68"/>
      <c r="AX1030" s="68"/>
      <c r="AY1030" s="68"/>
    </row>
    <row r="1031" spans="1:57" ht="12.95" customHeight="1">
      <c r="A1031" s="14"/>
      <c r="B1031" s="77"/>
      <c r="C1031" s="74"/>
      <c r="D1031" s="1783"/>
      <c r="E1031" s="1784"/>
      <c r="F1031" s="1784"/>
      <c r="G1031" s="1784"/>
      <c r="H1031" s="1784"/>
      <c r="I1031" s="1784"/>
      <c r="J1031" s="1784"/>
      <c r="K1031" s="1784"/>
      <c r="L1031" s="1784"/>
      <c r="M1031" s="1784"/>
      <c r="N1031" s="1784"/>
      <c r="O1031" s="1784"/>
      <c r="P1031" s="1784"/>
      <c r="Q1031" s="1784"/>
      <c r="R1031" s="1784"/>
      <c r="S1031" s="1784"/>
      <c r="T1031" s="1784"/>
      <c r="U1031" s="1784"/>
      <c r="V1031" s="1784"/>
      <c r="W1031" s="1784"/>
      <c r="X1031" s="1784"/>
      <c r="Y1031" s="1784"/>
      <c r="Z1031" s="1784"/>
      <c r="AA1031" s="1784"/>
      <c r="AB1031" s="1784"/>
      <c r="AC1031" s="1784"/>
      <c r="AD1031" s="1784"/>
      <c r="AE1031" s="1785"/>
      <c r="AF1031" s="73"/>
      <c r="AG1031" s="14"/>
      <c r="AH1031" s="14"/>
      <c r="AI1031" s="83"/>
      <c r="AJ1031" s="1756"/>
      <c r="AK1031" s="1757"/>
      <c r="AL1031" s="1757"/>
      <c r="AM1031" s="1757"/>
      <c r="AN1031" s="1757"/>
      <c r="AO1031" s="1757"/>
      <c r="AP1031" s="1757"/>
      <c r="AQ1031" s="1758"/>
      <c r="AR1031" s="68"/>
      <c r="AS1031" s="68"/>
      <c r="AT1031" s="68"/>
      <c r="AU1031" s="68"/>
      <c r="AV1031" s="68"/>
      <c r="AW1031" s="68"/>
      <c r="AX1031" s="68"/>
      <c r="AY1031" s="68"/>
    </row>
    <row r="1032" spans="1:57" ht="12.95" customHeight="1">
      <c r="A1032" s="14"/>
      <c r="B1032" s="73"/>
      <c r="C1032" s="339" t="s">
        <v>686</v>
      </c>
      <c r="D1032" s="1765" t="s">
        <v>1684</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91" t="s">
        <v>668</v>
      </c>
      <c r="AH1032" s="1792"/>
      <c r="AI1032" s="87"/>
      <c r="AJ1032" s="1750">
        <f>ROUND(IF(AG1032="yes",(AJ992*0.15),0),0)</f>
        <v>0</v>
      </c>
      <c r="AK1032" s="1751"/>
      <c r="AL1032" s="1751"/>
      <c r="AM1032" s="1751"/>
      <c r="AN1032" s="1751"/>
      <c r="AO1032" s="1751"/>
      <c r="AP1032" s="1751"/>
      <c r="AQ1032" s="1752"/>
      <c r="AR1032" s="68"/>
      <c r="AS1032" s="68"/>
      <c r="AT1032" s="68"/>
      <c r="AU1032" s="68"/>
      <c r="AV1032" s="68"/>
      <c r="AW1032" s="68"/>
      <c r="AX1032" s="68"/>
      <c r="AY1032" s="68"/>
    </row>
    <row r="1033" spans="1:57" ht="12.95" customHeight="1">
      <c r="A1033" s="14"/>
      <c r="B1033" s="73"/>
      <c r="C1033" s="74"/>
      <c r="D1033" s="1793" t="s">
        <v>1685</v>
      </c>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4"/>
      <c r="AF1033" s="915"/>
      <c r="AG1033" s="916"/>
      <c r="AH1033" s="916"/>
      <c r="AI1033" s="917"/>
      <c r="AJ1033" s="1753"/>
      <c r="AK1033" s="1754"/>
      <c r="AL1033" s="1754"/>
      <c r="AM1033" s="1754"/>
      <c r="AN1033" s="1754"/>
      <c r="AO1033" s="1754"/>
      <c r="AP1033" s="1754"/>
      <c r="AQ1033" s="1755"/>
      <c r="AR1033" s="68"/>
      <c r="AS1033" s="68"/>
      <c r="AT1033" s="68"/>
      <c r="AU1033" s="68"/>
      <c r="AV1033" s="68"/>
      <c r="AW1033" s="68"/>
      <c r="AX1033" s="68"/>
      <c r="AY1033" s="68"/>
    </row>
    <row r="1034" spans="1:57" ht="12.95" customHeight="1">
      <c r="A1034" s="14"/>
      <c r="B1034" s="73"/>
      <c r="C1034" s="74"/>
      <c r="D1034" s="1793"/>
      <c r="E1034" s="1272"/>
      <c r="F1034" s="1272"/>
      <c r="G1034" s="1272"/>
      <c r="H1034" s="1272"/>
      <c r="I1034" s="1272"/>
      <c r="J1034" s="1272"/>
      <c r="K1034" s="1272"/>
      <c r="L1034" s="1272"/>
      <c r="M1034" s="1272"/>
      <c r="N1034" s="1272"/>
      <c r="O1034" s="1272"/>
      <c r="P1034" s="1272"/>
      <c r="Q1034" s="1272"/>
      <c r="R1034" s="1272"/>
      <c r="S1034" s="1272"/>
      <c r="T1034" s="1272"/>
      <c r="U1034" s="1272"/>
      <c r="V1034" s="1272"/>
      <c r="W1034" s="1272"/>
      <c r="X1034" s="1272"/>
      <c r="Y1034" s="1272"/>
      <c r="Z1034" s="1272"/>
      <c r="AA1034" s="1272"/>
      <c r="AB1034" s="1272"/>
      <c r="AC1034" s="1272"/>
      <c r="AD1034" s="1272"/>
      <c r="AE1034" s="1794"/>
      <c r="AF1034" s="915"/>
      <c r="AG1034" s="916"/>
      <c r="AH1034" s="916"/>
      <c r="AI1034" s="917"/>
      <c r="AJ1034" s="1753"/>
      <c r="AK1034" s="1754"/>
      <c r="AL1034" s="1754"/>
      <c r="AM1034" s="1754"/>
      <c r="AN1034" s="1754"/>
      <c r="AO1034" s="1754"/>
      <c r="AP1034" s="1754"/>
      <c r="AQ1034" s="1755"/>
      <c r="AR1034" s="68"/>
      <c r="AS1034" s="68"/>
      <c r="AT1034" s="68"/>
      <c r="AU1034" s="68"/>
      <c r="AV1034" s="68"/>
      <c r="AW1034" s="68"/>
      <c r="AX1034" s="68"/>
      <c r="AY1034" s="68"/>
    </row>
    <row r="1035" spans="1:57" ht="12.95" customHeight="1">
      <c r="A1035" s="14"/>
      <c r="B1035" s="73"/>
      <c r="C1035" s="74"/>
      <c r="D1035" s="1795"/>
      <c r="E1035" s="1796"/>
      <c r="F1035" s="1796"/>
      <c r="G1035" s="1796"/>
      <c r="H1035" s="1796"/>
      <c r="I1035" s="1796"/>
      <c r="J1035" s="1796"/>
      <c r="K1035" s="1796"/>
      <c r="L1035" s="1796"/>
      <c r="M1035" s="1796"/>
      <c r="N1035" s="1796"/>
      <c r="O1035" s="1796"/>
      <c r="P1035" s="1796"/>
      <c r="Q1035" s="1796"/>
      <c r="R1035" s="1796"/>
      <c r="S1035" s="1796"/>
      <c r="T1035" s="1796"/>
      <c r="U1035" s="1796"/>
      <c r="V1035" s="1796"/>
      <c r="W1035" s="1796"/>
      <c r="X1035" s="1796"/>
      <c r="Y1035" s="1796"/>
      <c r="Z1035" s="1796"/>
      <c r="AA1035" s="1796"/>
      <c r="AB1035" s="1796"/>
      <c r="AC1035" s="1796"/>
      <c r="AD1035" s="1796"/>
      <c r="AE1035" s="1797"/>
      <c r="AF1035" s="918"/>
      <c r="AG1035" s="919"/>
      <c r="AH1035" s="919"/>
      <c r="AI1035" s="920"/>
      <c r="AJ1035" s="1756"/>
      <c r="AK1035" s="1757"/>
      <c r="AL1035" s="1757"/>
      <c r="AM1035" s="1757"/>
      <c r="AN1035" s="1757"/>
      <c r="AO1035" s="1757"/>
      <c r="AP1035" s="1757"/>
      <c r="AQ1035" s="1758"/>
      <c r="AR1035" s="68"/>
      <c r="AS1035" s="68"/>
      <c r="AT1035" s="68"/>
      <c r="AU1035" s="68"/>
      <c r="AV1035" s="68"/>
      <c r="AW1035" s="68"/>
      <c r="AX1035" s="68"/>
      <c r="AY1035" s="68"/>
    </row>
    <row r="1036" spans="1:57" ht="12.95" customHeight="1">
      <c r="A1036" s="14"/>
      <c r="B1036" s="73"/>
      <c r="C1036" s="339" t="s">
        <v>686</v>
      </c>
      <c r="D1036" s="1734" t="s">
        <v>1686</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803" t="s">
        <v>668</v>
      </c>
      <c r="AH1036" s="1804"/>
      <c r="AI1036" s="83"/>
      <c r="AJ1036" s="1750">
        <f>ROUND(IF(AND(AG1036="yes",AJ1032=0),(AJ992*0.1),0),0)</f>
        <v>0</v>
      </c>
      <c r="AK1036" s="1751"/>
      <c r="AL1036" s="1751"/>
      <c r="AM1036" s="1751"/>
      <c r="AN1036" s="1751"/>
      <c r="AO1036" s="1751"/>
      <c r="AP1036" s="1751"/>
      <c r="AQ1036" s="1752"/>
      <c r="AR1036" s="68"/>
      <c r="AS1036" s="68"/>
      <c r="AT1036" s="68"/>
      <c r="AU1036" s="68"/>
      <c r="AV1036" s="68"/>
      <c r="AW1036" s="68"/>
      <c r="AX1036" s="68"/>
      <c r="AY1036" s="68"/>
    </row>
    <row r="1037" spans="1:57" ht="12.95" customHeight="1">
      <c r="A1037" s="14"/>
      <c r="B1037" s="73"/>
      <c r="C1037" s="74"/>
      <c r="D1037" s="1793" t="s">
        <v>1687</v>
      </c>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4"/>
      <c r="AF1037" s="73"/>
      <c r="AG1037" s="14"/>
      <c r="AH1037" s="14"/>
      <c r="AI1037" s="83"/>
      <c r="AJ1037" s="1753"/>
      <c r="AK1037" s="1754"/>
      <c r="AL1037" s="1754"/>
      <c r="AM1037" s="1754"/>
      <c r="AN1037" s="1754"/>
      <c r="AO1037" s="1754"/>
      <c r="AP1037" s="1754"/>
      <c r="AQ1037" s="1755"/>
      <c r="AR1037" s="68"/>
      <c r="AS1037" s="68"/>
      <c r="AT1037" s="68"/>
      <c r="AU1037" s="68"/>
      <c r="AV1037" s="68"/>
      <c r="AW1037" s="68"/>
      <c r="AX1037" s="68"/>
      <c r="AY1037" s="68"/>
    </row>
    <row r="1038" spans="1:57" ht="12.95" customHeight="1">
      <c r="A1038" s="14"/>
      <c r="B1038" s="73"/>
      <c r="C1038" s="74"/>
      <c r="D1038" s="1793"/>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4"/>
      <c r="AF1038" s="73"/>
      <c r="AG1038" s="14"/>
      <c r="AH1038" s="14"/>
      <c r="AI1038" s="83"/>
      <c r="AJ1038" s="1753"/>
      <c r="AK1038" s="1754"/>
      <c r="AL1038" s="1754"/>
      <c r="AM1038" s="1754"/>
      <c r="AN1038" s="1754"/>
      <c r="AO1038" s="1754"/>
      <c r="AP1038" s="1754"/>
      <c r="AQ1038" s="1755"/>
      <c r="AR1038" s="68"/>
      <c r="AS1038" s="68"/>
      <c r="AT1038" s="68"/>
      <c r="AU1038" s="68"/>
      <c r="AV1038" s="68"/>
      <c r="AW1038" s="68"/>
      <c r="AX1038" s="68"/>
      <c r="AY1038" s="68"/>
      <c r="BA1038" s="1183">
        <f>IFERROR(('Sources and Uses Budget'!$C$17+'Sources and Uses Budget'!$C$18+'Sources and Uses Budget'!$C$22)/$AG$437,0)</f>
        <v>142062.67295597485</v>
      </c>
      <c r="BB1038" s="1183" t="s">
        <v>2486</v>
      </c>
      <c r="BC1038" s="1183"/>
      <c r="BD1038" s="1183"/>
      <c r="BE1038" s="1183"/>
    </row>
    <row r="1039" spans="1:57" ht="12.95" customHeight="1">
      <c r="A1039" s="14"/>
      <c r="B1039" s="73"/>
      <c r="C1039" s="74"/>
      <c r="D1039" s="1793"/>
      <c r="E1039" s="1272"/>
      <c r="F1039" s="1272"/>
      <c r="G1039" s="1272"/>
      <c r="H1039" s="1272"/>
      <c r="I1039" s="1272"/>
      <c r="J1039" s="1272"/>
      <c r="K1039" s="1272"/>
      <c r="L1039" s="1272"/>
      <c r="M1039" s="1272"/>
      <c r="N1039" s="1272"/>
      <c r="O1039" s="1272"/>
      <c r="P1039" s="1272"/>
      <c r="Q1039" s="1272"/>
      <c r="R1039" s="1272"/>
      <c r="S1039" s="1272"/>
      <c r="T1039" s="1272"/>
      <c r="U1039" s="1272"/>
      <c r="V1039" s="1272"/>
      <c r="W1039" s="1272"/>
      <c r="X1039" s="1272"/>
      <c r="Y1039" s="1272"/>
      <c r="Z1039" s="1272"/>
      <c r="AA1039" s="1272"/>
      <c r="AB1039" s="1272"/>
      <c r="AC1039" s="1272"/>
      <c r="AD1039" s="1272"/>
      <c r="AE1039" s="1794"/>
      <c r="AF1039" s="73"/>
      <c r="AG1039" s="14"/>
      <c r="AH1039" s="14"/>
      <c r="AI1039" s="83"/>
      <c r="AJ1039" s="1753"/>
      <c r="AK1039" s="1754"/>
      <c r="AL1039" s="1754"/>
      <c r="AM1039" s="1754"/>
      <c r="AN1039" s="1754"/>
      <c r="AO1039" s="1754"/>
      <c r="AP1039" s="1754"/>
      <c r="AQ1039" s="1755"/>
      <c r="AR1039" s="68"/>
      <c r="AS1039" s="68"/>
      <c r="AT1039" s="68"/>
      <c r="AU1039" s="68"/>
      <c r="AV1039" s="68"/>
      <c r="AW1039" s="68"/>
      <c r="AX1039" s="68"/>
      <c r="AY1039" s="68"/>
      <c r="BA1039">
        <f>IFERROR((($CI$753+$CM$753)/$AG$440),0)</f>
        <v>0.20382165605095542</v>
      </c>
      <c r="BB1039" s="3" t="s">
        <v>2490</v>
      </c>
    </row>
    <row r="1040" spans="1:57" ht="12.95" customHeight="1">
      <c r="A1040" s="14"/>
      <c r="B1040" s="73"/>
      <c r="C1040" s="74"/>
      <c r="D1040" s="1795"/>
      <c r="E1040" s="1796"/>
      <c r="F1040" s="1796"/>
      <c r="G1040" s="1796"/>
      <c r="H1040" s="1796"/>
      <c r="I1040" s="1796"/>
      <c r="J1040" s="1796"/>
      <c r="K1040" s="1796"/>
      <c r="L1040" s="1796"/>
      <c r="M1040" s="1796"/>
      <c r="N1040" s="1796"/>
      <c r="O1040" s="1796"/>
      <c r="P1040" s="1796"/>
      <c r="Q1040" s="1796"/>
      <c r="R1040" s="1796"/>
      <c r="S1040" s="1796"/>
      <c r="T1040" s="1796"/>
      <c r="U1040" s="1796"/>
      <c r="V1040" s="1796"/>
      <c r="W1040" s="1796"/>
      <c r="X1040" s="1796"/>
      <c r="Y1040" s="1796"/>
      <c r="Z1040" s="1796"/>
      <c r="AA1040" s="1796"/>
      <c r="AB1040" s="1796"/>
      <c r="AC1040" s="1796"/>
      <c r="AD1040" s="1796"/>
      <c r="AE1040" s="1797"/>
      <c r="AF1040" s="73"/>
      <c r="AG1040" s="14"/>
      <c r="AH1040" s="14"/>
      <c r="AI1040" s="83"/>
      <c r="AJ1040" s="1753"/>
      <c r="AK1040" s="1754"/>
      <c r="AL1040" s="1754"/>
      <c r="AM1040" s="1754"/>
      <c r="AN1040" s="1754"/>
      <c r="AO1040" s="1754"/>
      <c r="AP1040" s="1754"/>
      <c r="AQ1040" s="1755"/>
      <c r="AR1040" s="68"/>
      <c r="AS1040" s="68"/>
      <c r="AT1040" s="68"/>
      <c r="AU1040" s="68"/>
      <c r="AV1040" s="68"/>
      <c r="AW1040" s="68"/>
      <c r="AX1040" s="68"/>
      <c r="AY1040" s="68"/>
      <c r="BA1040" t="b">
        <f>'Points System'!AJ164="Yes"</f>
        <v>0</v>
      </c>
      <c r="BB1040" s="3" t="s">
        <v>2487</v>
      </c>
    </row>
    <row r="1041" spans="1:56" ht="12.95" customHeight="1">
      <c r="A1041" s="14"/>
      <c r="B1041" s="79"/>
      <c r="C1041" s="131" t="s">
        <v>1008</v>
      </c>
      <c r="D1041" s="1765" t="s">
        <v>1295</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91" t="s">
        <v>668</v>
      </c>
      <c r="AH1041" s="1792"/>
      <c r="AI1041" s="87"/>
      <c r="AJ1041" s="1750">
        <f>ROUND(IF(AG1041="yes",(AJ992*0.1),0),0)</f>
        <v>0</v>
      </c>
      <c r="AK1041" s="1751"/>
      <c r="AL1041" s="1751"/>
      <c r="AM1041" s="1751"/>
      <c r="AN1041" s="1751"/>
      <c r="AO1041" s="1751"/>
      <c r="AP1041" s="1751"/>
      <c r="AQ1041" s="1752"/>
      <c r="AR1041" s="68"/>
      <c r="AS1041" s="68"/>
      <c r="AT1041" s="68"/>
      <c r="AU1041" s="68"/>
      <c r="AV1041" s="68"/>
      <c r="AW1041" s="68"/>
      <c r="AX1041" s="68"/>
      <c r="AY1041" s="68"/>
      <c r="BA1041">
        <f>Q212</f>
        <v>0</v>
      </c>
      <c r="BB1041" s="3" t="s">
        <v>2488</v>
      </c>
    </row>
    <row r="1042" spans="1:56" ht="12.95" customHeight="1">
      <c r="A1042" s="14"/>
      <c r="B1042" s="73"/>
      <c r="C1042" s="74"/>
      <c r="D1042" s="1747" t="s">
        <v>2142</v>
      </c>
      <c r="E1042" s="1748"/>
      <c r="F1042" s="1748"/>
      <c r="G1042" s="1748"/>
      <c r="H1042" s="1748"/>
      <c r="I1042" s="1748"/>
      <c r="J1042" s="1748"/>
      <c r="K1042" s="1748"/>
      <c r="L1042" s="1748"/>
      <c r="M1042" s="1748"/>
      <c r="N1042" s="1748"/>
      <c r="O1042" s="1748"/>
      <c r="P1042" s="1748"/>
      <c r="Q1042" s="1748"/>
      <c r="R1042" s="1748"/>
      <c r="S1042" s="1748"/>
      <c r="T1042" s="1748"/>
      <c r="U1042" s="1748"/>
      <c r="V1042" s="1748"/>
      <c r="W1042" s="1748"/>
      <c r="X1042" s="1748"/>
      <c r="Y1042" s="1748"/>
      <c r="Z1042" s="1748"/>
      <c r="AA1042" s="1748"/>
      <c r="AB1042" s="1748"/>
      <c r="AC1042" s="1748"/>
      <c r="AD1042" s="1748"/>
      <c r="AE1042" s="1749"/>
      <c r="AF1042" s="73"/>
      <c r="AG1042" s="14"/>
      <c r="AH1042" s="14"/>
      <c r="AI1042" s="83"/>
      <c r="AJ1042" s="1753"/>
      <c r="AK1042" s="1754"/>
      <c r="AL1042" s="1754"/>
      <c r="AM1042" s="1754"/>
      <c r="AN1042" s="1754"/>
      <c r="AO1042" s="1754"/>
      <c r="AP1042" s="1754"/>
      <c r="AQ1042" s="1755"/>
      <c r="AR1042" s="68"/>
      <c r="AS1042" s="68"/>
      <c r="AT1042" s="68"/>
      <c r="AU1042" s="68"/>
      <c r="AV1042" s="68"/>
      <c r="AW1042" s="68"/>
      <c r="AX1042" s="68"/>
      <c r="AY1042" s="68"/>
      <c r="BA1042" s="1184">
        <f>T212</f>
        <v>0</v>
      </c>
      <c r="BB1042" s="3" t="s">
        <v>2489</v>
      </c>
    </row>
    <row r="1043" spans="1:56" ht="12.95" customHeight="1">
      <c r="A1043" s="14"/>
      <c r="B1043" s="73"/>
      <c r="C1043" s="74"/>
      <c r="D1043" s="1747"/>
      <c r="E1043" s="1748"/>
      <c r="F1043" s="1748"/>
      <c r="G1043" s="1748"/>
      <c r="H1043" s="1748"/>
      <c r="I1043" s="1748"/>
      <c r="J1043" s="1748"/>
      <c r="K1043" s="1748"/>
      <c r="L1043" s="1748"/>
      <c r="M1043" s="1748"/>
      <c r="N1043" s="1748"/>
      <c r="O1043" s="1748"/>
      <c r="P1043" s="1748"/>
      <c r="Q1043" s="1748"/>
      <c r="R1043" s="1748"/>
      <c r="S1043" s="1748"/>
      <c r="T1043" s="1748"/>
      <c r="U1043" s="1748"/>
      <c r="V1043" s="1748"/>
      <c r="W1043" s="1748"/>
      <c r="X1043" s="1748"/>
      <c r="Y1043" s="1748"/>
      <c r="Z1043" s="1748"/>
      <c r="AA1043" s="1748"/>
      <c r="AB1043" s="1748"/>
      <c r="AC1043" s="1748"/>
      <c r="AD1043" s="1748"/>
      <c r="AE1043" s="1749"/>
      <c r="AF1043" s="73"/>
      <c r="AG1043" s="14"/>
      <c r="AH1043" s="14"/>
      <c r="AI1043" s="83"/>
      <c r="AJ1043" s="1753"/>
      <c r="AK1043" s="1754"/>
      <c r="AL1043" s="1754"/>
      <c r="AM1043" s="1754"/>
      <c r="AN1043" s="1754"/>
      <c r="AO1043" s="1754"/>
      <c r="AP1043" s="1754"/>
      <c r="AQ1043" s="1755"/>
      <c r="AR1043" s="68"/>
      <c r="AS1043" s="68"/>
      <c r="AT1043" s="68"/>
      <c r="AU1043" s="68"/>
      <c r="AV1043" s="68"/>
      <c r="AW1043" s="68"/>
      <c r="AX1043" s="68"/>
      <c r="AY1043" s="68"/>
    </row>
    <row r="1044" spans="1:56" ht="12.95" customHeight="1">
      <c r="A1044" s="14"/>
      <c r="B1044" s="73"/>
      <c r="C1044" s="74"/>
      <c r="D1044" s="1783"/>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3"/>
      <c r="AG1044" s="14"/>
      <c r="AH1044" s="14"/>
      <c r="AI1044" s="83"/>
      <c r="AJ1044" s="1756"/>
      <c r="AK1044" s="1757"/>
      <c r="AL1044" s="1757"/>
      <c r="AM1044" s="1757"/>
      <c r="AN1044" s="1757"/>
      <c r="AO1044" s="1757"/>
      <c r="AP1044" s="1757"/>
      <c r="AQ1044" s="1758"/>
      <c r="AR1044" s="68"/>
      <c r="AS1044" s="68"/>
      <c r="AT1044" s="68"/>
      <c r="AU1044" s="68"/>
      <c r="AV1044" s="68"/>
      <c r="AW1044" s="68"/>
      <c r="AX1044" s="68"/>
      <c r="AY1044" s="68"/>
    </row>
    <row r="1045" spans="1:56" ht="12.95" customHeight="1">
      <c r="A1045" s="14"/>
      <c r="B1045" s="79"/>
      <c r="C1045" s="131" t="s">
        <v>1682</v>
      </c>
      <c r="D1045" s="1734" t="s">
        <v>1862</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801" t="str">
        <f>IF(X1048&gt;0,"Yes","No")</f>
        <v>Yes</v>
      </c>
      <c r="AH1045" s="1802"/>
      <c r="AI1045" s="87"/>
      <c r="AJ1045" s="1750">
        <f>IF((X1048=0),0,AY1005*AJ992)</f>
        <v>8035061</v>
      </c>
      <c r="AK1045" s="1751"/>
      <c r="AL1045" s="1751"/>
      <c r="AM1045" s="1751"/>
      <c r="AN1045" s="1751"/>
      <c r="AO1045" s="1751"/>
      <c r="AP1045" s="1751"/>
      <c r="AQ1045" s="1752"/>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747" t="s">
        <v>1297</v>
      </c>
      <c r="E1046" s="1748"/>
      <c r="F1046" s="1748"/>
      <c r="G1046" s="1748"/>
      <c r="H1046" s="1748"/>
      <c r="I1046" s="1748"/>
      <c r="J1046" s="1748"/>
      <c r="K1046" s="1748"/>
      <c r="L1046" s="1748"/>
      <c r="M1046" s="1748"/>
      <c r="N1046" s="1748"/>
      <c r="O1046" s="1748"/>
      <c r="P1046" s="1748"/>
      <c r="Q1046" s="1748"/>
      <c r="R1046" s="1748"/>
      <c r="S1046" s="1748"/>
      <c r="T1046" s="1748"/>
      <c r="U1046" s="1748"/>
      <c r="V1046" s="1748"/>
      <c r="W1046" s="1748"/>
      <c r="X1046" s="1748"/>
      <c r="Y1046" s="1748"/>
      <c r="Z1046" s="1748"/>
      <c r="AA1046" s="1748"/>
      <c r="AB1046" s="1748"/>
      <c r="AC1046" s="1748"/>
      <c r="AD1046" s="1748"/>
      <c r="AE1046" s="1749"/>
      <c r="AF1046" s="73"/>
      <c r="AG1046" s="443"/>
      <c r="AH1046" s="443"/>
      <c r="AI1046" s="83"/>
      <c r="AJ1046" s="1753"/>
      <c r="AK1046" s="1754"/>
      <c r="AL1046" s="1754"/>
      <c r="AM1046" s="1754"/>
      <c r="AN1046" s="1754"/>
      <c r="AO1046" s="1754"/>
      <c r="AP1046" s="1754"/>
      <c r="AQ1046" s="1755"/>
      <c r="AR1046" s="68"/>
      <c r="AS1046" s="68"/>
      <c r="AT1046" s="68"/>
      <c r="AU1046" s="13"/>
      <c r="AV1046" s="68"/>
      <c r="AW1046" s="68"/>
      <c r="AX1046" s="68"/>
      <c r="AY1046" s="68"/>
      <c r="AZ1046" s="962">
        <f>'Sources and Uses Budget'!S97*BA1046</f>
        <v>5061702.5999999996</v>
      </c>
      <c r="BA1046" s="1182">
        <f>IF(BA1040,20%,15%)</f>
        <v>0.15</v>
      </c>
      <c r="BB1046" s="3" t="s">
        <v>2476</v>
      </c>
      <c r="BC1046" s="3" t="s">
        <v>2477</v>
      </c>
      <c r="BD1046" s="3"/>
    </row>
    <row r="1047" spans="1:56" ht="12.95" customHeight="1">
      <c r="A1047" s="14"/>
      <c r="B1047" s="73"/>
      <c r="C1047" s="442"/>
      <c r="D1047" s="1747"/>
      <c r="E1047" s="1748"/>
      <c r="F1047" s="1748"/>
      <c r="G1047" s="1748"/>
      <c r="H1047" s="1748"/>
      <c r="I1047" s="1748"/>
      <c r="J1047" s="1748"/>
      <c r="K1047" s="1748"/>
      <c r="L1047" s="1748"/>
      <c r="M1047" s="1748"/>
      <c r="N1047" s="1748"/>
      <c r="O1047" s="1748"/>
      <c r="P1047" s="1748"/>
      <c r="Q1047" s="1748"/>
      <c r="R1047" s="1748"/>
      <c r="S1047" s="1748"/>
      <c r="T1047" s="1748"/>
      <c r="U1047" s="1748"/>
      <c r="V1047" s="1748"/>
      <c r="W1047" s="1748"/>
      <c r="X1047" s="1748"/>
      <c r="Y1047" s="1748"/>
      <c r="Z1047" s="1748"/>
      <c r="AA1047" s="1748"/>
      <c r="AB1047" s="1748"/>
      <c r="AC1047" s="1748"/>
      <c r="AD1047" s="1748"/>
      <c r="AE1047" s="1749"/>
      <c r="AF1047" s="73"/>
      <c r="AG1047" s="443"/>
      <c r="AH1047" s="443"/>
      <c r="AI1047" s="83"/>
      <c r="AJ1047" s="1753"/>
      <c r="AK1047" s="1754"/>
      <c r="AL1047" s="1754"/>
      <c r="AM1047" s="1754"/>
      <c r="AN1047" s="1754"/>
      <c r="AO1047" s="1754"/>
      <c r="AP1047" s="1754"/>
      <c r="AQ1047" s="1755"/>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970</v>
      </c>
      <c r="E1048" s="133"/>
      <c r="F1048" s="133"/>
      <c r="G1048" s="133"/>
      <c r="H1048" s="133"/>
      <c r="I1048" s="1815">
        <f>AY1003</f>
        <v>157</v>
      </c>
      <c r="J1048" s="1816"/>
      <c r="K1048" s="7"/>
      <c r="L1048" s="133"/>
      <c r="M1048" s="133"/>
      <c r="N1048" s="133"/>
      <c r="O1048" s="133"/>
      <c r="P1048" s="133"/>
      <c r="Q1048" s="133"/>
      <c r="R1048" s="133"/>
      <c r="S1048" s="133"/>
      <c r="T1048" s="133"/>
      <c r="U1048" s="133"/>
      <c r="V1048" s="134" t="s">
        <v>971</v>
      </c>
      <c r="W1048" s="48"/>
      <c r="X1048" s="1813">
        <f>CI753</f>
        <v>16</v>
      </c>
      <c r="Y1048" s="1814"/>
      <c r="Z1048" s="48"/>
      <c r="AA1048" s="48"/>
      <c r="AB1048" s="48"/>
      <c r="AC1048" s="48"/>
      <c r="AD1048" s="48"/>
      <c r="AE1048" s="49"/>
      <c r="AF1048" s="924"/>
      <c r="AG1048" s="925"/>
      <c r="AH1048" s="925"/>
      <c r="AI1048" s="926"/>
      <c r="AJ1048" s="1756"/>
      <c r="AK1048" s="1757"/>
      <c r="AL1048" s="1757"/>
      <c r="AM1048" s="1757"/>
      <c r="AN1048" s="1757"/>
      <c r="AO1048" s="1757"/>
      <c r="AP1048" s="1757"/>
      <c r="AQ1048" s="1758"/>
      <c r="AR1048" s="68"/>
      <c r="AS1048" s="68"/>
      <c r="AT1048" s="68"/>
      <c r="AU1048" s="14"/>
      <c r="AV1048" s="68"/>
      <c r="AW1048" s="68"/>
      <c r="AX1048" s="68"/>
      <c r="AY1048" s="68"/>
      <c r="AZ1048" s="962">
        <f>IF(M358="N/A",0,'Sources and Uses Budget'!T97*BA1048)</f>
        <v>3840450</v>
      </c>
      <c r="BA1048" s="1182" cm="1">
        <f t="array" ref="BA1048">_xlfn.IFS(X180="Yes",5%,$BA$1038&gt;50000,15%,BA1039&gt;=30%,15%,TRUE,5%)</f>
        <v>0.15</v>
      </c>
      <c r="BB1048" s="3" t="s">
        <v>2476</v>
      </c>
      <c r="BC1048" s="3" t="s">
        <v>2479</v>
      </c>
      <c r="BD1048" s="3"/>
    </row>
    <row r="1049" spans="1:56" ht="12.95" customHeight="1">
      <c r="A1049" s="14"/>
      <c r="B1049" s="79"/>
      <c r="C1049" s="131" t="s">
        <v>1683</v>
      </c>
      <c r="D1049" s="1765" t="s">
        <v>2168</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801" t="str">
        <f>IF(X1052&gt;0,"Yes","No")</f>
        <v>Yes</v>
      </c>
      <c r="AH1049" s="1802"/>
      <c r="AI1049" s="83"/>
      <c r="AJ1049" s="1750">
        <f>IF((X1052=0),0,(2*AY1006)*AJ992)</f>
        <v>16070122</v>
      </c>
      <c r="AK1049" s="1751"/>
      <c r="AL1049" s="1751"/>
      <c r="AM1049" s="1751"/>
      <c r="AN1049" s="1751"/>
      <c r="AO1049" s="1751"/>
      <c r="AP1049" s="1751"/>
      <c r="AQ1049" s="1752"/>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747" t="s">
        <v>1296</v>
      </c>
      <c r="E1050" s="1748"/>
      <c r="F1050" s="1748"/>
      <c r="G1050" s="1748"/>
      <c r="H1050" s="1748"/>
      <c r="I1050" s="1748"/>
      <c r="J1050" s="1748"/>
      <c r="K1050" s="1748"/>
      <c r="L1050" s="1748"/>
      <c r="M1050" s="1748"/>
      <c r="N1050" s="1748"/>
      <c r="O1050" s="1748"/>
      <c r="P1050" s="1748"/>
      <c r="Q1050" s="1748"/>
      <c r="R1050" s="1748"/>
      <c r="S1050" s="1748"/>
      <c r="T1050" s="1748"/>
      <c r="U1050" s="1748"/>
      <c r="V1050" s="1748"/>
      <c r="W1050" s="1748"/>
      <c r="X1050" s="1748"/>
      <c r="Y1050" s="1748"/>
      <c r="Z1050" s="1748"/>
      <c r="AA1050" s="1748"/>
      <c r="AB1050" s="1748"/>
      <c r="AC1050" s="1748"/>
      <c r="AD1050" s="1748"/>
      <c r="AE1050" s="1749"/>
      <c r="AF1050" s="73"/>
      <c r="AG1050" s="443"/>
      <c r="AH1050" s="443"/>
      <c r="AI1050" s="83"/>
      <c r="AJ1050" s="1753"/>
      <c r="AK1050" s="1754"/>
      <c r="AL1050" s="1754"/>
      <c r="AM1050" s="1754"/>
      <c r="AN1050" s="1754"/>
      <c r="AO1050" s="1754"/>
      <c r="AP1050" s="1754"/>
      <c r="AQ1050" s="1755"/>
      <c r="AR1050" s="68"/>
      <c r="AS1050" s="68"/>
      <c r="AT1050" s="68"/>
      <c r="AU1050" s="68"/>
      <c r="AV1050" s="68"/>
      <c r="AW1050" s="68"/>
      <c r="AX1050" s="68"/>
      <c r="AY1050" s="68"/>
      <c r="AZ1050" s="962"/>
      <c r="BA1050" s="3"/>
      <c r="BB1050" s="3"/>
      <c r="BC1050" s="3"/>
      <c r="BD1050" s="3"/>
    </row>
    <row r="1051" spans="1:56" ht="12.95" customHeight="1">
      <c r="A1051" s="14"/>
      <c r="B1051" s="73"/>
      <c r="C1051" s="83"/>
      <c r="D1051" s="1747"/>
      <c r="E1051" s="1748"/>
      <c r="F1051" s="1748"/>
      <c r="G1051" s="1748"/>
      <c r="H1051" s="1748"/>
      <c r="I1051" s="1748"/>
      <c r="J1051" s="1748"/>
      <c r="K1051" s="1748"/>
      <c r="L1051" s="1748"/>
      <c r="M1051" s="1748"/>
      <c r="N1051" s="1748"/>
      <c r="O1051" s="1748"/>
      <c r="P1051" s="1748"/>
      <c r="Q1051" s="1748"/>
      <c r="R1051" s="1748"/>
      <c r="S1051" s="1748"/>
      <c r="T1051" s="1748"/>
      <c r="U1051" s="1748"/>
      <c r="V1051" s="1748"/>
      <c r="W1051" s="1748"/>
      <c r="X1051" s="1748"/>
      <c r="Y1051" s="1748"/>
      <c r="Z1051" s="1748"/>
      <c r="AA1051" s="1748"/>
      <c r="AB1051" s="1748"/>
      <c r="AC1051" s="1748"/>
      <c r="AD1051" s="1748"/>
      <c r="AE1051" s="1749"/>
      <c r="AF1051" s="921"/>
      <c r="AG1051" s="922"/>
      <c r="AH1051" s="922"/>
      <c r="AI1051" s="923"/>
      <c r="AJ1051" s="1753"/>
      <c r="AK1051" s="1754"/>
      <c r="AL1051" s="1754"/>
      <c r="AM1051" s="1754"/>
      <c r="AN1051" s="1754"/>
      <c r="AO1051" s="1754"/>
      <c r="AP1051" s="1754"/>
      <c r="AQ1051" s="1755"/>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815">
        <f>AY1003</f>
        <v>157</v>
      </c>
      <c r="J1052" s="1816"/>
      <c r="K1052" s="14"/>
      <c r="L1052" s="133"/>
      <c r="M1052" s="133"/>
      <c r="N1052" s="133"/>
      <c r="O1052" s="133"/>
      <c r="P1052" s="133"/>
      <c r="Q1052" s="133"/>
      <c r="R1052" s="133"/>
      <c r="S1052" s="133"/>
      <c r="T1052" s="133"/>
      <c r="U1052" s="133"/>
      <c r="V1052" s="134" t="s">
        <v>972</v>
      </c>
      <c r="X1052" s="1813">
        <f>CM753</f>
        <v>16</v>
      </c>
      <c r="Y1052" s="1814"/>
      <c r="AF1052" s="924"/>
      <c r="AG1052" s="925"/>
      <c r="AH1052" s="925"/>
      <c r="AI1052" s="926"/>
      <c r="AJ1052" s="1756"/>
      <c r="AK1052" s="1757"/>
      <c r="AL1052" s="1757"/>
      <c r="AM1052" s="1757"/>
      <c r="AN1052" s="1757"/>
      <c r="AO1052" s="1757"/>
      <c r="AP1052" s="1757"/>
      <c r="AQ1052" s="1758"/>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811" t="s">
        <v>513</v>
      </c>
      <c r="E1053" s="1811"/>
      <c r="F1053" s="1811"/>
      <c r="G1053" s="1811"/>
      <c r="H1053" s="1811"/>
      <c r="I1053" s="1811"/>
      <c r="J1053" s="1811"/>
      <c r="K1053" s="1811"/>
      <c r="L1053" s="1811"/>
      <c r="M1053" s="1811"/>
      <c r="N1053" s="1811"/>
      <c r="O1053" s="1811"/>
      <c r="P1053" s="1811"/>
      <c r="Q1053" s="1811"/>
      <c r="R1053" s="1811"/>
      <c r="S1053" s="1811"/>
      <c r="T1053" s="1811"/>
      <c r="U1053" s="1811"/>
      <c r="V1053" s="1811"/>
      <c r="W1053" s="1811"/>
      <c r="X1053" s="1811"/>
      <c r="Y1053" s="1811"/>
      <c r="Z1053" s="1811"/>
      <c r="AA1053" s="1811"/>
      <c r="AB1053" s="1811"/>
      <c r="AC1053" s="1811"/>
      <c r="AD1053" s="1811"/>
      <c r="AE1053" s="1811"/>
      <c r="AF1053" s="1811"/>
      <c r="AG1053" s="1811"/>
      <c r="AH1053" s="1811"/>
      <c r="AI1053" s="1812"/>
      <c r="AJ1053" s="1820">
        <f>SUM(AJ992:AQ1052)</f>
        <v>128560976</v>
      </c>
      <c r="AK1053" s="1821"/>
      <c r="AL1053" s="1821"/>
      <c r="AM1053" s="1821"/>
      <c r="AN1053" s="1821"/>
      <c r="AO1053" s="1821"/>
      <c r="AP1053" s="1821"/>
      <c r="AQ1053" s="1822"/>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6">
        <f>'Sources and Uses Budget'!S107+'Sources and Uses Budget'!T107</f>
        <v>68249837</v>
      </c>
      <c r="AB1056" s="1346"/>
      <c r="AC1056" s="1346"/>
      <c r="AD1056" s="1346"/>
      <c r="AE1056" s="1346"/>
      <c r="AF1056" s="134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8902152.5999999996</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7">
        <f>IFERROR((AA1056-BA1059)/(AJ1053-AJ1045-AJ1049),"")</f>
        <v>0.59209434176618625</v>
      </c>
      <c r="AB1057" s="1348"/>
      <c r="AC1057" s="1348"/>
      <c r="AD1057" s="1348"/>
      <c r="AE1057" s="1348"/>
      <c r="AF1057" s="134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5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0"/>
      <c r="I1058" s="1350"/>
      <c r="J1058" s="1350"/>
      <c r="K1058" s="1350"/>
      <c r="L1058" s="1350"/>
      <c r="M1058" s="1350"/>
      <c r="N1058" s="1350"/>
      <c r="O1058" s="1350"/>
      <c r="P1058" s="1350"/>
      <c r="Q1058" s="1350"/>
      <c r="R1058" s="1350"/>
      <c r="S1058" s="1350"/>
      <c r="T1058" s="1350"/>
      <c r="U1058" s="1350"/>
      <c r="V1058" s="1350"/>
      <c r="W1058" s="1350"/>
      <c r="X1058" s="1350"/>
      <c r="Y1058" s="1350"/>
      <c r="Z1058" s="1350"/>
      <c r="AA1058" s="1350"/>
      <c r="AB1058" s="1350"/>
      <c r="AC1058" s="1350"/>
      <c r="AD1058" s="1350"/>
      <c r="AE1058" s="1350"/>
      <c r="AF1058" s="1350"/>
      <c r="AG1058" s="1350"/>
      <c r="AH1058" s="1350"/>
      <c r="AI1058" s="1350"/>
      <c r="AJ1058" s="1350"/>
      <c r="AK1058" s="1350"/>
      <c r="AL1058" s="1350"/>
      <c r="AM1058" s="1350"/>
      <c r="AN1058" s="1350"/>
      <c r="AO1058" s="68"/>
      <c r="AP1058" s="68"/>
      <c r="AQ1058" s="68"/>
      <c r="AR1058" s="68"/>
      <c r="AS1058" s="68"/>
      <c r="AT1058" s="68"/>
      <c r="AU1058" s="68"/>
      <c r="AV1058" s="14"/>
      <c r="AW1058" s="14"/>
      <c r="AX1058" s="14"/>
      <c r="AY1058" s="14"/>
      <c r="BA1058" s="1185">
        <f>'Sources and Uses Budget'!$S$104+'Sources and Uses Budget'!$T$104</f>
        <v>8902153</v>
      </c>
      <c r="BB1058" s="3" t="s">
        <v>2491</v>
      </c>
    </row>
    <row r="1059" spans="1:54" ht="12.95" customHeight="1">
      <c r="A1059" s="14"/>
      <c r="B1059" s="14"/>
      <c r="C1059" s="208"/>
      <c r="D1059" s="858"/>
      <c r="E1059" s="858"/>
      <c r="F1059" s="858"/>
      <c r="G1059" s="1350"/>
      <c r="H1059" s="1350"/>
      <c r="I1059" s="1350"/>
      <c r="J1059" s="1350"/>
      <c r="K1059" s="1350"/>
      <c r="L1059" s="1350"/>
      <c r="M1059" s="1350"/>
      <c r="N1059" s="1350"/>
      <c r="O1059" s="1350"/>
      <c r="P1059" s="1350"/>
      <c r="Q1059" s="1350"/>
      <c r="R1059" s="1350"/>
      <c r="S1059" s="1350"/>
      <c r="T1059" s="1350"/>
      <c r="U1059" s="1350"/>
      <c r="V1059" s="1350"/>
      <c r="W1059" s="1350"/>
      <c r="X1059" s="1350"/>
      <c r="Y1059" s="1350"/>
      <c r="Z1059" s="1350"/>
      <c r="AA1059" s="1350"/>
      <c r="AB1059" s="1350"/>
      <c r="AC1059" s="1350"/>
      <c r="AD1059" s="1350"/>
      <c r="AE1059" s="1350"/>
      <c r="AF1059" s="1350"/>
      <c r="AG1059" s="1350"/>
      <c r="AH1059" s="1350"/>
      <c r="AI1059" s="1350"/>
      <c r="AJ1059" s="1350"/>
      <c r="AK1059" s="1350"/>
      <c r="AL1059" s="1350"/>
      <c r="AM1059" s="1350"/>
      <c r="AN1059" s="1350"/>
      <c r="AO1059" s="68"/>
      <c r="AP1059" s="68"/>
      <c r="AQ1059" s="68"/>
      <c r="AR1059" s="68"/>
      <c r="AS1059" s="68"/>
      <c r="AT1059" s="68"/>
      <c r="AU1059" s="68"/>
      <c r="AV1059" s="14"/>
      <c r="AW1059" s="14"/>
      <c r="AX1059" s="14"/>
      <c r="AY1059" s="14"/>
      <c r="BA1059" s="1186">
        <f>MAX($BA$1058-$BA$1055,0)</f>
        <v>6402153</v>
      </c>
      <c r="BB1059" s="3" t="s">
        <v>2492</v>
      </c>
    </row>
    <row r="1060" spans="1:54" ht="12.95" customHeight="1">
      <c r="A1060" s="88"/>
      <c r="B1060" s="1172"/>
      <c r="C1060" s="1172"/>
      <c r="D1060" s="1172"/>
      <c r="E1060" s="1172"/>
      <c r="F1060" s="1172"/>
      <c r="G1060" s="1350"/>
      <c r="H1060" s="1350"/>
      <c r="I1060" s="1350"/>
      <c r="J1060" s="1350"/>
      <c r="K1060" s="1350"/>
      <c r="L1060" s="1350"/>
      <c r="M1060" s="1350"/>
      <c r="N1060" s="1350"/>
      <c r="O1060" s="1350"/>
      <c r="P1060" s="1350"/>
      <c r="Q1060" s="1350"/>
      <c r="R1060" s="1350"/>
      <c r="S1060" s="1350"/>
      <c r="T1060" s="1350"/>
      <c r="U1060" s="1350"/>
      <c r="V1060" s="1350"/>
      <c r="W1060" s="1350"/>
      <c r="X1060" s="1350"/>
      <c r="Y1060" s="1350"/>
      <c r="Z1060" s="1350"/>
      <c r="AA1060" s="1350"/>
      <c r="AB1060" s="1350"/>
      <c r="AC1060" s="1350"/>
      <c r="AD1060" s="1350"/>
      <c r="AE1060" s="1350"/>
      <c r="AF1060" s="1350"/>
      <c r="AG1060" s="1350"/>
      <c r="AH1060" s="1350"/>
      <c r="AI1060" s="1350"/>
      <c r="AJ1060" s="1350"/>
      <c r="AK1060" s="1350"/>
      <c r="AL1060" s="1350"/>
      <c r="AM1060" s="1350"/>
      <c r="AN1060" s="1350"/>
      <c r="AO1060" s="1172"/>
      <c r="AP1060" s="1172"/>
      <c r="AQ1060" s="68"/>
      <c r="AR1060" s="68"/>
      <c r="AS1060" s="68"/>
      <c r="AT1060" s="68"/>
      <c r="AU1060" s="68"/>
      <c r="AV1060" s="68"/>
      <c r="AW1060" s="68"/>
      <c r="AX1060" s="68"/>
      <c r="AY1060" s="68"/>
    </row>
    <row r="1061" spans="1:54" ht="12.95" customHeight="1">
      <c r="A1061" s="1845" t="s">
        <v>793</v>
      </c>
      <c r="B1061" s="1845"/>
      <c r="C1061" s="1845"/>
      <c r="D1061" s="1845"/>
      <c r="E1061" s="1845"/>
      <c r="F1061" s="1845"/>
      <c r="G1061" s="1845"/>
      <c r="H1061" s="1845"/>
      <c r="I1061" s="1845"/>
      <c r="J1061" s="1845"/>
      <c r="K1061" s="1845"/>
      <c r="L1061" s="1845"/>
      <c r="M1061" s="1845"/>
      <c r="N1061" s="1845"/>
      <c r="O1061" s="1845"/>
      <c r="P1061" s="1845"/>
      <c r="Q1061" s="1845"/>
      <c r="R1061" s="1845"/>
      <c r="S1061" s="1845"/>
      <c r="T1061" s="1845"/>
      <c r="U1061" s="1845"/>
      <c r="V1061" s="1845"/>
      <c r="W1061" s="1845"/>
      <c r="X1061" s="1845"/>
      <c r="Y1061" s="1845"/>
      <c r="Z1061" s="1845"/>
      <c r="AA1061" s="1845"/>
      <c r="AB1061" s="1845"/>
      <c r="AC1061" s="1845"/>
      <c r="AD1061" s="1845"/>
      <c r="AE1061" s="1845"/>
      <c r="AF1061" s="1845"/>
      <c r="AG1061" s="1845"/>
      <c r="AH1061" s="1845"/>
      <c r="AI1061" s="1845"/>
      <c r="AJ1061" s="1845"/>
      <c r="AK1061" s="1845"/>
      <c r="AL1061" s="1845"/>
      <c r="AM1061" s="1845"/>
      <c r="AN1061" s="1845"/>
      <c r="AO1061" s="1845"/>
      <c r="AP1061" s="1845"/>
      <c r="AQ1061" s="184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508" t="s">
        <v>591</v>
      </c>
      <c r="B1065" s="1508"/>
      <c r="C1065" s="1852">
        <v>1</v>
      </c>
      <c r="D1065" s="1852"/>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508" t="s">
        <v>591</v>
      </c>
      <c r="B1067" s="1508"/>
      <c r="C1067" s="1852">
        <v>2</v>
      </c>
      <c r="D1067" s="1852"/>
      <c r="E1067" s="1854" t="s">
        <v>2235</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2.95"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2.95"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508" t="s">
        <v>591</v>
      </c>
      <c r="B1070" s="1508"/>
      <c r="C1070" s="1426">
        <v>3</v>
      </c>
      <c r="D1070" s="1426"/>
      <c r="E1070" s="1334" t="s">
        <v>1078</v>
      </c>
      <c r="F1070" s="1334"/>
      <c r="G1070" s="1334"/>
      <c r="H1070" s="1334"/>
      <c r="I1070" s="1334"/>
      <c r="J1070" s="1334"/>
      <c r="K1070" s="1334"/>
      <c r="L1070" s="1334"/>
      <c r="M1070" s="1334"/>
      <c r="N1070" s="1334"/>
      <c r="O1070" s="1334"/>
      <c r="P1070" s="1334"/>
      <c r="Q1070" s="1334"/>
      <c r="R1070" s="1334"/>
      <c r="S1070" s="1334"/>
      <c r="T1070" s="1334"/>
      <c r="U1070" s="1334"/>
      <c r="V1070" s="1334"/>
      <c r="W1070" s="1334"/>
      <c r="X1070" s="1334"/>
      <c r="Y1070" s="1334"/>
      <c r="Z1070" s="1334"/>
      <c r="AA1070" s="1334"/>
      <c r="AB1070" s="1334"/>
      <c r="AC1070" s="1334"/>
      <c r="AD1070" s="1334"/>
      <c r="AE1070" s="1334"/>
      <c r="AF1070" s="1334"/>
      <c r="AG1070" s="1334"/>
      <c r="AH1070" s="1334"/>
      <c r="AI1070" s="1334"/>
      <c r="AJ1070" s="1334"/>
      <c r="AK1070" s="1334"/>
      <c r="AL1070" s="1334"/>
      <c r="AM1070" s="1334"/>
      <c r="AN1070" s="1334"/>
      <c r="AO1070" s="1334"/>
      <c r="AP1070" s="1334"/>
      <c r="AQ1070" s="1334"/>
      <c r="AR1070" s="1334"/>
      <c r="AS1070" s="14"/>
      <c r="AT1070" s="68"/>
      <c r="AV1070" s="68"/>
      <c r="AW1070" s="68"/>
      <c r="AX1070" s="68"/>
      <c r="AY1070" s="68"/>
    </row>
    <row r="1071" spans="1:54" ht="12.95" customHeight="1">
      <c r="A1071" s="1"/>
      <c r="B1071" s="1"/>
      <c r="C1071" s="1426"/>
      <c r="D1071" s="1426"/>
      <c r="E1071" s="1334"/>
      <c r="F1071" s="1334"/>
      <c r="G1071" s="1334"/>
      <c r="H1071" s="1334"/>
      <c r="I1071" s="1334"/>
      <c r="J1071" s="1334"/>
      <c r="K1071" s="1334"/>
      <c r="L1071" s="1334"/>
      <c r="M1071" s="1334"/>
      <c r="N1071" s="1334"/>
      <c r="O1071" s="1334"/>
      <c r="P1071" s="1334"/>
      <c r="Q1071" s="1334"/>
      <c r="R1071" s="1334"/>
      <c r="S1071" s="1334"/>
      <c r="T1071" s="1334"/>
      <c r="U1071" s="1334"/>
      <c r="V1071" s="1334"/>
      <c r="W1071" s="1334"/>
      <c r="X1071" s="1334"/>
      <c r="Y1071" s="1334"/>
      <c r="Z1071" s="1334"/>
      <c r="AA1071" s="1334"/>
      <c r="AB1071" s="1334"/>
      <c r="AC1071" s="1334"/>
      <c r="AD1071" s="1334"/>
      <c r="AE1071" s="1334"/>
      <c r="AF1071" s="1334"/>
      <c r="AG1071" s="1334"/>
      <c r="AH1071" s="1334"/>
      <c r="AI1071" s="1334"/>
      <c r="AJ1071" s="1334"/>
      <c r="AK1071" s="1334"/>
      <c r="AL1071" s="1334"/>
      <c r="AM1071" s="1334"/>
      <c r="AN1071" s="1334"/>
      <c r="AO1071" s="1334"/>
      <c r="AP1071" s="1334"/>
      <c r="AQ1071" s="1334"/>
      <c r="AR1071" s="1334"/>
      <c r="AS1071" s="14"/>
      <c r="AT1071" s="68"/>
      <c r="AV1071" s="68"/>
      <c r="AW1071" s="68"/>
      <c r="AX1071" s="68"/>
      <c r="AY1071" s="68"/>
    </row>
    <row r="1072" spans="1:54" ht="12.95" customHeight="1">
      <c r="A1072" s="1"/>
      <c r="B1072" s="1"/>
      <c r="C1072" s="1426"/>
      <c r="D1072" s="1426"/>
      <c r="E1072" s="1334"/>
      <c r="F1072" s="1334"/>
      <c r="G1072" s="1334"/>
      <c r="H1072" s="1334"/>
      <c r="I1072" s="1334"/>
      <c r="J1072" s="1334"/>
      <c r="K1072" s="1334"/>
      <c r="L1072" s="1334"/>
      <c r="M1072" s="1334"/>
      <c r="N1072" s="1334"/>
      <c r="O1072" s="1334"/>
      <c r="P1072" s="1334"/>
      <c r="Q1072" s="1334"/>
      <c r="R1072" s="1334"/>
      <c r="S1072" s="1334"/>
      <c r="T1072" s="1334"/>
      <c r="U1072" s="1334"/>
      <c r="V1072" s="1334"/>
      <c r="W1072" s="1334"/>
      <c r="X1072" s="1334"/>
      <c r="Y1072" s="1334"/>
      <c r="Z1072" s="1334"/>
      <c r="AA1072" s="1334"/>
      <c r="AB1072" s="1334"/>
      <c r="AC1072" s="1334"/>
      <c r="AD1072" s="1334"/>
      <c r="AE1072" s="1334"/>
      <c r="AF1072" s="1334"/>
      <c r="AG1072" s="1334"/>
      <c r="AH1072" s="1334"/>
      <c r="AI1072" s="1334"/>
      <c r="AJ1072" s="1334"/>
      <c r="AK1072" s="1334"/>
      <c r="AL1072" s="1334"/>
      <c r="AM1072" s="1334"/>
      <c r="AN1072" s="1334"/>
      <c r="AO1072" s="1334"/>
      <c r="AP1072" s="1334"/>
      <c r="AQ1072" s="1334"/>
      <c r="AR1072" s="1334"/>
      <c r="AS1072" s="14"/>
      <c r="AT1072" s="68"/>
      <c r="AV1072" s="68"/>
      <c r="AW1072" s="68"/>
      <c r="AX1072" s="68"/>
      <c r="AY1072" s="68"/>
    </row>
    <row r="1073" spans="1:51" ht="12.95" customHeight="1">
      <c r="A1073" s="1"/>
      <c r="B1073" s="1"/>
      <c r="C1073" s="1426"/>
      <c r="D1073" s="1426"/>
      <c r="E1073" s="1334"/>
      <c r="F1073" s="1334"/>
      <c r="G1073" s="1334"/>
      <c r="H1073" s="1334"/>
      <c r="I1073" s="1334"/>
      <c r="J1073" s="1334"/>
      <c r="K1073" s="1334"/>
      <c r="L1073" s="1334"/>
      <c r="M1073" s="1334"/>
      <c r="N1073" s="1334"/>
      <c r="O1073" s="1334"/>
      <c r="P1073" s="1334"/>
      <c r="Q1073" s="1334"/>
      <c r="R1073" s="1334"/>
      <c r="S1073" s="1334"/>
      <c r="T1073" s="1334"/>
      <c r="U1073" s="1334"/>
      <c r="V1073" s="1334"/>
      <c r="W1073" s="1334"/>
      <c r="X1073" s="1334"/>
      <c r="Y1073" s="1334"/>
      <c r="Z1073" s="1334"/>
      <c r="AA1073" s="1334"/>
      <c r="AB1073" s="1334"/>
      <c r="AC1073" s="1334"/>
      <c r="AD1073" s="1334"/>
      <c r="AE1073" s="1334"/>
      <c r="AF1073" s="1334"/>
      <c r="AG1073" s="1334"/>
      <c r="AH1073" s="1334"/>
      <c r="AI1073" s="1334"/>
      <c r="AJ1073" s="1334"/>
      <c r="AK1073" s="1334"/>
      <c r="AL1073" s="1334"/>
      <c r="AM1073" s="1334"/>
      <c r="AN1073" s="1334"/>
      <c r="AO1073" s="1334"/>
      <c r="AP1073" s="1334"/>
      <c r="AQ1073" s="1334"/>
      <c r="AR1073" s="1334"/>
      <c r="AS1073" s="14"/>
      <c r="AT1073" s="68"/>
      <c r="AV1073" s="68"/>
      <c r="AW1073" s="68"/>
      <c r="AX1073" s="68"/>
      <c r="AY1073" s="68"/>
    </row>
    <row r="1074" spans="1:51" ht="12.95" customHeight="1">
      <c r="A1074" s="2"/>
      <c r="B1074" s="25"/>
      <c r="C1074" s="1426"/>
      <c r="D1074" s="142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508" t="s">
        <v>591</v>
      </c>
      <c r="B1075" s="1508"/>
      <c r="C1075" s="1426">
        <v>4</v>
      </c>
      <c r="D1075" s="1426"/>
      <c r="E1075" s="1334" t="s">
        <v>1077</v>
      </c>
      <c r="F1075" s="1334"/>
      <c r="G1075" s="1334"/>
      <c r="H1075" s="1334"/>
      <c r="I1075" s="1334"/>
      <c r="J1075" s="1334"/>
      <c r="K1075" s="1334"/>
      <c r="L1075" s="1334"/>
      <c r="M1075" s="1334"/>
      <c r="N1075" s="1334"/>
      <c r="O1075" s="1334"/>
      <c r="P1075" s="1334"/>
      <c r="Q1075" s="1334"/>
      <c r="R1075" s="1334"/>
      <c r="S1075" s="1334"/>
      <c r="T1075" s="1334"/>
      <c r="U1075" s="1334"/>
      <c r="V1075" s="1334"/>
      <c r="W1075" s="1334"/>
      <c r="X1075" s="1334"/>
      <c r="Y1075" s="1334"/>
      <c r="Z1075" s="1334"/>
      <c r="AA1075" s="1334"/>
      <c r="AB1075" s="1334"/>
      <c r="AC1075" s="1334"/>
      <c r="AD1075" s="1334"/>
      <c r="AE1075" s="1334"/>
      <c r="AF1075" s="1334"/>
      <c r="AG1075" s="1334"/>
      <c r="AH1075" s="1334"/>
      <c r="AI1075" s="1334"/>
      <c r="AJ1075" s="1334"/>
      <c r="AK1075" s="1334"/>
      <c r="AL1075" s="1334"/>
      <c r="AM1075" s="1334"/>
      <c r="AN1075" s="1334"/>
      <c r="AO1075" s="1334"/>
      <c r="AP1075" s="1334"/>
      <c r="AQ1075" s="1334"/>
      <c r="AR1075" s="1334"/>
      <c r="AS1075" s="14"/>
      <c r="AT1075" s="68"/>
    </row>
    <row r="1076" spans="1:51" ht="12.95" customHeight="1">
      <c r="A1076" s="1"/>
      <c r="B1076" s="1"/>
      <c r="C1076" s="1426"/>
      <c r="D1076" s="1426"/>
      <c r="E1076" s="1334"/>
      <c r="F1076" s="1334"/>
      <c r="G1076" s="1334"/>
      <c r="H1076" s="1334"/>
      <c r="I1076" s="1334"/>
      <c r="J1076" s="1334"/>
      <c r="K1076" s="1334"/>
      <c r="L1076" s="1334"/>
      <c r="M1076" s="1334"/>
      <c r="N1076" s="1334"/>
      <c r="O1076" s="1334"/>
      <c r="P1076" s="1334"/>
      <c r="Q1076" s="1334"/>
      <c r="R1076" s="1334"/>
      <c r="S1076" s="1334"/>
      <c r="T1076" s="1334"/>
      <c r="U1076" s="1334"/>
      <c r="V1076" s="1334"/>
      <c r="W1076" s="1334"/>
      <c r="X1076" s="1334"/>
      <c r="Y1076" s="1334"/>
      <c r="Z1076" s="1334"/>
      <c r="AA1076" s="1334"/>
      <c r="AB1076" s="1334"/>
      <c r="AC1076" s="1334"/>
      <c r="AD1076" s="1334"/>
      <c r="AE1076" s="1334"/>
      <c r="AF1076" s="1334"/>
      <c r="AG1076" s="1334"/>
      <c r="AH1076" s="1334"/>
      <c r="AI1076" s="1334"/>
      <c r="AJ1076" s="1334"/>
      <c r="AK1076" s="1334"/>
      <c r="AL1076" s="1334"/>
      <c r="AM1076" s="1334"/>
      <c r="AN1076" s="1334"/>
      <c r="AO1076" s="1334"/>
      <c r="AP1076" s="1334"/>
      <c r="AQ1076" s="1334"/>
      <c r="AR1076" s="1334"/>
      <c r="AS1076" s="14"/>
      <c r="AT1076" s="68"/>
    </row>
    <row r="1077" spans="1:51" ht="12.95" customHeight="1">
      <c r="A1077" s="1"/>
      <c r="B1077" s="1"/>
      <c r="C1077" s="1426"/>
      <c r="D1077" s="1426"/>
      <c r="E1077" s="1334"/>
      <c r="F1077" s="1334"/>
      <c r="G1077" s="1334"/>
      <c r="H1077" s="1334"/>
      <c r="I1077" s="1334"/>
      <c r="J1077" s="1334"/>
      <c r="K1077" s="1334"/>
      <c r="L1077" s="1334"/>
      <c r="M1077" s="1334"/>
      <c r="N1077" s="1334"/>
      <c r="O1077" s="1334"/>
      <c r="P1077" s="1334"/>
      <c r="Q1077" s="1334"/>
      <c r="R1077" s="1334"/>
      <c r="S1077" s="1334"/>
      <c r="T1077" s="1334"/>
      <c r="U1077" s="1334"/>
      <c r="V1077" s="1334"/>
      <c r="W1077" s="1334"/>
      <c r="X1077" s="1334"/>
      <c r="Y1077" s="1334"/>
      <c r="Z1077" s="1334"/>
      <c r="AA1077" s="1334"/>
      <c r="AB1077" s="1334"/>
      <c r="AC1077" s="1334"/>
      <c r="AD1077" s="1334"/>
      <c r="AE1077" s="1334"/>
      <c r="AF1077" s="1334"/>
      <c r="AG1077" s="1334"/>
      <c r="AH1077" s="1334"/>
      <c r="AI1077" s="1334"/>
      <c r="AJ1077" s="1334"/>
      <c r="AK1077" s="1334"/>
      <c r="AL1077" s="1334"/>
      <c r="AM1077" s="1334"/>
      <c r="AN1077" s="1334"/>
      <c r="AO1077" s="1334"/>
      <c r="AP1077" s="1334"/>
      <c r="AQ1077" s="1334"/>
      <c r="AR1077" s="1334"/>
      <c r="AS1077" s="14"/>
      <c r="AT1077" s="68"/>
    </row>
    <row r="1078" spans="1:51" ht="12.95" customHeight="1">
      <c r="A1078" s="1"/>
      <c r="B1078" s="1"/>
      <c r="C1078" s="1426"/>
      <c r="D1078" s="1426"/>
      <c r="E1078" s="1334"/>
      <c r="F1078" s="1334"/>
      <c r="G1078" s="1334"/>
      <c r="H1078" s="1334"/>
      <c r="I1078" s="1334"/>
      <c r="J1078" s="1334"/>
      <c r="K1078" s="1334"/>
      <c r="L1078" s="1334"/>
      <c r="M1078" s="1334"/>
      <c r="N1078" s="1334"/>
      <c r="O1078" s="1334"/>
      <c r="P1078" s="1334"/>
      <c r="Q1078" s="1334"/>
      <c r="R1078" s="1334"/>
      <c r="S1078" s="1334"/>
      <c r="T1078" s="1334"/>
      <c r="U1078" s="1334"/>
      <c r="V1078" s="1334"/>
      <c r="W1078" s="1334"/>
      <c r="X1078" s="1334"/>
      <c r="Y1078" s="1334"/>
      <c r="Z1078" s="1334"/>
      <c r="AA1078" s="1334"/>
      <c r="AB1078" s="1334"/>
      <c r="AC1078" s="1334"/>
      <c r="AD1078" s="1334"/>
      <c r="AE1078" s="1334"/>
      <c r="AF1078" s="1334"/>
      <c r="AG1078" s="1334"/>
      <c r="AH1078" s="1334"/>
      <c r="AI1078" s="1334"/>
      <c r="AJ1078" s="1334"/>
      <c r="AK1078" s="1334"/>
      <c r="AL1078" s="1334"/>
      <c r="AM1078" s="1334"/>
      <c r="AN1078" s="1334"/>
      <c r="AO1078" s="1334"/>
      <c r="AP1078" s="1334"/>
      <c r="AQ1078" s="1334"/>
      <c r="AR1078" s="1334"/>
      <c r="AS1078" s="14"/>
      <c r="AT1078" s="68"/>
    </row>
    <row r="1079" spans="1:51" ht="12.95" customHeight="1">
      <c r="A1079" s="1"/>
      <c r="B1079" s="1"/>
      <c r="C1079" s="1426"/>
      <c r="D1079" s="1426"/>
      <c r="E1079" s="1334"/>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row>
    <row r="1080" spans="1:51" ht="12.95" customHeight="1">
      <c r="A1080" s="1"/>
      <c r="B1080" s="1"/>
      <c r="C1080" s="1426"/>
      <c r="D1080" s="142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508" t="s">
        <v>591</v>
      </c>
      <c r="B1081" s="1508"/>
      <c r="C1081" s="1426">
        <v>5</v>
      </c>
      <c r="D1081" s="1426"/>
      <c r="E1081" s="1334" t="s">
        <v>2239</v>
      </c>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row>
    <row r="1082" spans="1:51" ht="12.95" customHeight="1">
      <c r="A1082" s="4"/>
      <c r="B1082" s="4"/>
      <c r="C1082" s="1426"/>
      <c r="D1082" s="1426"/>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row>
    <row r="1083" spans="1:51" ht="12.95" customHeight="1">
      <c r="A1083" s="4"/>
      <c r="B1083" s="4"/>
      <c r="C1083" s="1426"/>
      <c r="D1083" s="1426"/>
      <c r="E1083" s="1334"/>
      <c r="F1083" s="1334"/>
      <c r="G1083" s="1334"/>
      <c r="H1083" s="1334"/>
      <c r="I1083" s="1334"/>
      <c r="J1083" s="1334"/>
      <c r="K1083" s="1334"/>
      <c r="L1083" s="1334"/>
      <c r="M1083" s="1334"/>
      <c r="N1083" s="1334"/>
      <c r="O1083" s="1334"/>
      <c r="P1083" s="1334"/>
      <c r="Q1083" s="1334"/>
      <c r="R1083" s="1334"/>
      <c r="S1083" s="1334"/>
      <c r="T1083" s="1334"/>
      <c r="U1083" s="1334"/>
      <c r="V1083" s="1334"/>
      <c r="W1083" s="1334"/>
      <c r="X1083" s="1334"/>
      <c r="Y1083" s="1334"/>
      <c r="Z1083" s="1334"/>
      <c r="AA1083" s="1334"/>
      <c r="AB1083" s="1334"/>
      <c r="AC1083" s="1334"/>
      <c r="AD1083" s="1334"/>
      <c r="AE1083" s="1334"/>
      <c r="AF1083" s="1334"/>
      <c r="AG1083" s="1334"/>
      <c r="AH1083" s="1334"/>
      <c r="AI1083" s="1334"/>
      <c r="AJ1083" s="1334"/>
      <c r="AK1083" s="1334"/>
      <c r="AL1083" s="1334"/>
      <c r="AM1083" s="1334"/>
      <c r="AN1083" s="1334"/>
      <c r="AO1083" s="1334"/>
      <c r="AP1083" s="1334"/>
      <c r="AQ1083" s="1334"/>
      <c r="AR1083" s="1334"/>
      <c r="AS1083" s="14"/>
    </row>
    <row r="1084" spans="1:51" ht="12.95" customHeight="1">
      <c r="A1084" s="35"/>
      <c r="B1084" s="25"/>
      <c r="C1084" s="1426"/>
      <c r="D1084" s="142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508" t="s">
        <v>591</v>
      </c>
      <c r="B1085" s="1508"/>
      <c r="C1085" s="1426">
        <v>6</v>
      </c>
      <c r="D1085" s="1426"/>
      <c r="E1085" s="1334" t="s">
        <v>2240</v>
      </c>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row>
    <row r="1086" spans="1:51" ht="12.95" customHeight="1">
      <c r="A1086" s="1"/>
      <c r="B1086" s="1"/>
      <c r="C1086" s="1"/>
      <c r="D1086" s="1"/>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row>
    <row r="1087" spans="1:51" ht="12.95" customHeight="1">
      <c r="A1087" s="1"/>
      <c r="B1087" s="1"/>
      <c r="C1087" s="1426"/>
      <c r="D1087" s="1426"/>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row>
    <row r="1088" spans="1:51" ht="12.95" customHeight="1">
      <c r="A1088" s="35"/>
      <c r="B1088" s="25"/>
      <c r="C1088" s="1426"/>
      <c r="D1088" s="142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508" t="s">
        <v>591</v>
      </c>
      <c r="B1089" s="1508"/>
      <c r="C1089" s="1426">
        <v>7</v>
      </c>
      <c r="D1089" s="1426"/>
      <c r="E1089" s="1334" t="s">
        <v>2136</v>
      </c>
      <c r="F1089" s="1334"/>
      <c r="G1089" s="1334"/>
      <c r="H1089" s="1334"/>
      <c r="I1089" s="1334"/>
      <c r="J1089" s="1334"/>
      <c r="K1089" s="1334"/>
      <c r="L1089" s="1334"/>
      <c r="M1089" s="1334"/>
      <c r="N1089" s="1334"/>
      <c r="O1089" s="1334"/>
      <c r="P1089" s="1334"/>
      <c r="Q1089" s="1334"/>
      <c r="R1089" s="1334"/>
      <c r="S1089" s="1334"/>
      <c r="T1089" s="1334"/>
      <c r="U1089" s="1334"/>
      <c r="V1089" s="1334"/>
      <c r="W1089" s="1334"/>
      <c r="X1089" s="1334"/>
      <c r="Y1089" s="1334"/>
      <c r="Z1089" s="1334"/>
      <c r="AA1089" s="1334"/>
      <c r="AB1089" s="1334"/>
      <c r="AC1089" s="1334"/>
      <c r="AD1089" s="1334"/>
      <c r="AE1089" s="1334"/>
      <c r="AF1089" s="1334"/>
      <c r="AG1089" s="1334"/>
      <c r="AH1089" s="1334"/>
      <c r="AI1089" s="1334"/>
      <c r="AJ1089" s="1334"/>
      <c r="AK1089" s="1334"/>
      <c r="AL1089" s="1334"/>
      <c r="AM1089" s="1334"/>
      <c r="AN1089" s="1334"/>
      <c r="AO1089" s="1334"/>
      <c r="AP1089" s="1334"/>
      <c r="AQ1089" s="1334"/>
      <c r="AR1089" s="1334"/>
      <c r="AS1089" s="14"/>
    </row>
    <row r="1090" spans="1:45" ht="12.95" customHeight="1">
      <c r="A1090" s="1"/>
      <c r="B1090" s="1"/>
      <c r="C1090" s="1426"/>
      <c r="D1090" s="1426"/>
      <c r="E1090" s="1334"/>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2.95" customHeight="1">
      <c r="A1091" s="1"/>
      <c r="B1091" s="1"/>
      <c r="C1091" s="1426"/>
      <c r="D1091" s="1426"/>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2.95" customHeight="1">
      <c r="A1092" s="1"/>
      <c r="B1092" s="1"/>
      <c r="C1092" s="1426"/>
      <c r="D1092" s="142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26"/>
      <c r="D1093" s="142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508" t="s">
        <v>591</v>
      </c>
      <c r="B1094" s="1508"/>
      <c r="C1094" s="1426">
        <v>8</v>
      </c>
      <c r="D1094" s="1426"/>
      <c r="E1094" s="1334" t="s">
        <v>1071</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row>
    <row r="1095" spans="1:45" ht="12.95" customHeight="1">
      <c r="A1095" s="35"/>
      <c r="B1095" s="25"/>
      <c r="C1095" s="1426"/>
      <c r="D1095" s="1426"/>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row>
    <row r="1096" spans="1:45" ht="12.95" customHeight="1">
      <c r="A1096" s="35"/>
      <c r="B1096" s="25"/>
      <c r="C1096" s="1426"/>
      <c r="D1096" s="142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508" t="s">
        <v>591</v>
      </c>
      <c r="B1097" s="1508"/>
      <c r="C1097" s="1852">
        <v>9</v>
      </c>
      <c r="D1097" s="1852"/>
      <c r="E1097" s="1334" t="s">
        <v>1073</v>
      </c>
      <c r="F1097" s="1334"/>
      <c r="G1097" s="1334"/>
      <c r="H1097" s="1334"/>
      <c r="I1097" s="1334"/>
      <c r="J1097" s="1334"/>
      <c r="K1097" s="1334"/>
      <c r="L1097" s="1334"/>
      <c r="M1097" s="1334"/>
      <c r="N1097" s="1334"/>
      <c r="O1097" s="1334"/>
      <c r="P1097" s="1334"/>
      <c r="Q1097" s="1334"/>
      <c r="R1097" s="1334"/>
      <c r="S1097" s="1334"/>
      <c r="T1097" s="1334"/>
      <c r="U1097" s="1334"/>
      <c r="V1097" s="1334"/>
      <c r="W1097" s="1334"/>
      <c r="X1097" s="1334"/>
      <c r="Y1097" s="1334"/>
      <c r="Z1097" s="1334"/>
      <c r="AA1097" s="1334"/>
      <c r="AB1097" s="1334"/>
      <c r="AC1097" s="1334"/>
      <c r="AD1097" s="1334"/>
      <c r="AE1097" s="1334"/>
      <c r="AF1097" s="1334"/>
      <c r="AG1097" s="1334"/>
      <c r="AH1097" s="1334"/>
      <c r="AI1097" s="1334"/>
      <c r="AJ1097" s="1334"/>
      <c r="AK1097" s="1334"/>
      <c r="AL1097" s="1334"/>
      <c r="AM1097" s="1334"/>
      <c r="AN1097" s="1334"/>
      <c r="AO1097" s="1334"/>
      <c r="AP1097" s="1334"/>
      <c r="AQ1097" s="1334"/>
      <c r="AR1097" s="1334"/>
    </row>
    <row r="1098" spans="1:45" ht="12.95" customHeight="1">
      <c r="A1098" s="1"/>
      <c r="B1098" s="1"/>
      <c r="C1098" s="1852"/>
      <c r="D1098" s="1852"/>
      <c r="E1098" s="1334"/>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row>
    <row r="1099" spans="1:45" ht="12.95" customHeight="1">
      <c r="A1099" s="35"/>
      <c r="B1099" s="25"/>
      <c r="C1099" s="1852"/>
      <c r="D1099" s="1852"/>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508" t="s">
        <v>591</v>
      </c>
      <c r="B1100" s="1508"/>
      <c r="C1100" s="1852">
        <v>10</v>
      </c>
      <c r="D1100" s="1852"/>
      <c r="E1100" s="1853" t="s">
        <v>2236</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2.95" customHeight="1">
      <c r="A1101" s="1"/>
      <c r="B1101" s="1"/>
      <c r="C1101" s="199"/>
      <c r="D1101" s="1161"/>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508" t="s">
        <v>591</v>
      </c>
      <c r="B1103" s="1508"/>
      <c r="C1103" s="1852">
        <v>11</v>
      </c>
      <c r="D1103" s="1852"/>
      <c r="E1103" s="1853" t="s">
        <v>2238</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2.95" customHeight="1">
      <c r="A1104" s="1"/>
      <c r="B1104" s="1"/>
      <c r="C1104" s="199"/>
      <c r="D1104" s="1161"/>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508" t="s">
        <v>591</v>
      </c>
      <c r="B1125" s="1508"/>
      <c r="C1125" s="199">
        <v>9</v>
      </c>
      <c r="D1125" s="1266" t="s">
        <v>1072</v>
      </c>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row>
    <row r="1126" spans="1:37" ht="0" hidden="1" customHeight="1">
      <c r="A1126" s="35"/>
      <c r="B1126" s="25"/>
      <c r="C1126" s="199"/>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row>
    <row r="1127" spans="1:37" ht="0" hidden="1" customHeight="1">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68">
    <mergeCell ref="AA303:AK303"/>
    <mergeCell ref="AA304:AK304"/>
    <mergeCell ref="AA306:AK306"/>
    <mergeCell ref="AA305:AK305"/>
    <mergeCell ref="C1085:D1085"/>
    <mergeCell ref="C1087:D1087"/>
    <mergeCell ref="C1088:D1088"/>
    <mergeCell ref="H293:R293"/>
    <mergeCell ref="AA293:AK293"/>
    <mergeCell ref="H291:M291"/>
    <mergeCell ref="AA291:AF291"/>
    <mergeCell ref="H299:M299"/>
    <mergeCell ref="AA299:AF299"/>
    <mergeCell ref="H307:M307"/>
    <mergeCell ref="H315:M315"/>
    <mergeCell ref="H309:R309"/>
    <mergeCell ref="O154:AH154"/>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H289:R289"/>
    <mergeCell ref="H287:R287"/>
    <mergeCell ref="H290:R290"/>
    <mergeCell ref="AA290:AK290"/>
    <mergeCell ref="AA287:AK287"/>
    <mergeCell ref="AA289:AK289"/>
    <mergeCell ref="AA288:AK288"/>
    <mergeCell ref="H296:R296"/>
    <mergeCell ref="H295:R295"/>
    <mergeCell ref="AA296:AK296"/>
    <mergeCell ref="AA295:AK295"/>
    <mergeCell ref="AH254:AK254"/>
    <mergeCell ref="H292:M292"/>
    <mergeCell ref="T278:V278"/>
    <mergeCell ref="P291:R291"/>
    <mergeCell ref="P205:U205"/>
    <mergeCell ref="M239:AE239"/>
    <mergeCell ref="M245:T245"/>
    <mergeCell ref="M246:AE246"/>
    <mergeCell ref="AC245:AE245"/>
    <mergeCell ref="L279:AD279"/>
    <mergeCell ref="AI226:AJ226"/>
    <mergeCell ref="Z255:AE255"/>
    <mergeCell ref="M255:R255"/>
    <mergeCell ref="A282:AT283"/>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4:F744"/>
    <mergeCell ref="B745:F745"/>
    <mergeCell ref="K745:N745"/>
    <mergeCell ref="AK751:AO751"/>
    <mergeCell ref="F975:L975"/>
    <mergeCell ref="M975:S975"/>
    <mergeCell ref="D985:Q985"/>
    <mergeCell ref="D986:Q986"/>
    <mergeCell ref="AB985:AI985"/>
    <mergeCell ref="AB986:AI986"/>
    <mergeCell ref="AB987:AI987"/>
    <mergeCell ref="D987:Q987"/>
    <mergeCell ref="R989:AA989"/>
    <mergeCell ref="AJ989:AQ989"/>
    <mergeCell ref="AB957:AK957"/>
    <mergeCell ref="C1089:D1089"/>
    <mergeCell ref="C1090:D1090"/>
    <mergeCell ref="U929:Z929"/>
    <mergeCell ref="B746:F746"/>
    <mergeCell ref="B747:F747"/>
    <mergeCell ref="B748:F748"/>
    <mergeCell ref="B749:F749"/>
    <mergeCell ref="B750:F750"/>
    <mergeCell ref="T750:W750"/>
    <mergeCell ref="AE962:AK962"/>
    <mergeCell ref="M961:S961"/>
    <mergeCell ref="C757:AM758"/>
    <mergeCell ref="AA970:AG970"/>
    <mergeCell ref="AF1023:AI1024"/>
    <mergeCell ref="M970:S970"/>
    <mergeCell ref="AA971:AG971"/>
    <mergeCell ref="T972:Z9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H732:AJ732"/>
    <mergeCell ref="A69:AT70"/>
    <mergeCell ref="A72:AT73"/>
    <mergeCell ref="A544:AT545"/>
    <mergeCell ref="A480:AT481"/>
    <mergeCell ref="A351:AT35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M259:AE259"/>
    <mergeCell ref="L280:AD280"/>
    <mergeCell ref="L275:AD275"/>
    <mergeCell ref="H317:R317"/>
    <mergeCell ref="H301:R301"/>
    <mergeCell ref="AA301:AK301"/>
    <mergeCell ref="AA307:AF307"/>
    <mergeCell ref="AA309:AK309"/>
    <mergeCell ref="O156:AH156"/>
    <mergeCell ref="M630:P630"/>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T744:W744"/>
    <mergeCell ref="X721:AB721"/>
    <mergeCell ref="X727:AB727"/>
    <mergeCell ref="G728:J728"/>
    <mergeCell ref="O737:S737"/>
    <mergeCell ref="O738:S738"/>
    <mergeCell ref="T740:W740"/>
    <mergeCell ref="G741:J741"/>
    <mergeCell ref="T739:W739"/>
    <mergeCell ref="AC739:AG739"/>
    <mergeCell ref="O739:S739"/>
    <mergeCell ref="O740:S740"/>
    <mergeCell ref="K741:N741"/>
    <mergeCell ref="O736:S736"/>
    <mergeCell ref="K738:N738"/>
    <mergeCell ref="AK731:AO731"/>
    <mergeCell ref="G742:J742"/>
    <mergeCell ref="CP794:CT794"/>
    <mergeCell ref="CP795:CT795"/>
    <mergeCell ref="CP796:CT796"/>
    <mergeCell ref="CP793:CT793"/>
    <mergeCell ref="CP792:CT792"/>
    <mergeCell ref="CP791:CT791"/>
    <mergeCell ref="CP790:CT790"/>
    <mergeCell ref="AK723:AO723"/>
    <mergeCell ref="AK724:AO724"/>
    <mergeCell ref="AK725:AO725"/>
    <mergeCell ref="CP776:CT776"/>
    <mergeCell ref="AO637:AS637"/>
    <mergeCell ref="CP789:CT789"/>
    <mergeCell ref="CP777:CT777"/>
    <mergeCell ref="B737:F737"/>
    <mergeCell ref="B735:F735"/>
    <mergeCell ref="B738:F738"/>
    <mergeCell ref="K749:N749"/>
    <mergeCell ref="O749:S749"/>
    <mergeCell ref="X751:AB751"/>
    <mergeCell ref="K740:N740"/>
    <mergeCell ref="AC738:AG738"/>
    <mergeCell ref="AH753:AJ753"/>
    <mergeCell ref="AK745:AO745"/>
    <mergeCell ref="AK737:AO737"/>
    <mergeCell ref="X735:AB735"/>
    <mergeCell ref="X736:AB736"/>
    <mergeCell ref="T735:W735"/>
    <mergeCell ref="T734:W734"/>
    <mergeCell ref="AC727:AG727"/>
    <mergeCell ref="AC728:AG728"/>
    <mergeCell ref="AC732:AG732"/>
    <mergeCell ref="CZ753:DD753"/>
    <mergeCell ref="DJ775:DN775"/>
    <mergeCell ref="CU739:CY739"/>
    <mergeCell ref="EH655:EL655"/>
    <mergeCell ref="EM655:EQ655"/>
    <mergeCell ref="AH729:AJ729"/>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DE774:DI774"/>
    <mergeCell ref="CI753:CJ753"/>
    <mergeCell ref="CP753:CT753"/>
    <mergeCell ref="CK751:CL751"/>
    <mergeCell ref="CP775:CT775"/>
    <mergeCell ref="DO753:DS753"/>
    <mergeCell ref="DO773:DS773"/>
    <mergeCell ref="CP773:CT773"/>
    <mergeCell ref="CU752:CY752"/>
    <mergeCell ref="CU773:CY773"/>
    <mergeCell ref="DZ737:ED737"/>
    <mergeCell ref="EE753:EI753"/>
    <mergeCell ref="DE750:DI750"/>
    <mergeCell ref="DJ750:DN750"/>
    <mergeCell ref="DO774:DS774"/>
    <mergeCell ref="DU753:DY753"/>
    <mergeCell ref="DZ753:ED753"/>
    <mergeCell ref="EW660:FA660"/>
    <mergeCell ref="DX661:EB661"/>
    <mergeCell ref="ER662:EV662"/>
    <mergeCell ref="DU727:DY727"/>
    <mergeCell ref="EE726:EI726"/>
    <mergeCell ref="EJ726:EN726"/>
    <mergeCell ref="DO720:DS720"/>
    <mergeCell ref="DU718:DY718"/>
    <mergeCell ref="DU721:DY721"/>
    <mergeCell ref="EE721:EI721"/>
    <mergeCell ref="EJ721:EN721"/>
    <mergeCell ref="DZ721:ED721"/>
    <mergeCell ref="DZ722:ED722"/>
    <mergeCell ref="DU717:DY717"/>
    <mergeCell ref="DU719:DY719"/>
    <mergeCell ref="EE717:EI717"/>
    <mergeCell ref="DZ738:ED738"/>
    <mergeCell ref="EE738:EI738"/>
    <mergeCell ref="EJ738:EN738"/>
    <mergeCell ref="DE735:DI735"/>
    <mergeCell ref="DO732:DS732"/>
    <mergeCell ref="DJ734:DN734"/>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H647:EL64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DX645:EB645"/>
    <mergeCell ref="DU734:DY734"/>
    <mergeCell ref="DX648:EB648"/>
    <mergeCell ref="DU739:DY739"/>
    <mergeCell ref="DZ739:ED739"/>
    <mergeCell ref="EE739:EI739"/>
    <mergeCell ref="DJ751:DN751"/>
    <mergeCell ref="CZ745:DD745"/>
    <mergeCell ref="DE745:DI745"/>
    <mergeCell ref="CP738:CT738"/>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FO751:FS751"/>
    <mergeCell ref="CZ750:DD750"/>
    <mergeCell ref="CP747:CT747"/>
    <mergeCell ref="CZ775:DD775"/>
    <mergeCell ref="CZ776:DD776"/>
    <mergeCell ref="DU741:DY741"/>
    <mergeCell ref="DJ747:DN747"/>
    <mergeCell ref="DO747:DS747"/>
    <mergeCell ref="FO753:FS753"/>
    <mergeCell ref="FE748:FI748"/>
    <mergeCell ref="FJ748:FN748"/>
    <mergeCell ref="FO748:FS748"/>
    <mergeCell ref="EZ745:FD745"/>
    <mergeCell ref="EO747:ES747"/>
    <mergeCell ref="ET747:EX747"/>
    <mergeCell ref="DE776:DI776"/>
    <mergeCell ref="DJ746:DN746"/>
    <mergeCell ref="DO746:DS74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DO777:DS777"/>
    <mergeCell ref="DE773:DI773"/>
    <mergeCell ref="CZ777:DD777"/>
    <mergeCell ref="DE777:DI777"/>
    <mergeCell ref="DE775:DI775"/>
    <mergeCell ref="EZ753:FD753"/>
    <mergeCell ref="FE753:FI753"/>
    <mergeCell ref="EJ753:EN753"/>
    <mergeCell ref="DO754:DS754"/>
    <mergeCell ref="DE753:DI753"/>
    <mergeCell ref="DE751:DI751"/>
    <mergeCell ref="EE752:EI752"/>
    <mergeCell ref="CG745:CH745"/>
    <mergeCell ref="CI745:CJ745"/>
    <mergeCell ref="EO740:ES740"/>
    <mergeCell ref="EO753:ES753"/>
    <mergeCell ref="DJ776:DN776"/>
    <mergeCell ref="DO776:DS776"/>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EE751:EI751"/>
    <mergeCell ref="DU751:DY751"/>
    <mergeCell ref="DZ751:ED751"/>
    <mergeCell ref="DU752:DY752"/>
    <mergeCell ref="DZ752:ED752"/>
    <mergeCell ref="DJ752:DN752"/>
    <mergeCell ref="EJ735:EN735"/>
    <mergeCell ref="EO735:ES735"/>
    <mergeCell ref="DZ735:ED735"/>
    <mergeCell ref="FJ740:FN740"/>
    <mergeCell ref="ET737:EX737"/>
    <mergeCell ref="DO740:DS740"/>
    <mergeCell ref="DJ740:DN740"/>
    <mergeCell ref="DO751:DS751"/>
    <mergeCell ref="DO752:DS752"/>
    <mergeCell ref="EC637:EG637"/>
    <mergeCell ref="EH637:EL637"/>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DX651:EB651"/>
    <mergeCell ref="EC651:EG651"/>
    <mergeCell ref="EM648:EQ648"/>
    <mergeCell ref="ER649:EV649"/>
    <mergeCell ref="EM650:EQ650"/>
    <mergeCell ref="EZ720:FD720"/>
    <mergeCell ref="DX670:EB670"/>
    <mergeCell ref="EM664:EQ664"/>
    <mergeCell ref="ER664:EV664"/>
    <mergeCell ref="EC667:EG667"/>
    <mergeCell ref="EH667:EL667"/>
    <mergeCell ref="EM666:EQ666"/>
    <mergeCell ref="ER666:EV666"/>
    <mergeCell ref="EM647:EQ647"/>
    <mergeCell ref="FE720:FI720"/>
    <mergeCell ref="FJ720:FN720"/>
    <mergeCell ref="FO720:FS720"/>
    <mergeCell ref="EZ717:FD717"/>
    <mergeCell ref="FE717:FI717"/>
    <mergeCell ref="FJ717:FN717"/>
    <mergeCell ref="FO717:FS717"/>
    <mergeCell ref="EW670:FA670"/>
    <mergeCell ref="EW656:FA656"/>
    <mergeCell ref="DX653:EB653"/>
    <mergeCell ref="EC653:EG653"/>
    <mergeCell ref="DX654:EB654"/>
    <mergeCell ref="DX643:EB643"/>
    <mergeCell ref="DX640:EB640"/>
    <mergeCell ref="ER639:EV639"/>
    <mergeCell ref="DX644:EB644"/>
    <mergeCell ref="DX642:EB642"/>
    <mergeCell ref="ER651:EV651"/>
    <mergeCell ref="ER652:EV652"/>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68:EQ668"/>
    <mergeCell ref="DJ738:DN738"/>
    <mergeCell ref="EO737:ES737"/>
    <mergeCell ref="DU737:DY737"/>
    <mergeCell ref="DU735:DY735"/>
    <mergeCell ref="DO737:DS737"/>
    <mergeCell ref="DO738:DS738"/>
    <mergeCell ref="DZ733:ED733"/>
    <mergeCell ref="EM657:EQ657"/>
    <mergeCell ref="ET717:EX717"/>
    <mergeCell ref="EE729:EI729"/>
    <mergeCell ref="EO731:ES731"/>
    <mergeCell ref="DZ724:ED724"/>
    <mergeCell ref="ET723:EX723"/>
    <mergeCell ref="EE725:EI725"/>
    <mergeCell ref="EO721:ES721"/>
    <mergeCell ref="EO720:ES720"/>
    <mergeCell ref="EM670:EQ670"/>
    <mergeCell ref="DU729:DY729"/>
    <mergeCell ref="DJ730:DN730"/>
    <mergeCell ref="DX664:EB664"/>
    <mergeCell ref="EC664:EG664"/>
    <mergeCell ref="EH664:EL664"/>
    <mergeCell ref="DU732:DY732"/>
    <mergeCell ref="DU736:DY736"/>
    <mergeCell ref="DU733:DY733"/>
    <mergeCell ref="EO719:ES719"/>
    <mergeCell ref="ET719:EX719"/>
    <mergeCell ref="EJ722:EN722"/>
    <mergeCell ref="ER669:EV669"/>
    <mergeCell ref="ER668:EV668"/>
    <mergeCell ref="EW668:FA668"/>
    <mergeCell ref="EW664:FA664"/>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Z732:ED732"/>
    <mergeCell ref="EE732:EI732"/>
    <mergeCell ref="EJ732:EN732"/>
    <mergeCell ref="EE737:EI737"/>
    <mergeCell ref="EJ737:EN737"/>
    <mergeCell ref="FE736:FI736"/>
    <mergeCell ref="FJ736:FN736"/>
    <mergeCell ref="ET731:EX731"/>
    <mergeCell ref="EJ727:EN727"/>
    <mergeCell ref="EO729:ES729"/>
    <mergeCell ref="EO732:ES732"/>
    <mergeCell ref="ET729:EX729"/>
    <mergeCell ref="ET736:EX736"/>
    <mergeCell ref="EE735:EI735"/>
    <mergeCell ref="FJ721:FN721"/>
    <mergeCell ref="FO721:FS721"/>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J733:FN733"/>
    <mergeCell ref="FO733:FS733"/>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D1022:AE1023"/>
    <mergeCell ref="D988:Q988"/>
    <mergeCell ref="D989:Q989"/>
    <mergeCell ref="R988:AA988"/>
    <mergeCell ref="O974:P974"/>
    <mergeCell ref="AJ1053:AQ1053"/>
    <mergeCell ref="D1045:AE1045"/>
    <mergeCell ref="D1014:AE1015"/>
    <mergeCell ref="AG1045:AH1045"/>
    <mergeCell ref="D1017:AE1019"/>
    <mergeCell ref="AG1032:AH1032"/>
    <mergeCell ref="D1036:AE1036"/>
    <mergeCell ref="AG1041:AH1041"/>
    <mergeCell ref="AG1036:AH1036"/>
    <mergeCell ref="D1026:AE1028"/>
    <mergeCell ref="AJ1029:AQ1031"/>
    <mergeCell ref="D1029:AE1029"/>
    <mergeCell ref="R990:AA990"/>
    <mergeCell ref="J957:S957"/>
    <mergeCell ref="AJ990:AQ990"/>
    <mergeCell ref="AE959:AK959"/>
    <mergeCell ref="W974:AG974"/>
    <mergeCell ref="M973:S973"/>
    <mergeCell ref="M972:S972"/>
    <mergeCell ref="D1046:AE1047"/>
    <mergeCell ref="AJ1045:AQ1048"/>
    <mergeCell ref="AJ1049:AQ1052"/>
    <mergeCell ref="AF1014:AI1015"/>
    <mergeCell ref="D1007:AE1007"/>
    <mergeCell ref="D990:Q990"/>
    <mergeCell ref="AB989:AI989"/>
    <mergeCell ref="AB990:AI99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AA931:AF931"/>
    <mergeCell ref="U932:Z932"/>
    <mergeCell ref="AA932:AF932"/>
    <mergeCell ref="F938:T938"/>
    <mergeCell ref="AG1029:AH1029"/>
    <mergeCell ref="D1037:AE1040"/>
    <mergeCell ref="AJ1036:AQ1040"/>
    <mergeCell ref="D1041:AE1041"/>
    <mergeCell ref="D1042:AE1044"/>
    <mergeCell ref="AJ1041:AQ1044"/>
    <mergeCell ref="D1030:AE1031"/>
    <mergeCell ref="AB988:AI988"/>
    <mergeCell ref="R986:AA986"/>
    <mergeCell ref="M959:S959"/>
    <mergeCell ref="B991:AA991"/>
    <mergeCell ref="D994:AE994"/>
    <mergeCell ref="D1000:AE1000"/>
    <mergeCell ref="U935:Z935"/>
    <mergeCell ref="AA923:AF923"/>
    <mergeCell ref="AB917:AE917"/>
    <mergeCell ref="AA922:AF922"/>
    <mergeCell ref="M958:S958"/>
    <mergeCell ref="AA972:AG972"/>
    <mergeCell ref="AA920:AF920"/>
    <mergeCell ref="AA919:AF919"/>
    <mergeCell ref="U925:Z925"/>
    <mergeCell ref="B992:AI992"/>
    <mergeCell ref="R987:AA987"/>
    <mergeCell ref="AA947:AF947"/>
    <mergeCell ref="M968:S968"/>
    <mergeCell ref="F932:T932"/>
    <mergeCell ref="AA939:AF939"/>
    <mergeCell ref="AA940:AF940"/>
    <mergeCell ref="M955:S955"/>
    <mergeCell ref="AA967:AG967"/>
    <mergeCell ref="F928:T928"/>
    <mergeCell ref="U926:Z926"/>
    <mergeCell ref="AA926:AF926"/>
    <mergeCell ref="U927:Z927"/>
    <mergeCell ref="AA927:AF927"/>
    <mergeCell ref="F929:T929"/>
    <mergeCell ref="B993:AE993"/>
    <mergeCell ref="AH752:AJ752"/>
    <mergeCell ref="AH751:AJ751"/>
    <mergeCell ref="G753:J753"/>
    <mergeCell ref="W634:Y634"/>
    <mergeCell ref="AK720:AO720"/>
    <mergeCell ref="AH736:AJ736"/>
    <mergeCell ref="G730:J730"/>
    <mergeCell ref="G743:J743"/>
    <mergeCell ref="G737:J737"/>
    <mergeCell ref="G735:J735"/>
    <mergeCell ref="K743:N743"/>
    <mergeCell ref="O743:S743"/>
    <mergeCell ref="T743:W743"/>
    <mergeCell ref="K728:N728"/>
    <mergeCell ref="X732:AB732"/>
    <mergeCell ref="K734:N734"/>
    <mergeCell ref="AH733:AJ733"/>
    <mergeCell ref="O731:S731"/>
    <mergeCell ref="X731:AB731"/>
    <mergeCell ref="Q637:S637"/>
    <mergeCell ref="C636:L636"/>
    <mergeCell ref="N665:O665"/>
    <mergeCell ref="AA656:AK656"/>
    <mergeCell ref="X733:AB733"/>
    <mergeCell ref="G732:J732"/>
    <mergeCell ref="AH735:AJ735"/>
    <mergeCell ref="X734:AB734"/>
    <mergeCell ref="X724:AB724"/>
    <mergeCell ref="AH737:AJ737"/>
    <mergeCell ref="AH738:AJ738"/>
    <mergeCell ref="AH741:AJ741"/>
    <mergeCell ref="AK740:AO740"/>
    <mergeCell ref="O752:S752"/>
    <mergeCell ref="X774:AB774"/>
    <mergeCell ref="J788:N788"/>
    <mergeCell ref="T773:W773"/>
    <mergeCell ref="AC747:AG747"/>
    <mergeCell ref="J773:N773"/>
    <mergeCell ref="O773:S773"/>
    <mergeCell ref="T752:W752"/>
    <mergeCell ref="J776:N776"/>
    <mergeCell ref="B739:F739"/>
    <mergeCell ref="B751:F751"/>
    <mergeCell ref="AC736:AG736"/>
    <mergeCell ref="AK721:AO721"/>
    <mergeCell ref="G645:R645"/>
    <mergeCell ref="AI663:AK663"/>
    <mergeCell ref="P671:R671"/>
    <mergeCell ref="O732:S732"/>
    <mergeCell ref="X722:AB722"/>
    <mergeCell ref="Z685:AK685"/>
    <mergeCell ref="AK752:AO752"/>
    <mergeCell ref="O741:S741"/>
    <mergeCell ref="K744:N744"/>
    <mergeCell ref="O744:S744"/>
    <mergeCell ref="K746:N746"/>
    <mergeCell ref="T751:W751"/>
    <mergeCell ref="K748:N748"/>
    <mergeCell ref="AD759:AF759"/>
    <mergeCell ref="O776:S776"/>
    <mergeCell ref="O769:S772"/>
    <mergeCell ref="B754:AH755"/>
    <mergeCell ref="B740:F740"/>
    <mergeCell ref="X747:AB747"/>
    <mergeCell ref="G746:J746"/>
    <mergeCell ref="G747:J747"/>
    <mergeCell ref="G748:J748"/>
    <mergeCell ref="G749:J749"/>
    <mergeCell ref="G750:J750"/>
    <mergeCell ref="G751:J751"/>
    <mergeCell ref="K742:N742"/>
    <mergeCell ref="O742:S742"/>
    <mergeCell ref="M632:P632"/>
    <mergeCell ref="Q633:S633"/>
    <mergeCell ref="AC634:AE634"/>
    <mergeCell ref="Q631:S631"/>
    <mergeCell ref="T632:V632"/>
    <mergeCell ref="T633:V633"/>
    <mergeCell ref="T736:W736"/>
    <mergeCell ref="O720:S720"/>
    <mergeCell ref="Z603:AK603"/>
    <mergeCell ref="T630:V630"/>
    <mergeCell ref="T631:V631"/>
    <mergeCell ref="AC628:AE628"/>
    <mergeCell ref="C629:L629"/>
    <mergeCell ref="T629:V629"/>
    <mergeCell ref="Q632:S632"/>
    <mergeCell ref="Q624:S626"/>
    <mergeCell ref="O719:S719"/>
    <mergeCell ref="W636:Y636"/>
    <mergeCell ref="AA680:AK680"/>
    <mergeCell ref="Z675:AK675"/>
    <mergeCell ref="T737:W737"/>
    <mergeCell ref="X739:AB739"/>
    <mergeCell ref="B641:AN641"/>
    <mergeCell ref="G643:R643"/>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O746:S746"/>
    <mergeCell ref="T746:W746"/>
    <mergeCell ref="AK750:AO750"/>
    <mergeCell ref="B752:F752"/>
    <mergeCell ref="O750:S750"/>
    <mergeCell ref="U823:X824"/>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U946:Z946"/>
    <mergeCell ref="AA944:AF944"/>
    <mergeCell ref="W843:AC843"/>
    <mergeCell ref="AA928:AF928"/>
    <mergeCell ref="AA936:AF936"/>
    <mergeCell ref="U943:Z943"/>
    <mergeCell ref="U941:Z941"/>
    <mergeCell ref="AA943:AF943"/>
    <mergeCell ref="AC885:AH885"/>
    <mergeCell ref="W861:AC861"/>
    <mergeCell ref="C895:AB895"/>
    <mergeCell ref="U915:Z917"/>
    <mergeCell ref="U950:Z950"/>
    <mergeCell ref="U920:Z920"/>
    <mergeCell ref="F916:T917"/>
    <mergeCell ref="F939:T939"/>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I949:T949"/>
    <mergeCell ref="U938:Z938"/>
    <mergeCell ref="U928:Z928"/>
    <mergeCell ref="U948:Z948"/>
    <mergeCell ref="A910:AT911"/>
    <mergeCell ref="F936:T936"/>
    <mergeCell ref="M878:V878"/>
    <mergeCell ref="Q825:T825"/>
    <mergeCell ref="W870:AC870"/>
    <mergeCell ref="F946:H946"/>
    <mergeCell ref="F926:T926"/>
    <mergeCell ref="F927:T927"/>
    <mergeCell ref="Y830:AB83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825:X825"/>
    <mergeCell ref="Z814:AE814"/>
    <mergeCell ref="CG742:CH742"/>
    <mergeCell ref="CG743:CH743"/>
    <mergeCell ref="Y827:AB827"/>
    <mergeCell ref="AG827:AJ827"/>
    <mergeCell ref="DJ737:DN737"/>
    <mergeCell ref="DJ735:DN735"/>
    <mergeCell ref="CU740:CY740"/>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CZ720:DD720"/>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DZ731:ED731"/>
    <mergeCell ref="EE734:EI734"/>
    <mergeCell ref="DU731:DY731"/>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J718:EN718"/>
    <mergeCell ref="O725:S725"/>
    <mergeCell ref="O726:S726"/>
    <mergeCell ref="X730:AB730"/>
    <mergeCell ref="T718:W718"/>
    <mergeCell ref="O721:S721"/>
    <mergeCell ref="T723:W723"/>
    <mergeCell ref="EO718:ES718"/>
    <mergeCell ref="DE720:DI720"/>
    <mergeCell ref="DE724:DI724"/>
    <mergeCell ref="AA672:AK672"/>
    <mergeCell ref="Z684:AK684"/>
    <mergeCell ref="DX652:EB652"/>
    <mergeCell ref="EC652:EG652"/>
    <mergeCell ref="Z683:AK683"/>
    <mergeCell ref="AA688:AK688"/>
    <mergeCell ref="Z667:AK667"/>
    <mergeCell ref="AC638:AE638"/>
    <mergeCell ref="Z686:AK686"/>
    <mergeCell ref="AO630:AS630"/>
    <mergeCell ref="DU720:DY720"/>
    <mergeCell ref="DO717:DS717"/>
    <mergeCell ref="CZ721:DD721"/>
    <mergeCell ref="AO632:AS632"/>
    <mergeCell ref="AO640:AS640"/>
    <mergeCell ref="CI717:CJ717"/>
    <mergeCell ref="AC724:AG724"/>
    <mergeCell ref="AE693:AF693"/>
    <mergeCell ref="DX649:EB649"/>
    <mergeCell ref="DX655:EB655"/>
    <mergeCell ref="AM559:AS559"/>
    <mergeCell ref="Z687:AE687"/>
    <mergeCell ref="AH718:AJ718"/>
    <mergeCell ref="AC718:AG718"/>
    <mergeCell ref="AK714:AO717"/>
    <mergeCell ref="AK718:AO718"/>
    <mergeCell ref="DO730:DS730"/>
    <mergeCell ref="DO731:DS731"/>
    <mergeCell ref="DJ728:DN728"/>
    <mergeCell ref="AC719:AG719"/>
    <mergeCell ref="Z653:AK653"/>
    <mergeCell ref="DO729:DS729"/>
    <mergeCell ref="AF633:AJ633"/>
    <mergeCell ref="DJ731:DN731"/>
    <mergeCell ref="DJ729:DN729"/>
    <mergeCell ref="DE719:DI719"/>
    <mergeCell ref="W624:Y626"/>
    <mergeCell ref="AE559:AH559"/>
    <mergeCell ref="AI559:AL559"/>
    <mergeCell ref="Z611:AK611"/>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EH652:EL652"/>
    <mergeCell ref="EJ725:EN725"/>
    <mergeCell ref="DZ728:ED728"/>
    <mergeCell ref="EE724:EI724"/>
    <mergeCell ref="Z679:AE679"/>
    <mergeCell ref="Z670:AK670"/>
    <mergeCell ref="AK728:AO728"/>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CZ719:DD719"/>
    <mergeCell ref="Z631:AB631"/>
    <mergeCell ref="AF624:AJ626"/>
    <mergeCell ref="DZ717:ED717"/>
    <mergeCell ref="AC630:AE630"/>
    <mergeCell ref="DZ726:ED726"/>
    <mergeCell ref="DU728:DY728"/>
    <mergeCell ref="DU722:DY722"/>
    <mergeCell ref="DO725:DS725"/>
    <mergeCell ref="DO721:DS721"/>
    <mergeCell ref="Z671:AE671"/>
    <mergeCell ref="DJ723:DN723"/>
    <mergeCell ref="DJ724:DN724"/>
    <mergeCell ref="DO727:DS727"/>
    <mergeCell ref="DO728:DS728"/>
    <mergeCell ref="DO722:DS722"/>
    <mergeCell ref="DO723:DS723"/>
    <mergeCell ref="DO724:DS724"/>
    <mergeCell ref="DJ721:DN721"/>
    <mergeCell ref="DO726:DS726"/>
    <mergeCell ref="AC516:AF516"/>
    <mergeCell ref="AM556:AS556"/>
    <mergeCell ref="AI562:AL562"/>
    <mergeCell ref="AH519:AK519"/>
    <mergeCell ref="AH536:AK536"/>
    <mergeCell ref="CP727:CT727"/>
    <mergeCell ref="CI727:CJ727"/>
    <mergeCell ref="DE722:DI722"/>
    <mergeCell ref="AC714:AG717"/>
    <mergeCell ref="AC637:AE637"/>
    <mergeCell ref="AE694:AF694"/>
    <mergeCell ref="A709:AT711"/>
    <mergeCell ref="G660:R660"/>
    <mergeCell ref="K727:N727"/>
    <mergeCell ref="K726:N726"/>
    <mergeCell ref="G659:R659"/>
    <mergeCell ref="G675:R675"/>
    <mergeCell ref="K719:N719"/>
    <mergeCell ref="G723:J723"/>
    <mergeCell ref="G647:L647"/>
    <mergeCell ref="C638:L638"/>
    <mergeCell ref="G669:R669"/>
    <mergeCell ref="AM561:AS561"/>
    <mergeCell ref="DJ719:DN719"/>
    <mergeCell ref="CU717:CY717"/>
    <mergeCell ref="AC635:AE635"/>
    <mergeCell ref="W635:Y635"/>
    <mergeCell ref="Z597:AE597"/>
    <mergeCell ref="AF629:AJ629"/>
    <mergeCell ref="AI613:AK613"/>
    <mergeCell ref="AA614:AK614"/>
    <mergeCell ref="AC624:AE626"/>
    <mergeCell ref="DJ718:DN718"/>
    <mergeCell ref="H582:R582"/>
    <mergeCell ref="Z579:AK579"/>
    <mergeCell ref="G719:J719"/>
    <mergeCell ref="P589:R589"/>
    <mergeCell ref="Z588:AK588"/>
    <mergeCell ref="Z609:AK609"/>
    <mergeCell ref="AC632:AE632"/>
    <mergeCell ref="H672:R672"/>
    <mergeCell ref="AA606:AK606"/>
    <mergeCell ref="P605:R605"/>
    <mergeCell ref="AO628:AS628"/>
    <mergeCell ref="AG607:AH607"/>
    <mergeCell ref="AO624:AS626"/>
    <mergeCell ref="AG591:AH591"/>
    <mergeCell ref="Z632:AB632"/>
    <mergeCell ref="AE702:AF702"/>
    <mergeCell ref="W633:Y633"/>
    <mergeCell ref="Z630:AB630"/>
    <mergeCell ref="AF631:AJ631"/>
    <mergeCell ref="AK633:AN633"/>
    <mergeCell ref="Z645:AK645"/>
    <mergeCell ref="Z629:AB629"/>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W465:Y465"/>
    <mergeCell ref="Z635:AB635"/>
    <mergeCell ref="G609:R609"/>
    <mergeCell ref="N615:O615"/>
    <mergeCell ref="M628:P628"/>
    <mergeCell ref="M633:P633"/>
    <mergeCell ref="Z605:AE605"/>
    <mergeCell ref="Z564:AD564"/>
    <mergeCell ref="Z565:AD565"/>
    <mergeCell ref="Z572:AE572"/>
    <mergeCell ref="M627:P627"/>
    <mergeCell ref="M629:P629"/>
    <mergeCell ref="H573:R573"/>
    <mergeCell ref="C632:L632"/>
    <mergeCell ref="G581:L581"/>
    <mergeCell ref="Z604:AK604"/>
    <mergeCell ref="C563:L563"/>
    <mergeCell ref="AE565:AH565"/>
    <mergeCell ref="G587:R587"/>
    <mergeCell ref="G578:R578"/>
    <mergeCell ref="AI565:AL565"/>
    <mergeCell ref="AA573:AK573"/>
    <mergeCell ref="Z595:AK595"/>
    <mergeCell ref="G603:R603"/>
    <mergeCell ref="P597:R597"/>
    <mergeCell ref="G597:L597"/>
    <mergeCell ref="G602:R602"/>
    <mergeCell ref="W564:Y564"/>
    <mergeCell ref="W565:Y565"/>
    <mergeCell ref="C627:L627"/>
    <mergeCell ref="AE564:AH564"/>
    <mergeCell ref="T628:V628"/>
    <mergeCell ref="Z578:AK578"/>
    <mergeCell ref="AA598:AK598"/>
    <mergeCell ref="G601:R601"/>
    <mergeCell ref="W629:Y629"/>
    <mergeCell ref="T624:V626"/>
    <mergeCell ref="G611:R611"/>
    <mergeCell ref="Z602:AK602"/>
    <mergeCell ref="AM558:AS558"/>
    <mergeCell ref="AM566:AS566"/>
    <mergeCell ref="AM562:AS562"/>
    <mergeCell ref="Z589:AE589"/>
    <mergeCell ref="G585:R585"/>
    <mergeCell ref="AG575:AH575"/>
    <mergeCell ref="Z568:AK568"/>
    <mergeCell ref="Z571:AK571"/>
    <mergeCell ref="AI564:AL564"/>
    <mergeCell ref="T561:V561"/>
    <mergeCell ref="Q630:S630"/>
    <mergeCell ref="G589:L589"/>
    <mergeCell ref="G569:R569"/>
    <mergeCell ref="C628:L628"/>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E562:AH562"/>
    <mergeCell ref="G572:L572"/>
    <mergeCell ref="Z581:AE581"/>
    <mergeCell ref="AC535:AF535"/>
    <mergeCell ref="AI554:AL554"/>
    <mergeCell ref="Q551:S553"/>
    <mergeCell ref="AC533:AF533"/>
    <mergeCell ref="B520:H542"/>
    <mergeCell ref="AC504:AF504"/>
    <mergeCell ref="D470:V470"/>
    <mergeCell ref="W556:Y556"/>
    <mergeCell ref="C561:L561"/>
    <mergeCell ref="Q556:S556"/>
    <mergeCell ref="Q487:AK487"/>
    <mergeCell ref="Q486:AK486"/>
    <mergeCell ref="AH502:AK502"/>
    <mergeCell ref="AC499:AK499"/>
    <mergeCell ref="C562:L562"/>
    <mergeCell ref="T558:V558"/>
    <mergeCell ref="T559:V559"/>
    <mergeCell ref="T557:V557"/>
    <mergeCell ref="AH500:AK500"/>
    <mergeCell ref="AC528:AF528"/>
    <mergeCell ref="C554:L554"/>
    <mergeCell ref="O532:AA532"/>
    <mergeCell ref="B551:L553"/>
    <mergeCell ref="M554:P554"/>
    <mergeCell ref="AH509:AK509"/>
    <mergeCell ref="W471:Y471"/>
    <mergeCell ref="AE556:AH556"/>
    <mergeCell ref="AC503:AF503"/>
    <mergeCell ref="AC513:AF513"/>
    <mergeCell ref="AC518:AF518"/>
    <mergeCell ref="AH504:AK504"/>
    <mergeCell ref="AH517:AK517"/>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M636:P636"/>
    <mergeCell ref="AA664:AK664"/>
    <mergeCell ref="T635:V635"/>
    <mergeCell ref="T636:V636"/>
    <mergeCell ref="T637:V637"/>
    <mergeCell ref="W628:Y628"/>
    <mergeCell ref="P663:R663"/>
    <mergeCell ref="AO631:AS631"/>
    <mergeCell ref="T638:V638"/>
    <mergeCell ref="G671:L671"/>
    <mergeCell ref="Z612:AK612"/>
    <mergeCell ref="AC627:AE627"/>
    <mergeCell ref="M631:P631"/>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Z722:DD722"/>
    <mergeCell ref="CG725:CH725"/>
    <mergeCell ref="CG727:CH727"/>
    <mergeCell ref="CZ728:DD728"/>
    <mergeCell ref="CU730:CY730"/>
    <mergeCell ref="CK728:CL728"/>
    <mergeCell ref="CZ731:DD731"/>
    <mergeCell ref="CK731:CL731"/>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CZ726:DD726"/>
    <mergeCell ref="DE725:DI725"/>
    <mergeCell ref="CP726:CT726"/>
    <mergeCell ref="DE729:DI729"/>
    <mergeCell ref="DE726:DI726"/>
    <mergeCell ref="CZ724:DD724"/>
    <mergeCell ref="CG729:CH729"/>
    <mergeCell ref="CZ723:DD723"/>
    <mergeCell ref="CI723:CJ723"/>
    <mergeCell ref="CP728:CT728"/>
    <mergeCell ref="CK736:CL736"/>
    <mergeCell ref="CI739:CJ739"/>
    <mergeCell ref="CK725:CL725"/>
    <mergeCell ref="CP723:CT723"/>
    <mergeCell ref="CU727:CY727"/>
    <mergeCell ref="CK724:CL724"/>
    <mergeCell ref="CZ725:DD725"/>
    <mergeCell ref="DE741:DI741"/>
    <mergeCell ref="DE730:DI730"/>
    <mergeCell ref="CM730:CN730"/>
    <mergeCell ref="CK727:CL727"/>
    <mergeCell ref="CM725:CN725"/>
    <mergeCell ref="CK730:CL730"/>
    <mergeCell ref="CP731:CT731"/>
    <mergeCell ref="CI729:CJ729"/>
    <mergeCell ref="CP729:CT729"/>
    <mergeCell ref="DE727:DI727"/>
    <mergeCell ref="CZ741:DD741"/>
    <mergeCell ref="DE731:DI731"/>
    <mergeCell ref="DE739:DI739"/>
    <mergeCell ref="CK729:CL729"/>
    <mergeCell ref="DE737:DI737"/>
    <mergeCell ref="CI737:CJ737"/>
    <mergeCell ref="CU736:CY736"/>
    <mergeCell ref="CM739:CN739"/>
    <mergeCell ref="CZ740:DD740"/>
    <mergeCell ref="CU741:CY741"/>
    <mergeCell ref="CZ739:DD739"/>
    <mergeCell ref="CK734:CL734"/>
    <mergeCell ref="CM734:CN734"/>
    <mergeCell ref="CK738:CL738"/>
    <mergeCell ref="CI731:CJ731"/>
    <mergeCell ref="CI728:CJ728"/>
    <mergeCell ref="CP725:CT725"/>
    <mergeCell ref="CK741:CL741"/>
    <mergeCell ref="CM741:CN741"/>
    <mergeCell ref="CZ735:DD735"/>
    <mergeCell ref="CU734:CY734"/>
    <mergeCell ref="CP736:CT736"/>
    <mergeCell ref="CM737:CN737"/>
    <mergeCell ref="CU737:CY737"/>
    <mergeCell ref="CZ738:DD738"/>
    <mergeCell ref="CM736:CN736"/>
    <mergeCell ref="CI738:CJ738"/>
    <mergeCell ref="CP741:CT741"/>
    <mergeCell ref="AF638:AJ638"/>
    <mergeCell ref="K735:N735"/>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T741:W741"/>
    <mergeCell ref="CU728:CY728"/>
    <mergeCell ref="CK732:CL732"/>
    <mergeCell ref="CU722:CY722"/>
    <mergeCell ref="G684:R684"/>
    <mergeCell ref="X714:AB717"/>
    <mergeCell ref="K730:N730"/>
    <mergeCell ref="AK748:AO748"/>
    <mergeCell ref="G739:J739"/>
    <mergeCell ref="X741:AB741"/>
    <mergeCell ref="O747:S747"/>
    <mergeCell ref="T747:W747"/>
    <mergeCell ref="AC748:AG748"/>
    <mergeCell ref="G740:J740"/>
    <mergeCell ref="G734:J734"/>
    <mergeCell ref="O729:S729"/>
    <mergeCell ref="K736:N736"/>
    <mergeCell ref="G736:J736"/>
    <mergeCell ref="G644:R644"/>
    <mergeCell ref="P655:R655"/>
    <mergeCell ref="K737:N737"/>
    <mergeCell ref="J704:X704"/>
    <mergeCell ref="K720:N720"/>
    <mergeCell ref="T714:W717"/>
    <mergeCell ref="H664:R664"/>
    <mergeCell ref="AA648:AK648"/>
    <mergeCell ref="AK727:AO727"/>
    <mergeCell ref="AH724:AJ724"/>
    <mergeCell ref="N657:O657"/>
    <mergeCell ref="Z660:AK660"/>
    <mergeCell ref="G663:L663"/>
    <mergeCell ref="T732:W732"/>
    <mergeCell ref="T731:W731"/>
    <mergeCell ref="N649:O649"/>
    <mergeCell ref="AH719:AJ719"/>
    <mergeCell ref="O733:S733"/>
    <mergeCell ref="K731:N731"/>
    <mergeCell ref="K722:N722"/>
    <mergeCell ref="K723:N723"/>
    <mergeCell ref="K721:N721"/>
    <mergeCell ref="G667:R667"/>
    <mergeCell ref="G653:R653"/>
    <mergeCell ref="AI655:AK655"/>
    <mergeCell ref="O722:S722"/>
    <mergeCell ref="X728:AB728"/>
    <mergeCell ref="AE699:AI699"/>
    <mergeCell ref="AK730:AO730"/>
    <mergeCell ref="AC730:AG730"/>
    <mergeCell ref="AH727:AJ727"/>
    <mergeCell ref="X725:AB725"/>
    <mergeCell ref="G661:R661"/>
    <mergeCell ref="B720:F720"/>
    <mergeCell ref="B722:F722"/>
    <mergeCell ref="AG673:AH673"/>
    <mergeCell ref="B728:F728"/>
    <mergeCell ref="B725:F725"/>
    <mergeCell ref="B724:F724"/>
    <mergeCell ref="B727:F727"/>
    <mergeCell ref="H680:R680"/>
    <mergeCell ref="Z668:AK668"/>
    <mergeCell ref="G676:R676"/>
    <mergeCell ref="AK729:AO729"/>
    <mergeCell ref="AC731:AG731"/>
    <mergeCell ref="AE696:AI696"/>
    <mergeCell ref="K718:N718"/>
    <mergeCell ref="G718:J718"/>
    <mergeCell ref="G670:R670"/>
    <mergeCell ref="Z669:AK669"/>
    <mergeCell ref="E707:AK707"/>
    <mergeCell ref="W706:AK706"/>
    <mergeCell ref="G662:R662"/>
    <mergeCell ref="AE698:AI698"/>
    <mergeCell ref="X746:AB746"/>
    <mergeCell ref="G727:J727"/>
    <mergeCell ref="N673:O673"/>
    <mergeCell ref="G687:L687"/>
    <mergeCell ref="T722:W722"/>
    <mergeCell ref="K729:N729"/>
    <mergeCell ref="Z677:AK677"/>
    <mergeCell ref="B718:F718"/>
    <mergeCell ref="G720:J720"/>
    <mergeCell ref="B721:F721"/>
    <mergeCell ref="AH726:AJ726"/>
    <mergeCell ref="K724:N724"/>
    <mergeCell ref="AG681:AH681"/>
    <mergeCell ref="AI687:AK687"/>
    <mergeCell ref="J705:O705"/>
    <mergeCell ref="B736:F736"/>
    <mergeCell ref="P687:R687"/>
    <mergeCell ref="R705:T705"/>
    <mergeCell ref="B723:F723"/>
    <mergeCell ref="G685:R685"/>
    <mergeCell ref="B733:F733"/>
    <mergeCell ref="B731:F731"/>
    <mergeCell ref="B730:F730"/>
    <mergeCell ref="G683:R683"/>
    <mergeCell ref="N681:O681"/>
    <mergeCell ref="X719:AB719"/>
    <mergeCell ref="G686:R686"/>
    <mergeCell ref="N689:O689"/>
    <mergeCell ref="G678:R678"/>
    <mergeCell ref="P679:R679"/>
    <mergeCell ref="G744:J744"/>
    <mergeCell ref="G745:J745"/>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F930:T930"/>
    <mergeCell ref="F931:T931"/>
    <mergeCell ref="U936:Z936"/>
    <mergeCell ref="F944:T944"/>
    <mergeCell ref="U944:Z944"/>
    <mergeCell ref="F940:T940"/>
    <mergeCell ref="U939:Z939"/>
    <mergeCell ref="U940:Z940"/>
    <mergeCell ref="AA938:AF938"/>
    <mergeCell ref="U923:Z923"/>
    <mergeCell ref="U922:Z922"/>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M871:V871"/>
    <mergeCell ref="W853:AC85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C887:AH887"/>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O795:S795"/>
    <mergeCell ref="AC791:AG791"/>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AC751:AG751"/>
    <mergeCell ref="O745:S745"/>
    <mergeCell ref="T748:W748"/>
    <mergeCell ref="P816:Y816"/>
    <mergeCell ref="M826:P826"/>
    <mergeCell ref="K747:N747"/>
    <mergeCell ref="AH750:AJ750"/>
    <mergeCell ref="C766:AR768"/>
    <mergeCell ref="M828:P828"/>
    <mergeCell ref="J779:K779"/>
    <mergeCell ref="X795:AB795"/>
    <mergeCell ref="Z813:AE813"/>
    <mergeCell ref="C798:AN799"/>
    <mergeCell ref="J793:N793"/>
    <mergeCell ref="G752:J752"/>
    <mergeCell ref="Y801:AC801"/>
    <mergeCell ref="Y800:AC800"/>
    <mergeCell ref="AC796:AG796"/>
    <mergeCell ref="AC788:AG788"/>
    <mergeCell ref="G738:J738"/>
    <mergeCell ref="O783:S786"/>
    <mergeCell ref="M825:P825"/>
    <mergeCell ref="AK746:AO746"/>
    <mergeCell ref="O735:S735"/>
    <mergeCell ref="T738:W738"/>
    <mergeCell ref="C825:H825"/>
    <mergeCell ref="J787:N787"/>
    <mergeCell ref="T796:W796"/>
    <mergeCell ref="M823:P824"/>
    <mergeCell ref="Z817:AE817"/>
    <mergeCell ref="B742:F742"/>
    <mergeCell ref="B743:F743"/>
    <mergeCell ref="X740:AB740"/>
    <mergeCell ref="X748:AB748"/>
    <mergeCell ref="X749:AB749"/>
    <mergeCell ref="X750:AB750"/>
    <mergeCell ref="AC749:AG749"/>
    <mergeCell ref="AC750:AG750"/>
    <mergeCell ref="Q823:T824"/>
    <mergeCell ref="Z809:AE809"/>
    <mergeCell ref="O791:S791"/>
    <mergeCell ref="J783:N786"/>
    <mergeCell ref="T790:W790"/>
    <mergeCell ref="T793:W793"/>
    <mergeCell ref="O775:S775"/>
    <mergeCell ref="J792:N792"/>
    <mergeCell ref="Z806:AE806"/>
    <mergeCell ref="X791:AB791"/>
    <mergeCell ref="B753:F753"/>
    <mergeCell ref="U828:X828"/>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O714:S717"/>
    <mergeCell ref="O718:S718"/>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A582:AK582"/>
    <mergeCell ref="G568:R568"/>
    <mergeCell ref="M574:R574"/>
    <mergeCell ref="W563:Y563"/>
    <mergeCell ref="Q562:S562"/>
    <mergeCell ref="Z586:AK586"/>
    <mergeCell ref="M565:P565"/>
    <mergeCell ref="T563:V563"/>
    <mergeCell ref="E368:AH369"/>
    <mergeCell ref="D469:V469"/>
    <mergeCell ref="W473:Y473"/>
    <mergeCell ref="Q394:U394"/>
    <mergeCell ref="AD412:AE412"/>
    <mergeCell ref="H414:AE415"/>
    <mergeCell ref="AE425:AF425"/>
    <mergeCell ref="AC520:AF520"/>
    <mergeCell ref="AC527:AF527"/>
    <mergeCell ref="AH521:AK521"/>
    <mergeCell ref="AA331:AF331"/>
    <mergeCell ref="N373:AF374"/>
    <mergeCell ref="AG442:AJ442"/>
    <mergeCell ref="AF418:AH418"/>
    <mergeCell ref="D446:AF446"/>
    <mergeCell ref="D447:AF447"/>
    <mergeCell ref="W466:Y466"/>
    <mergeCell ref="AG446:AJ446"/>
    <mergeCell ref="W467:Y467"/>
    <mergeCell ref="W470:Y470"/>
    <mergeCell ref="D471:V471"/>
    <mergeCell ref="AH505:AK505"/>
    <mergeCell ref="AA336:AK336"/>
    <mergeCell ref="Q493:AK493"/>
    <mergeCell ref="AC502:AF502"/>
    <mergeCell ref="B514:H516"/>
    <mergeCell ref="B517:H519"/>
    <mergeCell ref="D406:AJ407"/>
    <mergeCell ref="D444:AF444"/>
    <mergeCell ref="AH501:AK501"/>
    <mergeCell ref="G474:V474"/>
    <mergeCell ref="AH526:AK526"/>
    <mergeCell ref="Q365:AG365"/>
    <mergeCell ref="H340:M340"/>
    <mergeCell ref="S402:U402"/>
    <mergeCell ref="AA339:AF339"/>
    <mergeCell ref="S489:AK490"/>
    <mergeCell ref="M263:R263"/>
    <mergeCell ref="M265:T265"/>
    <mergeCell ref="H319:R319"/>
    <mergeCell ref="AA316:AF316"/>
    <mergeCell ref="M253:T253"/>
    <mergeCell ref="L274:AJ274"/>
    <mergeCell ref="H300:M300"/>
    <mergeCell ref="AA257:AK257"/>
    <mergeCell ref="M260:AE260"/>
    <mergeCell ref="AA265:AK265"/>
    <mergeCell ref="M261:T261"/>
    <mergeCell ref="AI307:AK307"/>
    <mergeCell ref="AA308:AF308"/>
    <mergeCell ref="M254:AE254"/>
    <mergeCell ref="AH262:AK262"/>
    <mergeCell ref="T267:X267"/>
    <mergeCell ref="AI291:AK291"/>
    <mergeCell ref="AA323:AF323"/>
    <mergeCell ref="H320:R320"/>
    <mergeCell ref="H323:M323"/>
    <mergeCell ref="AA330:AK330"/>
    <mergeCell ref="H324:M324"/>
    <mergeCell ref="AA325:AK325"/>
    <mergeCell ref="H321:R321"/>
    <mergeCell ref="H322:R322"/>
    <mergeCell ref="AA333:AK333"/>
    <mergeCell ref="H339:M339"/>
    <mergeCell ref="N363:O363"/>
    <mergeCell ref="AA337:AK337"/>
    <mergeCell ref="AA332:AF332"/>
    <mergeCell ref="AA328:AK328"/>
    <mergeCell ref="AA327:AK327"/>
    <mergeCell ref="H332:M332"/>
    <mergeCell ref="AI315:AK315"/>
    <mergeCell ref="AA329:AK329"/>
    <mergeCell ref="H325:R325"/>
    <mergeCell ref="P331:R331"/>
    <mergeCell ref="AA324:AF324"/>
    <mergeCell ref="AI323:AK323"/>
    <mergeCell ref="P323:R323"/>
    <mergeCell ref="P349:AE349"/>
    <mergeCell ref="H305:R305"/>
    <mergeCell ref="H316:M316"/>
    <mergeCell ref="H333:R333"/>
    <mergeCell ref="AJ357:AK357"/>
    <mergeCell ref="M358:N358"/>
    <mergeCell ref="AA312:AK312"/>
    <mergeCell ref="AA315:AF315"/>
    <mergeCell ref="H306:R306"/>
    <mergeCell ref="H313:R313"/>
    <mergeCell ref="H312:R312"/>
    <mergeCell ref="H311:R311"/>
    <mergeCell ref="H314:R314"/>
    <mergeCell ref="AJ355:AK355"/>
    <mergeCell ref="M356:N356"/>
    <mergeCell ref="H331:M331"/>
    <mergeCell ref="H341:R341"/>
    <mergeCell ref="H335:R335"/>
    <mergeCell ref="P339:R339"/>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D220:Z220"/>
    <mergeCell ref="AI227:AJ227"/>
    <mergeCell ref="Y123:AK123"/>
    <mergeCell ref="O160:T160"/>
    <mergeCell ref="O159:T159"/>
    <mergeCell ref="O161:AH161"/>
    <mergeCell ref="AF178:AG178"/>
    <mergeCell ref="I190:N190"/>
    <mergeCell ref="X176:Y176"/>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D164:AH164"/>
    <mergeCell ref="P204:U204"/>
    <mergeCell ref="AH195:AI195"/>
    <mergeCell ref="AH196:AI196"/>
    <mergeCell ref="U176:V176"/>
    <mergeCell ref="A83:AT84"/>
    <mergeCell ref="O153:AH153"/>
    <mergeCell ref="AC234:AE234"/>
    <mergeCell ref="O157:X157"/>
    <mergeCell ref="M233:AE233"/>
    <mergeCell ref="N191:AE192"/>
    <mergeCell ref="AA238:AK238"/>
    <mergeCell ref="X180:Y180"/>
    <mergeCell ref="AP205:AQ205"/>
    <mergeCell ref="AI229:AJ229"/>
    <mergeCell ref="AC387:AJ387"/>
    <mergeCell ref="V388:AJ388"/>
    <mergeCell ref="D443:AF443"/>
    <mergeCell ref="AA292:AF292"/>
    <mergeCell ref="Y120:AK120"/>
    <mergeCell ref="AI178:AK178"/>
    <mergeCell ref="U255:W255"/>
    <mergeCell ref="P299:R299"/>
    <mergeCell ref="M264:AE264"/>
    <mergeCell ref="AB276:AD276"/>
    <mergeCell ref="Y278:AD278"/>
    <mergeCell ref="AF259:AK259"/>
    <mergeCell ref="AC261:AE261"/>
    <mergeCell ref="M262:AE262"/>
    <mergeCell ref="AI299:AK299"/>
    <mergeCell ref="AA300:AF300"/>
    <mergeCell ref="W261:X261"/>
    <mergeCell ref="U263:W263"/>
    <mergeCell ref="M257:T257"/>
    <mergeCell ref="M256:AE256"/>
    <mergeCell ref="H298:R298"/>
    <mergeCell ref="T196:U196"/>
    <mergeCell ref="H297:R297"/>
    <mergeCell ref="T193:AI193"/>
    <mergeCell ref="AA298:AK298"/>
    <mergeCell ref="AA297:AK297"/>
    <mergeCell ref="M237:AE237"/>
    <mergeCell ref="AA249:AK249"/>
    <mergeCell ref="M244:AE244"/>
    <mergeCell ref="M247:R247"/>
    <mergeCell ref="M251:AE251"/>
    <mergeCell ref="M248:AE248"/>
    <mergeCell ref="U175:V175"/>
    <mergeCell ref="R177:S177"/>
    <mergeCell ref="M243:AE243"/>
    <mergeCell ref="D204:M204"/>
    <mergeCell ref="M238:T238"/>
    <mergeCell ref="T197:U197"/>
    <mergeCell ref="J173:S173"/>
    <mergeCell ref="O155:AH155"/>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D211:M211"/>
    <mergeCell ref="AI228:AJ228"/>
    <mergeCell ref="M235:AE235"/>
    <mergeCell ref="I185:AE185"/>
    <mergeCell ref="U236:W236"/>
    <mergeCell ref="T189:AE189"/>
    <mergeCell ref="AC253:AE253"/>
    <mergeCell ref="AH246:AK246"/>
    <mergeCell ref="D270:H270"/>
    <mergeCell ref="X270:AC270"/>
    <mergeCell ref="Z263:AE263"/>
    <mergeCell ref="W253:X253"/>
    <mergeCell ref="M252:AE252"/>
    <mergeCell ref="AF251:AK251"/>
    <mergeCell ref="T199:U199"/>
    <mergeCell ref="D208:M208"/>
    <mergeCell ref="AA335:AK335"/>
    <mergeCell ref="AC347:AE347"/>
    <mergeCell ref="P343:AE343"/>
    <mergeCell ref="AA340:AF340"/>
    <mergeCell ref="P344:AE344"/>
    <mergeCell ref="AA338:AK338"/>
    <mergeCell ref="H337:R337"/>
    <mergeCell ref="P345:AE345"/>
    <mergeCell ref="H308:M308"/>
    <mergeCell ref="P307:R307"/>
    <mergeCell ref="V276:W276"/>
    <mergeCell ref="L277:AD277"/>
    <mergeCell ref="L276:S276"/>
    <mergeCell ref="L278:Q278"/>
    <mergeCell ref="P315:R315"/>
    <mergeCell ref="H304:R304"/>
    <mergeCell ref="H303:R303"/>
    <mergeCell ref="AA341:AK341"/>
    <mergeCell ref="AA313:AK313"/>
    <mergeCell ref="AA314:AK314"/>
    <mergeCell ref="AA311:AK311"/>
    <mergeCell ref="H288:R288"/>
    <mergeCell ref="R412:S412"/>
    <mergeCell ref="Q429:R429"/>
    <mergeCell ref="P424:Q424"/>
    <mergeCell ref="D438:AF438"/>
    <mergeCell ref="I421:K421"/>
    <mergeCell ref="P418:R418"/>
    <mergeCell ref="Q389:U389"/>
    <mergeCell ref="R411:S411"/>
    <mergeCell ref="AC385:AJ385"/>
    <mergeCell ref="H336:R336"/>
    <mergeCell ref="D437:AF437"/>
    <mergeCell ref="Y364:Z364"/>
    <mergeCell ref="N378:P378"/>
    <mergeCell ref="W418:Y418"/>
    <mergeCell ref="Z432:AA432"/>
    <mergeCell ref="N370:Q370"/>
    <mergeCell ref="H338:R338"/>
    <mergeCell ref="AG393:AJ393"/>
    <mergeCell ref="AG391:AJ391"/>
    <mergeCell ref="K404:AJ404"/>
    <mergeCell ref="AC386:AJ386"/>
    <mergeCell ref="K403:AJ403"/>
    <mergeCell ref="P346:AE346"/>
    <mergeCell ref="Q390:U390"/>
    <mergeCell ref="I410:AE410"/>
    <mergeCell ref="AI389:AJ389"/>
    <mergeCell ref="P347:Z347"/>
    <mergeCell ref="J386:U386"/>
    <mergeCell ref="I418:K418"/>
    <mergeCell ref="S413:T413"/>
    <mergeCell ref="S405:AJ405"/>
    <mergeCell ref="AG379:AH379"/>
    <mergeCell ref="AG440:AJ440"/>
    <mergeCell ref="S401:U401"/>
    <mergeCell ref="AG401:AJ401"/>
    <mergeCell ref="AC456:AF456"/>
    <mergeCell ref="Q393:U393"/>
    <mergeCell ref="AG380:AH380"/>
    <mergeCell ref="M355:N355"/>
    <mergeCell ref="D439:AF439"/>
    <mergeCell ref="AI397:AJ397"/>
    <mergeCell ref="AI339:AK339"/>
    <mergeCell ref="P348:Z348"/>
    <mergeCell ref="V377:W377"/>
    <mergeCell ref="S377:T377"/>
    <mergeCell ref="AG377:AH377"/>
    <mergeCell ref="E418:G418"/>
    <mergeCell ref="AD411:AE411"/>
    <mergeCell ref="F427:AH428"/>
    <mergeCell ref="J387:U387"/>
    <mergeCell ref="J388:U388"/>
    <mergeCell ref="AG449:AJ449"/>
    <mergeCell ref="AJ356:AK356"/>
    <mergeCell ref="AD377:AE377"/>
    <mergeCell ref="AC371:AF371"/>
    <mergeCell ref="AG439:AJ439"/>
    <mergeCell ref="AE424:AF424"/>
    <mergeCell ref="N371:Q371"/>
    <mergeCell ref="V382:W382"/>
    <mergeCell ref="J367:K367"/>
    <mergeCell ref="D442:AF442"/>
    <mergeCell ref="AF430:AG430"/>
    <mergeCell ref="AG437:AJ437"/>
    <mergeCell ref="P425:Q425"/>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P581:R581"/>
    <mergeCell ref="N591:O591"/>
    <mergeCell ref="Q560:S560"/>
    <mergeCell ref="D441:AF441"/>
    <mergeCell ref="AG447:AJ447"/>
    <mergeCell ref="AC454:AF454"/>
    <mergeCell ref="AG395:AJ395"/>
    <mergeCell ref="AI392:AJ392"/>
    <mergeCell ref="AG394:AJ394"/>
    <mergeCell ref="E420:AJ420"/>
    <mergeCell ref="C630:L630"/>
    <mergeCell ref="D449:AF449"/>
    <mergeCell ref="AG443:AJ443"/>
    <mergeCell ref="AG444:AJ444"/>
    <mergeCell ref="D448:AF448"/>
    <mergeCell ref="AG445:AJ445"/>
    <mergeCell ref="AC521:AF521"/>
    <mergeCell ref="AH527:AK527"/>
    <mergeCell ref="AC517:AF517"/>
    <mergeCell ref="D473:V473"/>
    <mergeCell ref="B503:H508"/>
    <mergeCell ref="D450:AF450"/>
    <mergeCell ref="C631:L631"/>
    <mergeCell ref="N583:O583"/>
    <mergeCell ref="AI560:AL560"/>
    <mergeCell ref="AI558:AL558"/>
    <mergeCell ref="Q557:S557"/>
    <mergeCell ref="Z559:AD559"/>
    <mergeCell ref="Z562:AD562"/>
    <mergeCell ref="Q558:S558"/>
    <mergeCell ref="M557:P557"/>
    <mergeCell ref="B566:AL566"/>
    <mergeCell ref="AE560:AH560"/>
    <mergeCell ref="N575:O575"/>
    <mergeCell ref="AG599:AH599"/>
    <mergeCell ref="Z577:AK577"/>
    <mergeCell ref="AF574:AK574"/>
    <mergeCell ref="Z585:AK585"/>
    <mergeCell ref="O526:AA526"/>
    <mergeCell ref="AC529:AF529"/>
    <mergeCell ref="AH532:AK532"/>
    <mergeCell ref="AC522:AF522"/>
    <mergeCell ref="T554:V554"/>
    <mergeCell ref="AC524:AF524"/>
    <mergeCell ref="AH506:AK506"/>
    <mergeCell ref="AH508:AK508"/>
    <mergeCell ref="AC540:AF540"/>
    <mergeCell ref="AC508:AF508"/>
    <mergeCell ref="AH537:AK537"/>
    <mergeCell ref="AC534:AF534"/>
    <mergeCell ref="Q561:S561"/>
    <mergeCell ref="Z569:AK569"/>
    <mergeCell ref="M635:P635"/>
    <mergeCell ref="CK723:CL723"/>
    <mergeCell ref="CK721:CL721"/>
    <mergeCell ref="CM726:CN726"/>
    <mergeCell ref="CM718:CN718"/>
    <mergeCell ref="CI732:CJ732"/>
    <mergeCell ref="CM728:CN728"/>
    <mergeCell ref="G646:R646"/>
    <mergeCell ref="Z652:AK652"/>
    <mergeCell ref="CK722:CL722"/>
    <mergeCell ref="AG689:AH689"/>
    <mergeCell ref="CK719:CL719"/>
    <mergeCell ref="CK748:CL748"/>
    <mergeCell ref="CM748:CN748"/>
    <mergeCell ref="CG749:CH749"/>
    <mergeCell ref="CG724:CH724"/>
    <mergeCell ref="CG730:CH730"/>
    <mergeCell ref="CG728:CH728"/>
    <mergeCell ref="X718:AB718"/>
    <mergeCell ref="CG748:CH748"/>
    <mergeCell ref="M638:P638"/>
    <mergeCell ref="W638:Y638"/>
    <mergeCell ref="Z654:AK654"/>
    <mergeCell ref="P647:R647"/>
    <mergeCell ref="M637:P637"/>
    <mergeCell ref="G654:R654"/>
    <mergeCell ref="AH749:AJ749"/>
    <mergeCell ref="AH739:AJ739"/>
    <mergeCell ref="AH740:AJ740"/>
    <mergeCell ref="O730:S730"/>
    <mergeCell ref="T742:W742"/>
    <mergeCell ref="X745:AB745"/>
    <mergeCell ref="CP718:CT718"/>
    <mergeCell ref="CI718:CJ718"/>
    <mergeCell ref="CI724:CJ724"/>
    <mergeCell ref="CK752:CL752"/>
    <mergeCell ref="CU776:CY776"/>
    <mergeCell ref="CP750:CT750"/>
    <mergeCell ref="CU750:CY750"/>
    <mergeCell ref="CP751:CT751"/>
    <mergeCell ref="CM751:CN751"/>
    <mergeCell ref="CU751:CY751"/>
    <mergeCell ref="AK637:AN637"/>
    <mergeCell ref="CM724:CN724"/>
    <mergeCell ref="CG741:CH741"/>
    <mergeCell ref="CI741:CJ741"/>
    <mergeCell ref="CK744:CL744"/>
    <mergeCell ref="CM744:CN744"/>
    <mergeCell ref="CG738:CH738"/>
    <mergeCell ref="CK739:CL739"/>
    <mergeCell ref="CG735:CH735"/>
    <mergeCell ref="CG723:CH723"/>
    <mergeCell ref="CG720:CH720"/>
    <mergeCell ref="CU733:CY733"/>
    <mergeCell ref="CP721:CT721"/>
    <mergeCell ref="AK738:AO738"/>
    <mergeCell ref="AK741:AO741"/>
    <mergeCell ref="AH747:AJ747"/>
    <mergeCell ref="AH748:AJ748"/>
    <mergeCell ref="Z659:AK659"/>
    <mergeCell ref="CG734:CH734"/>
    <mergeCell ref="CP739:CT739"/>
    <mergeCell ref="CM738:CN738"/>
    <mergeCell ref="AK634:AN634"/>
    <mergeCell ref="AK635:AN635"/>
    <mergeCell ref="AF630:AJ630"/>
    <mergeCell ref="CU726:CY726"/>
    <mergeCell ref="W561:Y561"/>
    <mergeCell ref="W562:Y562"/>
    <mergeCell ref="AI647:AK647"/>
    <mergeCell ref="Z655:AE655"/>
    <mergeCell ref="CK746:CL746"/>
    <mergeCell ref="CM746:CN746"/>
    <mergeCell ref="CG739:CH739"/>
    <mergeCell ref="CG740:CH740"/>
    <mergeCell ref="CK737:CL737"/>
    <mergeCell ref="CG732:CH732"/>
    <mergeCell ref="CP734:CT734"/>
    <mergeCell ref="CP724:CT724"/>
    <mergeCell ref="AK747:AO747"/>
    <mergeCell ref="CK733:CL733"/>
    <mergeCell ref="CU744:CY744"/>
    <mergeCell ref="Z633:AB633"/>
    <mergeCell ref="AI679:AK679"/>
    <mergeCell ref="Z663:AE663"/>
    <mergeCell ref="Z643:AK643"/>
    <mergeCell ref="CI722:CJ722"/>
    <mergeCell ref="CG721:CH721"/>
    <mergeCell ref="CK720:CL720"/>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AC530:AF530"/>
    <mergeCell ref="Z555:AD555"/>
    <mergeCell ref="O535:AA535"/>
    <mergeCell ref="AH523:AK523"/>
    <mergeCell ref="AE554:AH554"/>
    <mergeCell ref="AH524:AK524"/>
    <mergeCell ref="AH525:AK525"/>
    <mergeCell ref="Z556:AD556"/>
    <mergeCell ref="AI555:AL555"/>
    <mergeCell ref="AI556:AL556"/>
    <mergeCell ref="AK624:AN626"/>
    <mergeCell ref="G595:R595"/>
    <mergeCell ref="G596:R596"/>
    <mergeCell ref="H614:R614"/>
    <mergeCell ref="G613:L613"/>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AC539:AF539"/>
    <mergeCell ref="L508:AB508"/>
    <mergeCell ref="O520:AA520"/>
    <mergeCell ref="D440:AF440"/>
    <mergeCell ref="AC526:AF526"/>
    <mergeCell ref="D445:AF445"/>
    <mergeCell ref="D451:AJ452"/>
    <mergeCell ref="AG450:AJ450"/>
    <mergeCell ref="AH503:AK503"/>
    <mergeCell ref="AC500:AF500"/>
    <mergeCell ref="AH507:AK507"/>
    <mergeCell ref="T556:V556"/>
    <mergeCell ref="W551:Y553"/>
    <mergeCell ref="AH530:AK530"/>
    <mergeCell ref="O529:AA529"/>
    <mergeCell ref="M561:P561"/>
    <mergeCell ref="AG441:AJ441"/>
    <mergeCell ref="AC538:AF538"/>
    <mergeCell ref="AH531:AK531"/>
    <mergeCell ref="AH540:AK540"/>
    <mergeCell ref="AC515:AF515"/>
    <mergeCell ref="AC514:AF514"/>
    <mergeCell ref="AH538:AK538"/>
    <mergeCell ref="Z551:AD553"/>
    <mergeCell ref="AH513:AK513"/>
    <mergeCell ref="AC531:AF531"/>
    <mergeCell ref="Z557:AD557"/>
    <mergeCell ref="W557:Y557"/>
    <mergeCell ref="AE557:AH557"/>
    <mergeCell ref="W468:Y468"/>
    <mergeCell ref="W469:Y469"/>
    <mergeCell ref="AH515:AK515"/>
    <mergeCell ref="T551:V553"/>
    <mergeCell ref="M555:P555"/>
    <mergeCell ref="Q492:AK492"/>
    <mergeCell ref="AH533:AK533"/>
    <mergeCell ref="AE555:AH555"/>
    <mergeCell ref="AH518:AK518"/>
    <mergeCell ref="AH514:AK514"/>
    <mergeCell ref="Q555:S555"/>
    <mergeCell ref="AH539:AK539"/>
    <mergeCell ref="AH541:AK541"/>
    <mergeCell ref="C555:L555"/>
    <mergeCell ref="C556:L556"/>
    <mergeCell ref="M556:P556"/>
    <mergeCell ref="C559:L559"/>
    <mergeCell ref="AH510:AK510"/>
    <mergeCell ref="Q554:S554"/>
    <mergeCell ref="AH529:AK529"/>
    <mergeCell ref="AH534:AK534"/>
    <mergeCell ref="AC510:AF510"/>
    <mergeCell ref="Z554:AD554"/>
    <mergeCell ref="M558:P558"/>
    <mergeCell ref="G571:R571"/>
    <mergeCell ref="DU745:DY745"/>
    <mergeCell ref="G721:J721"/>
    <mergeCell ref="G722:J722"/>
    <mergeCell ref="CP746:CT746"/>
    <mergeCell ref="CU746:CY746"/>
    <mergeCell ref="T562:V562"/>
    <mergeCell ref="DX666:EB666"/>
    <mergeCell ref="AH512:AK512"/>
    <mergeCell ref="AH520:AK520"/>
    <mergeCell ref="AC537:AF537"/>
    <mergeCell ref="AH542:AK542"/>
    <mergeCell ref="AM560:AS560"/>
    <mergeCell ref="AM557:AS557"/>
    <mergeCell ref="W630:Y630"/>
    <mergeCell ref="AH745:AJ745"/>
    <mergeCell ref="AH746:AJ746"/>
    <mergeCell ref="CZ730:DD730"/>
    <mergeCell ref="CZ717:DD717"/>
    <mergeCell ref="CG731:CH731"/>
    <mergeCell ref="CP722:CT722"/>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DZ741:ED741"/>
    <mergeCell ref="Q559:S559"/>
    <mergeCell ref="AC541:AF541"/>
    <mergeCell ref="Q565:S565"/>
    <mergeCell ref="G714:J717"/>
    <mergeCell ref="G668:R668"/>
    <mergeCell ref="CZ732:DD732"/>
    <mergeCell ref="D467:V467"/>
    <mergeCell ref="CU745:CY745"/>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Z746:DD746"/>
    <mergeCell ref="DE744:DI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P748:CT748"/>
    <mergeCell ref="CU748:CY748"/>
    <mergeCell ref="DZ745:ED745"/>
    <mergeCell ref="DE746:DI746"/>
    <mergeCell ref="ET752:EX752"/>
    <mergeCell ref="EO751:ES751"/>
    <mergeCell ref="CZ752:DD752"/>
    <mergeCell ref="ET753:EX753"/>
    <mergeCell ref="FE751:FI751"/>
    <mergeCell ref="FJ751:FN751"/>
    <mergeCell ref="CM753:CN753"/>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zoomScaleNormal="100" workbookViewId="0">
      <selection activeCell="K36" sqref="K35:K3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0" t="s">
        <v>621</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1)Perm Loan - Citibank</v>
      </c>
      <c r="G2" s="139" t="str">
        <f>Application!B628&amp;Application!C628</f>
        <v>2)Seller Note - Castlewood Terrace, Inc.</v>
      </c>
      <c r="H2" s="139" t="str">
        <f>Application!B629&amp;Application!C629</f>
        <v>3)Seller Note - Castlewood II, Corporation</v>
      </c>
      <c r="I2" s="139" t="str">
        <f>Application!B630&amp;Application!C630</f>
        <v>4)Reserve Carryover - Castlewood Terrace, Inc.</v>
      </c>
      <c r="J2" s="139" t="str">
        <f>Application!B631&amp;Application!C631</f>
        <v>5)Reserve Carryover - Castlewood II, Corporation</v>
      </c>
      <c r="K2" s="139" t="str">
        <f>Application!B632&amp;Application!C632</f>
        <v xml:space="preserve">6)Deferred Developer Fee - Mansermar Development, LLC </v>
      </c>
      <c r="L2" s="139" t="str">
        <f>Application!B633&amp;Application!C633</f>
        <v>7)Operating Income - Castlewood Terrace, LP</v>
      </c>
      <c r="M2" s="139" t="str">
        <f>Application!B634&amp;Application!C634</f>
        <v>8)HUD GRRP Surplus Cash Loan</v>
      </c>
      <c r="N2" s="139" t="str">
        <f>Application!B635&amp;Application!C635</f>
        <v xml:space="preserve">9)GP Capital Contribution </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197000</v>
      </c>
      <c r="C4" s="147">
        <v>197000</v>
      </c>
      <c r="D4" s="147"/>
      <c r="E4" s="147"/>
      <c r="F4" s="147"/>
      <c r="G4" s="147">
        <v>84000</v>
      </c>
      <c r="H4" s="147">
        <f>+C4-G4</f>
        <v>113000</v>
      </c>
      <c r="I4" s="147"/>
      <c r="J4" s="147"/>
      <c r="K4" s="147"/>
      <c r="L4" s="147"/>
      <c r="M4" s="147"/>
      <c r="N4" s="147"/>
      <c r="O4" s="147"/>
      <c r="P4" s="147"/>
      <c r="Q4" s="147"/>
      <c r="R4" s="516">
        <f>SUM(E4:Q4)</f>
        <v>197000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197000</v>
      </c>
      <c r="C8" s="146">
        <f t="shared" ref="C8:Q8" si="0">SUM(C4:C7)</f>
        <v>197000</v>
      </c>
      <c r="D8" s="146">
        <f t="shared" si="0"/>
        <v>0</v>
      </c>
      <c r="E8" s="146">
        <f t="shared" si="0"/>
        <v>0</v>
      </c>
      <c r="F8" s="146">
        <f t="shared" si="0"/>
        <v>0</v>
      </c>
      <c r="G8" s="146">
        <f t="shared" si="0"/>
        <v>84000</v>
      </c>
      <c r="H8" s="146">
        <f t="shared" si="0"/>
        <v>113000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197000</v>
      </c>
      <c r="S8" s="148"/>
      <c r="T8" s="148"/>
      <c r="U8" s="143"/>
    </row>
    <row r="9" spans="1:21" s="144" customFormat="1">
      <c r="A9" s="145" t="s">
        <v>594</v>
      </c>
      <c r="B9" s="146">
        <f>SUM(C9+D9)</f>
        <v>25603000</v>
      </c>
      <c r="C9" s="147">
        <f>25800000-C4</f>
        <v>25603000</v>
      </c>
      <c r="D9" s="147"/>
      <c r="E9" s="147">
        <f>+C9-SUM(G9:I9)</f>
        <v>2837778</v>
      </c>
      <c r="F9" s="147"/>
      <c r="G9" s="147">
        <f>+G108-G4</f>
        <v>10996760</v>
      </c>
      <c r="H9" s="147">
        <f>+H108-H4</f>
        <v>11768462</v>
      </c>
      <c r="I9" s="147"/>
      <c r="J9" s="147"/>
      <c r="K9" s="147"/>
      <c r="L9" s="147"/>
      <c r="M9" s="147"/>
      <c r="N9" s="147"/>
      <c r="O9" s="147"/>
      <c r="P9" s="147"/>
      <c r="Q9" s="147"/>
      <c r="R9" s="516">
        <f>SUM(E9:Q9)</f>
        <v>25603000</v>
      </c>
      <c r="S9" s="148"/>
      <c r="T9" s="147">
        <f>+R9</f>
        <v>25603000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25603000</v>
      </c>
      <c r="C11" s="146">
        <f t="shared" ref="C11:Q11" si="1">SUM(C9:C10)</f>
        <v>25603000</v>
      </c>
      <c r="D11" s="146">
        <f t="shared" si="1"/>
        <v>0</v>
      </c>
      <c r="E11" s="146">
        <f t="shared" si="1"/>
        <v>2837778</v>
      </c>
      <c r="F11" s="146">
        <f t="shared" si="1"/>
        <v>0</v>
      </c>
      <c r="G11" s="146">
        <f t="shared" si="1"/>
        <v>10996760</v>
      </c>
      <c r="H11" s="146">
        <f t="shared" si="1"/>
        <v>11768462</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25603000</v>
      </c>
      <c r="S11" s="148"/>
      <c r="T11" s="150">
        <f>SUM(T9:T10)</f>
        <v>25603000</v>
      </c>
      <c r="U11" s="143"/>
    </row>
    <row r="12" spans="1:21" s="144" customFormat="1">
      <c r="A12" s="149" t="s">
        <v>84</v>
      </c>
      <c r="B12" s="146">
        <f t="shared" ref="B12:Q12" si="2">SUM(B8+B11)</f>
        <v>25800000</v>
      </c>
      <c r="C12" s="146">
        <f t="shared" si="2"/>
        <v>25800000</v>
      </c>
      <c r="D12" s="146">
        <f t="shared" si="2"/>
        <v>0</v>
      </c>
      <c r="E12" s="146">
        <f t="shared" si="2"/>
        <v>2837778</v>
      </c>
      <c r="F12" s="146">
        <f t="shared" si="2"/>
        <v>0</v>
      </c>
      <c r="G12" s="146">
        <f t="shared" si="2"/>
        <v>11080760</v>
      </c>
      <c r="H12" s="146">
        <f t="shared" si="2"/>
        <v>11881462</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25800000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1220381</v>
      </c>
      <c r="C17" s="147">
        <v>1220381</v>
      </c>
      <c r="D17" s="147"/>
      <c r="E17" s="147">
        <f>+C17</f>
        <v>1220381</v>
      </c>
      <c r="F17" s="147"/>
      <c r="G17" s="147"/>
      <c r="H17" s="147"/>
      <c r="I17" s="147"/>
      <c r="J17" s="147"/>
      <c r="K17" s="147"/>
      <c r="L17" s="147"/>
      <c r="M17" s="147"/>
      <c r="N17" s="147"/>
      <c r="O17" s="147"/>
      <c r="P17" s="147"/>
      <c r="Q17" s="147"/>
      <c r="R17" s="516">
        <f>SUM(E17:Q17)</f>
        <v>1220381</v>
      </c>
      <c r="S17" s="147">
        <f>+R17</f>
        <v>1220381</v>
      </c>
      <c r="T17" s="147"/>
      <c r="U17" s="143"/>
    </row>
    <row r="18" spans="1:21" s="144" customFormat="1">
      <c r="A18" s="145" t="s">
        <v>599</v>
      </c>
      <c r="B18" s="146">
        <f t="shared" si="3"/>
        <v>19267584</v>
      </c>
      <c r="C18" s="147">
        <f>21367584-C22</f>
        <v>19267584</v>
      </c>
      <c r="D18" s="147"/>
      <c r="E18" s="147">
        <f>+C18-F18-M18</f>
        <v>4663715</v>
      </c>
      <c r="F18" s="147">
        <f>+F108</f>
        <v>11263869</v>
      </c>
      <c r="G18" s="147"/>
      <c r="H18" s="147"/>
      <c r="I18" s="147"/>
      <c r="J18" s="147"/>
      <c r="K18" s="147"/>
      <c r="L18" s="147"/>
      <c r="M18" s="147">
        <f>+M108-M22</f>
        <v>3340000</v>
      </c>
      <c r="N18" s="147"/>
      <c r="O18" s="147"/>
      <c r="P18" s="147"/>
      <c r="Q18" s="147"/>
      <c r="R18" s="516">
        <f>SUM(E18:Q18)</f>
        <v>19267584</v>
      </c>
      <c r="S18" s="147">
        <f t="shared" ref="S18:S25" si="4">+R18</f>
        <v>19267584</v>
      </c>
      <c r="T18" s="147"/>
      <c r="U18" s="143"/>
    </row>
    <row r="19" spans="1:21" s="144" customFormat="1">
      <c r="A19" s="145" t="s">
        <v>600</v>
      </c>
      <c r="B19" s="146">
        <f t="shared" si="3"/>
        <v>1355278</v>
      </c>
      <c r="C19" s="147">
        <v>1355278</v>
      </c>
      <c r="D19" s="147"/>
      <c r="E19" s="147">
        <f t="shared" ref="E19:E23" si="5">+C19</f>
        <v>1355278</v>
      </c>
      <c r="F19" s="147"/>
      <c r="G19" s="147"/>
      <c r="H19" s="147"/>
      <c r="I19" s="147"/>
      <c r="J19" s="147"/>
      <c r="K19" s="147"/>
      <c r="L19" s="147"/>
      <c r="M19" s="147"/>
      <c r="N19" s="147"/>
      <c r="O19" s="147"/>
      <c r="P19" s="147"/>
      <c r="Q19" s="147"/>
      <c r="R19" s="516">
        <f>SUM(E19:Q19)</f>
        <v>1355278</v>
      </c>
      <c r="S19" s="147">
        <f t="shared" si="4"/>
        <v>1355278</v>
      </c>
      <c r="T19" s="147"/>
      <c r="U19" s="143"/>
    </row>
    <row r="20" spans="1:21" s="144" customFormat="1">
      <c r="A20" s="145" t="s">
        <v>137</v>
      </c>
      <c r="B20" s="146">
        <f t="shared" si="3"/>
        <v>451759</v>
      </c>
      <c r="C20" s="147">
        <v>451759</v>
      </c>
      <c r="D20" s="147"/>
      <c r="E20" s="147">
        <f t="shared" si="5"/>
        <v>451759</v>
      </c>
      <c r="F20" s="147"/>
      <c r="G20" s="147"/>
      <c r="H20" s="147"/>
      <c r="I20" s="147"/>
      <c r="J20" s="147"/>
      <c r="K20" s="147"/>
      <c r="L20" s="147"/>
      <c r="M20" s="147"/>
      <c r="N20" s="147"/>
      <c r="O20" s="147"/>
      <c r="P20" s="147"/>
      <c r="Q20" s="147"/>
      <c r="R20" s="516">
        <f t="shared" ref="R20:R27" si="6">SUM(E20:Q20)</f>
        <v>451759</v>
      </c>
      <c r="S20" s="147">
        <f t="shared" si="4"/>
        <v>451759</v>
      </c>
      <c r="T20" s="147"/>
      <c r="U20" s="143"/>
    </row>
    <row r="21" spans="1:21" s="144" customFormat="1">
      <c r="A21" s="145" t="s">
        <v>138</v>
      </c>
      <c r="B21" s="146">
        <f t="shared" si="3"/>
        <v>1355278</v>
      </c>
      <c r="C21" s="147">
        <f>+C19</f>
        <v>1355278</v>
      </c>
      <c r="D21" s="147"/>
      <c r="E21" s="147">
        <f t="shared" si="5"/>
        <v>1355278</v>
      </c>
      <c r="F21" s="147"/>
      <c r="G21" s="147"/>
      <c r="H21" s="147"/>
      <c r="I21" s="147"/>
      <c r="J21" s="147"/>
      <c r="K21" s="147"/>
      <c r="L21" s="147"/>
      <c r="M21" s="147"/>
      <c r="N21" s="147"/>
      <c r="O21" s="147"/>
      <c r="P21" s="147"/>
      <c r="Q21" s="147"/>
      <c r="R21" s="516">
        <f t="shared" si="6"/>
        <v>1355278</v>
      </c>
      <c r="S21" s="147">
        <f t="shared" si="4"/>
        <v>1355278</v>
      </c>
      <c r="T21" s="147"/>
      <c r="U21" s="143"/>
    </row>
    <row r="22" spans="1:21" s="144" customFormat="1">
      <c r="A22" s="145" t="s">
        <v>139</v>
      </c>
      <c r="B22" s="146">
        <f t="shared" si="3"/>
        <v>2100000</v>
      </c>
      <c r="C22" s="147">
        <v>2100000</v>
      </c>
      <c r="D22" s="147"/>
      <c r="E22" s="147"/>
      <c r="F22" s="147"/>
      <c r="G22" s="147"/>
      <c r="H22" s="147"/>
      <c r="I22" s="147"/>
      <c r="J22" s="147"/>
      <c r="K22" s="147"/>
      <c r="L22" s="147"/>
      <c r="M22" s="147">
        <f>+C22</f>
        <v>2100000</v>
      </c>
      <c r="N22" s="147"/>
      <c r="O22" s="147"/>
      <c r="P22" s="147"/>
      <c r="Q22" s="147"/>
      <c r="R22" s="516">
        <f t="shared" si="6"/>
        <v>2100000</v>
      </c>
      <c r="S22" s="147">
        <f t="shared" si="4"/>
        <v>2100000</v>
      </c>
      <c r="T22" s="147"/>
      <c r="U22" s="143"/>
    </row>
    <row r="23" spans="1:21" s="144" customFormat="1">
      <c r="A23" s="145" t="s">
        <v>140</v>
      </c>
      <c r="B23" s="146">
        <f t="shared" si="3"/>
        <v>555727</v>
      </c>
      <c r="C23" s="147">
        <v>555727</v>
      </c>
      <c r="D23" s="147"/>
      <c r="E23" s="147">
        <f t="shared" si="5"/>
        <v>555727</v>
      </c>
      <c r="F23" s="147"/>
      <c r="G23" s="147"/>
      <c r="H23" s="147"/>
      <c r="I23" s="147"/>
      <c r="J23" s="147"/>
      <c r="K23" s="147"/>
      <c r="L23" s="147"/>
      <c r="M23" s="147"/>
      <c r="N23" s="147"/>
      <c r="O23" s="147"/>
      <c r="P23" s="147"/>
      <c r="Q23" s="147"/>
      <c r="R23" s="516">
        <f t="shared" si="6"/>
        <v>555727</v>
      </c>
      <c r="S23" s="147">
        <f t="shared" si="4"/>
        <v>555727</v>
      </c>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6"/>
        <v>0</v>
      </c>
      <c r="S24" s="147">
        <f t="shared" si="4"/>
        <v>0</v>
      </c>
      <c r="T24" s="147"/>
      <c r="U24" s="143"/>
    </row>
    <row r="25" spans="1:21" s="144" customFormat="1">
      <c r="A25" s="1149" t="s">
        <v>2781</v>
      </c>
      <c r="B25" s="146">
        <f t="shared" si="3"/>
        <v>288462</v>
      </c>
      <c r="C25" s="147">
        <v>288462</v>
      </c>
      <c r="D25" s="147"/>
      <c r="E25" s="147">
        <f>+C25</f>
        <v>288462</v>
      </c>
      <c r="F25" s="147"/>
      <c r="G25" s="147"/>
      <c r="H25" s="147"/>
      <c r="I25" s="147"/>
      <c r="J25" s="147"/>
      <c r="K25" s="147"/>
      <c r="L25" s="147"/>
      <c r="M25" s="147"/>
      <c r="N25" s="147"/>
      <c r="O25" s="147"/>
      <c r="P25" s="147"/>
      <c r="Q25" s="147"/>
      <c r="R25" s="516">
        <f t="shared" si="6"/>
        <v>288462</v>
      </c>
      <c r="S25" s="147">
        <f t="shared" si="4"/>
        <v>288462</v>
      </c>
      <c r="T25" s="147"/>
      <c r="U25" s="143"/>
    </row>
    <row r="26" spans="1:21" s="144" customFormat="1">
      <c r="A26" s="149" t="s">
        <v>133</v>
      </c>
      <c r="B26" s="146">
        <f t="shared" si="3"/>
        <v>26594469</v>
      </c>
      <c r="C26" s="146">
        <f>SUM(C17:C25)</f>
        <v>26594469</v>
      </c>
      <c r="D26" s="146">
        <f t="shared" ref="D26:Q26" si="7">SUM(D17:D25)</f>
        <v>0</v>
      </c>
      <c r="E26" s="146">
        <f t="shared" si="7"/>
        <v>9890600</v>
      </c>
      <c r="F26" s="146">
        <f t="shared" si="7"/>
        <v>11263869</v>
      </c>
      <c r="G26" s="146">
        <f t="shared" si="7"/>
        <v>0</v>
      </c>
      <c r="H26" s="146">
        <f t="shared" si="7"/>
        <v>0</v>
      </c>
      <c r="I26" s="146">
        <f t="shared" si="7"/>
        <v>0</v>
      </c>
      <c r="J26" s="146">
        <f t="shared" si="7"/>
        <v>0</v>
      </c>
      <c r="K26" s="146">
        <f t="shared" si="7"/>
        <v>0</v>
      </c>
      <c r="L26" s="146">
        <f t="shared" si="7"/>
        <v>0</v>
      </c>
      <c r="M26" s="146">
        <f t="shared" si="7"/>
        <v>5440000</v>
      </c>
      <c r="N26" s="146">
        <f t="shared" si="7"/>
        <v>0</v>
      </c>
      <c r="O26" s="146">
        <f t="shared" si="7"/>
        <v>0</v>
      </c>
      <c r="P26" s="146">
        <f t="shared" si="7"/>
        <v>0</v>
      </c>
      <c r="Q26" s="146">
        <f t="shared" si="7"/>
        <v>0</v>
      </c>
      <c r="R26" s="342">
        <f>SUM(R17:R25)</f>
        <v>26594469</v>
      </c>
      <c r="S26" s="150">
        <f>SUM(S17:S25)</f>
        <v>26594469</v>
      </c>
      <c r="T26" s="150">
        <f>SUM(T17:T25)</f>
        <v>0</v>
      </c>
      <c r="U26" s="143"/>
    </row>
    <row r="27" spans="1:21" s="144" customFormat="1">
      <c r="A27" s="149" t="s">
        <v>141</v>
      </c>
      <c r="B27" s="146">
        <f>SUM(C27:D27)</f>
        <v>1173809</v>
      </c>
      <c r="C27" s="147">
        <v>1173809</v>
      </c>
      <c r="D27" s="147"/>
      <c r="E27" s="147">
        <f>+C27</f>
        <v>1173809</v>
      </c>
      <c r="F27" s="147"/>
      <c r="G27" s="147"/>
      <c r="H27" s="147"/>
      <c r="I27" s="147"/>
      <c r="J27" s="147"/>
      <c r="K27" s="147"/>
      <c r="L27" s="147"/>
      <c r="M27" s="147"/>
      <c r="N27" s="147"/>
      <c r="O27" s="147"/>
      <c r="P27" s="147"/>
      <c r="Q27" s="147"/>
      <c r="R27" s="516">
        <f t="shared" si="6"/>
        <v>1173809</v>
      </c>
      <c r="S27" s="147">
        <f>+R27</f>
        <v>1173809</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1638</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9"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293820</v>
      </c>
      <c r="C40" s="147">
        <f>278820+15000</f>
        <v>293820</v>
      </c>
      <c r="D40" s="147"/>
      <c r="E40" s="147">
        <f>+C40</f>
        <v>293820</v>
      </c>
      <c r="F40" s="147"/>
      <c r="G40" s="147"/>
      <c r="H40" s="147"/>
      <c r="I40" s="147"/>
      <c r="J40" s="147"/>
      <c r="K40" s="147"/>
      <c r="L40" s="147"/>
      <c r="M40" s="147"/>
      <c r="N40" s="147"/>
      <c r="O40" s="147"/>
      <c r="P40" s="147"/>
      <c r="Q40" s="147"/>
      <c r="R40" s="516">
        <f>SUM(E40:Q40)</f>
        <v>293820</v>
      </c>
      <c r="S40" s="147">
        <f>+R40</f>
        <v>293820</v>
      </c>
      <c r="T40" s="147"/>
      <c r="U40" s="143"/>
    </row>
    <row r="41" spans="1:21" s="144" customFormat="1">
      <c r="A41" s="145" t="s">
        <v>146</v>
      </c>
      <c r="B41" s="146">
        <f>SUM(C41+D41)</f>
        <v>92940</v>
      </c>
      <c r="C41" s="147">
        <v>92940</v>
      </c>
      <c r="D41" s="147"/>
      <c r="E41" s="147">
        <f>+C41</f>
        <v>92940</v>
      </c>
      <c r="F41" s="147"/>
      <c r="G41" s="147"/>
      <c r="H41" s="147"/>
      <c r="I41" s="147"/>
      <c r="J41" s="147"/>
      <c r="K41" s="147"/>
      <c r="L41" s="147"/>
      <c r="M41" s="147"/>
      <c r="N41" s="147"/>
      <c r="O41" s="147"/>
      <c r="P41" s="147"/>
      <c r="Q41" s="147"/>
      <c r="R41" s="516">
        <f>SUM(E41:Q41)</f>
        <v>92940</v>
      </c>
      <c r="S41" s="147">
        <f>+R41</f>
        <v>92940</v>
      </c>
      <c r="T41" s="147"/>
      <c r="U41" s="143"/>
    </row>
    <row r="42" spans="1:21" s="144" customFormat="1">
      <c r="A42" s="149" t="s">
        <v>147</v>
      </c>
      <c r="B42" s="146">
        <f>SUM(C42:D42)</f>
        <v>386760</v>
      </c>
      <c r="C42" s="146">
        <f>SUM(C39:C41)</f>
        <v>386760</v>
      </c>
      <c r="D42" s="146">
        <f>SUM(D39:D41)</f>
        <v>0</v>
      </c>
      <c r="E42" s="146">
        <f t="shared" ref="E42:T42" si="11">SUM(E40:E41)</f>
        <v>386760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386760</v>
      </c>
      <c r="S42" s="150">
        <f t="shared" si="11"/>
        <v>386760</v>
      </c>
      <c r="T42" s="150">
        <f t="shared" si="11"/>
        <v>0</v>
      </c>
      <c r="U42" s="143"/>
    </row>
    <row r="43" spans="1:21" s="144" customFormat="1">
      <c r="A43" s="149" t="s">
        <v>148</v>
      </c>
      <c r="B43" s="146">
        <f>SUM(C43:D43)</f>
        <v>38300</v>
      </c>
      <c r="C43" s="147">
        <v>38300</v>
      </c>
      <c r="D43" s="147"/>
      <c r="E43" s="147">
        <f>+C43</f>
        <v>38300</v>
      </c>
      <c r="F43" s="147"/>
      <c r="G43" s="147"/>
      <c r="H43" s="147"/>
      <c r="I43" s="147"/>
      <c r="J43" s="147"/>
      <c r="K43" s="147"/>
      <c r="L43" s="147"/>
      <c r="M43" s="147"/>
      <c r="N43" s="147"/>
      <c r="O43" s="147"/>
      <c r="P43" s="147"/>
      <c r="Q43" s="147"/>
      <c r="R43" s="516">
        <f>SUM(E43:Q43)</f>
        <v>38300</v>
      </c>
      <c r="S43" s="147">
        <f>+R43</f>
        <v>38300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1751068</v>
      </c>
      <c r="C45" s="147">
        <f>1164603+586465</f>
        <v>1751068</v>
      </c>
      <c r="D45" s="147"/>
      <c r="E45" s="147">
        <f>+C45-L45</f>
        <v>649913</v>
      </c>
      <c r="F45" s="147"/>
      <c r="G45" s="147"/>
      <c r="H45" s="147"/>
      <c r="I45" s="147"/>
      <c r="J45" s="147"/>
      <c r="K45" s="147"/>
      <c r="L45" s="147">
        <f>+L108</f>
        <v>1101155</v>
      </c>
      <c r="M45" s="147"/>
      <c r="N45" s="147"/>
      <c r="O45" s="147"/>
      <c r="P45" s="147"/>
      <c r="Q45" s="147"/>
      <c r="R45" s="516">
        <f t="shared" ref="R45:R53" si="13">SUM(E45:Q45)</f>
        <v>1751068</v>
      </c>
      <c r="S45" s="147">
        <v>1164603</v>
      </c>
      <c r="T45" s="147"/>
      <c r="U45" s="143"/>
    </row>
    <row r="46" spans="1:21" s="144" customFormat="1">
      <c r="A46" s="145" t="s">
        <v>151</v>
      </c>
      <c r="B46" s="146">
        <f t="shared" si="12"/>
        <v>267496</v>
      </c>
      <c r="C46" s="147">
        <v>267496</v>
      </c>
      <c r="D46" s="147"/>
      <c r="E46" s="147">
        <f t="shared" ref="E46:E53" si="14">+C46</f>
        <v>267496</v>
      </c>
      <c r="F46" s="147"/>
      <c r="G46" s="147"/>
      <c r="H46" s="147"/>
      <c r="I46" s="147"/>
      <c r="J46" s="147"/>
      <c r="K46" s="147"/>
      <c r="L46" s="147"/>
      <c r="M46" s="147"/>
      <c r="N46" s="147"/>
      <c r="O46" s="147"/>
      <c r="P46" s="147"/>
      <c r="Q46" s="147"/>
      <c r="R46" s="516">
        <f t="shared" si="13"/>
        <v>267496</v>
      </c>
      <c r="S46" s="147">
        <f>+R46</f>
        <v>267496</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f t="shared" ref="S47:S51" si="15">+R47</f>
        <v>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f t="shared" si="15"/>
        <v>0</v>
      </c>
      <c r="T48" s="147"/>
      <c r="U48" s="143"/>
    </row>
    <row r="49" spans="1:21" s="144" customFormat="1">
      <c r="A49" s="145" t="s">
        <v>57</v>
      </c>
      <c r="B49" s="146">
        <f t="shared" si="12"/>
        <v>121209</v>
      </c>
      <c r="C49" s="147">
        <f>51335+8349+25668+31957+1200+1200+1500</f>
        <v>121209</v>
      </c>
      <c r="D49" s="147"/>
      <c r="E49" s="147">
        <f>+C49</f>
        <v>121209</v>
      </c>
      <c r="F49" s="147"/>
      <c r="G49" s="147"/>
      <c r="H49" s="147"/>
      <c r="I49" s="147"/>
      <c r="J49" s="147"/>
      <c r="K49" s="147"/>
      <c r="L49" s="147"/>
      <c r="M49" s="147"/>
      <c r="N49" s="147"/>
      <c r="O49" s="147"/>
      <c r="P49" s="147"/>
      <c r="Q49" s="147"/>
      <c r="R49" s="516">
        <f t="shared" si="13"/>
        <v>121209</v>
      </c>
      <c r="S49" s="147">
        <f>+R49-8249-31957-1200-1200-1500-100</f>
        <v>77003</v>
      </c>
      <c r="T49" s="147"/>
      <c r="U49" s="143"/>
    </row>
    <row r="50" spans="1:21" s="144" customFormat="1">
      <c r="A50" s="145" t="s">
        <v>156</v>
      </c>
      <c r="B50" s="146">
        <f t="shared" si="12"/>
        <v>75000</v>
      </c>
      <c r="C50" s="147">
        <v>75000</v>
      </c>
      <c r="D50" s="147"/>
      <c r="E50" s="147">
        <f t="shared" si="14"/>
        <v>75000</v>
      </c>
      <c r="F50" s="147"/>
      <c r="G50" s="147"/>
      <c r="H50" s="147"/>
      <c r="I50" s="147"/>
      <c r="J50" s="147"/>
      <c r="K50" s="147"/>
      <c r="L50" s="147"/>
      <c r="M50" s="147"/>
      <c r="N50" s="147"/>
      <c r="O50" s="147"/>
      <c r="P50" s="147"/>
      <c r="Q50" s="147"/>
      <c r="R50" s="516">
        <f t="shared" si="13"/>
        <v>75000</v>
      </c>
      <c r="S50" s="147">
        <f t="shared" si="15"/>
        <v>75000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f t="shared" si="15"/>
        <v>0</v>
      </c>
      <c r="T51" s="147"/>
      <c r="U51" s="143"/>
    </row>
    <row r="52" spans="1:21" s="144" customFormat="1">
      <c r="A52" s="145" t="s">
        <v>155</v>
      </c>
      <c r="B52" s="146">
        <f t="shared" si="12"/>
        <v>339682</v>
      </c>
      <c r="C52" s="147">
        <v>339682</v>
      </c>
      <c r="D52" s="147"/>
      <c r="E52" s="147">
        <f>+C52</f>
        <v>339682</v>
      </c>
      <c r="F52" s="147"/>
      <c r="G52" s="147"/>
      <c r="H52" s="147"/>
      <c r="I52" s="147"/>
      <c r="J52" s="147"/>
      <c r="K52" s="147"/>
      <c r="L52" s="147"/>
      <c r="M52" s="147"/>
      <c r="N52" s="147"/>
      <c r="O52" s="147"/>
      <c r="P52" s="147"/>
      <c r="Q52" s="147"/>
      <c r="R52" s="516">
        <f t="shared" si="13"/>
        <v>339682</v>
      </c>
      <c r="S52" s="147">
        <v>0</v>
      </c>
      <c r="T52" s="147"/>
      <c r="U52" s="143"/>
    </row>
    <row r="53" spans="1:21" s="144" customFormat="1">
      <c r="A53" s="1149" t="s">
        <v>2782</v>
      </c>
      <c r="B53" s="146">
        <f t="shared" si="12"/>
        <v>83000</v>
      </c>
      <c r="C53" s="147">
        <v>83000</v>
      </c>
      <c r="D53" s="147"/>
      <c r="E53" s="147">
        <f t="shared" si="14"/>
        <v>83000</v>
      </c>
      <c r="F53" s="147"/>
      <c r="G53" s="147"/>
      <c r="H53" s="147"/>
      <c r="I53" s="147"/>
      <c r="J53" s="147"/>
      <c r="K53" s="147"/>
      <c r="L53" s="147"/>
      <c r="M53" s="147"/>
      <c r="N53" s="147"/>
      <c r="O53" s="147"/>
      <c r="P53" s="147"/>
      <c r="Q53" s="147"/>
      <c r="R53" s="516">
        <f t="shared" si="13"/>
        <v>83000</v>
      </c>
      <c r="S53" s="147">
        <v>18000</v>
      </c>
      <c r="T53" s="147"/>
      <c r="U53" s="143"/>
    </row>
    <row r="54" spans="1:21" s="153" customFormat="1">
      <c r="A54" s="149" t="s">
        <v>157</v>
      </c>
      <c r="B54" s="150">
        <f>SUM(C54:D54)</f>
        <v>2637455</v>
      </c>
      <c r="C54" s="150">
        <f t="shared" ref="C54:T54" si="16">SUM(C45:C53)</f>
        <v>2637455</v>
      </c>
      <c r="D54" s="150">
        <f t="shared" si="16"/>
        <v>0</v>
      </c>
      <c r="E54" s="150">
        <f t="shared" si="16"/>
        <v>1536300</v>
      </c>
      <c r="F54" s="150">
        <f t="shared" si="16"/>
        <v>0</v>
      </c>
      <c r="G54" s="150">
        <f t="shared" si="16"/>
        <v>0</v>
      </c>
      <c r="H54" s="150">
        <f t="shared" si="16"/>
        <v>0</v>
      </c>
      <c r="I54" s="150">
        <f t="shared" si="16"/>
        <v>0</v>
      </c>
      <c r="J54" s="150">
        <f t="shared" si="16"/>
        <v>0</v>
      </c>
      <c r="K54" s="150">
        <f t="shared" si="16"/>
        <v>0</v>
      </c>
      <c r="L54" s="150">
        <f t="shared" si="16"/>
        <v>1101155</v>
      </c>
      <c r="M54" s="150">
        <f t="shared" si="16"/>
        <v>0</v>
      </c>
      <c r="N54" s="150">
        <f t="shared" si="16"/>
        <v>0</v>
      </c>
      <c r="O54" s="150">
        <f t="shared" si="16"/>
        <v>0</v>
      </c>
      <c r="P54" s="150">
        <f t="shared" si="16"/>
        <v>0</v>
      </c>
      <c r="Q54" s="150">
        <f t="shared" si="16"/>
        <v>0</v>
      </c>
      <c r="R54" s="342">
        <f t="shared" si="16"/>
        <v>2637455</v>
      </c>
      <c r="S54" s="150">
        <f t="shared" si="16"/>
        <v>1602102</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112639</v>
      </c>
      <c r="C56" s="147">
        <v>112639</v>
      </c>
      <c r="D56" s="147"/>
      <c r="E56" s="147">
        <f>+C56</f>
        <v>112639</v>
      </c>
      <c r="F56" s="147"/>
      <c r="G56" s="147"/>
      <c r="H56" s="147"/>
      <c r="I56" s="147"/>
      <c r="J56" s="147"/>
      <c r="K56" s="147"/>
      <c r="L56" s="147"/>
      <c r="M56" s="147"/>
      <c r="N56" s="147"/>
      <c r="O56" s="147"/>
      <c r="P56" s="147"/>
      <c r="Q56" s="147"/>
      <c r="R56" s="516">
        <f t="shared" ref="R56:R61" si="18">SUM(E56:Q56)</f>
        <v>112639</v>
      </c>
      <c r="S56" s="148"/>
      <c r="T56" s="148"/>
      <c r="U56" s="143"/>
    </row>
    <row r="57" spans="1:21" s="192" customFormat="1">
      <c r="A57" s="186" t="s">
        <v>152</v>
      </c>
      <c r="B57" s="193">
        <f t="shared" si="17"/>
        <v>40000</v>
      </c>
      <c r="C57" s="190">
        <v>40000</v>
      </c>
      <c r="D57" s="190"/>
      <c r="E57" s="190">
        <f>+C57</f>
        <v>40000</v>
      </c>
      <c r="F57" s="190"/>
      <c r="G57" s="190"/>
      <c r="H57" s="190"/>
      <c r="I57" s="190"/>
      <c r="J57" s="190"/>
      <c r="K57" s="190"/>
      <c r="L57" s="190"/>
      <c r="M57" s="190"/>
      <c r="N57" s="190"/>
      <c r="O57" s="190"/>
      <c r="P57" s="190"/>
      <c r="Q57" s="190"/>
      <c r="R57" s="516">
        <f t="shared" si="18"/>
        <v>40000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2786</v>
      </c>
      <c r="B61" s="146">
        <f t="shared" si="17"/>
        <v>10000</v>
      </c>
      <c r="C61" s="147">
        <v>10000</v>
      </c>
      <c r="D61" s="147"/>
      <c r="E61" s="147">
        <f>+C61</f>
        <v>10000</v>
      </c>
      <c r="F61" s="147"/>
      <c r="G61" s="147"/>
      <c r="H61" s="147"/>
      <c r="I61" s="147"/>
      <c r="J61" s="147"/>
      <c r="K61" s="147"/>
      <c r="L61" s="147"/>
      <c r="M61" s="147"/>
      <c r="N61" s="147"/>
      <c r="O61" s="147"/>
      <c r="P61" s="147"/>
      <c r="Q61" s="147"/>
      <c r="R61" s="516">
        <f t="shared" si="18"/>
        <v>10000</v>
      </c>
      <c r="S61" s="148"/>
      <c r="T61" s="148"/>
      <c r="U61" s="143"/>
    </row>
    <row r="62" spans="1:21" s="144" customFormat="1" ht="13.7" customHeight="1">
      <c r="A62" s="149" t="s">
        <v>301</v>
      </c>
      <c r="B62" s="146">
        <f>SUM(C62:D62)</f>
        <v>162639</v>
      </c>
      <c r="C62" s="146">
        <f t="shared" ref="C62:R62" si="19">SUM(C56:C61)</f>
        <v>162639</v>
      </c>
      <c r="D62" s="146">
        <f t="shared" si="19"/>
        <v>0</v>
      </c>
      <c r="E62" s="146">
        <f t="shared" si="19"/>
        <v>162639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162639</v>
      </c>
      <c r="S62" s="148"/>
      <c r="T62" s="148"/>
      <c r="U62" s="143"/>
    </row>
    <row r="63" spans="1:21" s="144" customFormat="1">
      <c r="A63" s="154" t="s">
        <v>302</v>
      </c>
      <c r="B63" s="146">
        <f t="shared" ref="B63:R63" si="20">SUM(B8+B11+B13+B14+B15+B26+B27+B38+B42+B43+B54+B62)</f>
        <v>56793432</v>
      </c>
      <c r="C63" s="146">
        <f t="shared" si="20"/>
        <v>56793432</v>
      </c>
      <c r="D63" s="146">
        <f t="shared" si="20"/>
        <v>0</v>
      </c>
      <c r="E63" s="146">
        <f t="shared" si="20"/>
        <v>16026186</v>
      </c>
      <c r="F63" s="146">
        <f t="shared" si="20"/>
        <v>11263869</v>
      </c>
      <c r="G63" s="146">
        <f t="shared" si="20"/>
        <v>11080760</v>
      </c>
      <c r="H63" s="146">
        <f t="shared" si="20"/>
        <v>11881462</v>
      </c>
      <c r="I63" s="146">
        <f t="shared" si="20"/>
        <v>0</v>
      </c>
      <c r="J63" s="146">
        <f t="shared" si="20"/>
        <v>0</v>
      </c>
      <c r="K63" s="146">
        <f t="shared" si="20"/>
        <v>0</v>
      </c>
      <c r="L63" s="146">
        <f t="shared" si="20"/>
        <v>1101155</v>
      </c>
      <c r="M63" s="146">
        <f t="shared" si="20"/>
        <v>5440000</v>
      </c>
      <c r="N63" s="146">
        <f t="shared" si="20"/>
        <v>0</v>
      </c>
      <c r="O63" s="146">
        <f t="shared" si="20"/>
        <v>0</v>
      </c>
      <c r="P63" s="146">
        <f t="shared" si="20"/>
        <v>0</v>
      </c>
      <c r="Q63" s="146">
        <f t="shared" si="20"/>
        <v>0</v>
      </c>
      <c r="R63" s="342">
        <f t="shared" si="20"/>
        <v>56793432</v>
      </c>
      <c r="S63" s="146">
        <f>SUM(S10+S13+S14+S15+S26+S27+S38+S42+S43+S54)</f>
        <v>29795440</v>
      </c>
      <c r="T63" s="146">
        <f>SUM(T11+T13+T14+T15+T26+T27+T38+T42+T43+T54)</f>
        <v>25603000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79000</v>
      </c>
      <c r="C65" s="147">
        <v>79000</v>
      </c>
      <c r="D65" s="147"/>
      <c r="E65" s="147">
        <f>+C65</f>
        <v>79000</v>
      </c>
      <c r="F65" s="147"/>
      <c r="G65" s="147"/>
      <c r="H65" s="147"/>
      <c r="I65" s="147"/>
      <c r="J65" s="147"/>
      <c r="K65" s="147"/>
      <c r="L65" s="147"/>
      <c r="M65" s="147"/>
      <c r="N65" s="147"/>
      <c r="O65" s="147"/>
      <c r="P65" s="147"/>
      <c r="Q65" s="147"/>
      <c r="R65" s="516">
        <f>SUM(E65:Q65)</f>
        <v>79000</v>
      </c>
      <c r="S65" s="147"/>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27480</v>
      </c>
      <c r="C68" s="147">
        <v>27480</v>
      </c>
      <c r="D68" s="147"/>
      <c r="E68" s="147">
        <f t="shared" ref="E68:E69" si="21">+C68</f>
        <v>27480</v>
      </c>
      <c r="F68" s="147"/>
      <c r="G68" s="147"/>
      <c r="H68" s="147"/>
      <c r="I68" s="147"/>
      <c r="J68" s="147"/>
      <c r="K68" s="147"/>
      <c r="L68" s="147"/>
      <c r="M68" s="147"/>
      <c r="N68" s="147"/>
      <c r="O68" s="147"/>
      <c r="P68" s="147"/>
      <c r="Q68" s="147"/>
      <c r="R68" s="516">
        <f>SUM(E68:Q68)</f>
        <v>27480</v>
      </c>
      <c r="S68" s="147">
        <f>+R68/2</f>
        <v>13740</v>
      </c>
      <c r="T68" s="147"/>
      <c r="U68" s="143"/>
    </row>
    <row r="69" spans="1:21" s="144" customFormat="1">
      <c r="A69" s="1149" t="s">
        <v>2787</v>
      </c>
      <c r="B69" s="146">
        <f>SUM(C69+D69)</f>
        <v>393000</v>
      </c>
      <c r="C69" s="147">
        <f>25000+368000</f>
        <v>393000</v>
      </c>
      <c r="D69" s="147"/>
      <c r="E69" s="147">
        <f t="shared" si="21"/>
        <v>393000</v>
      </c>
      <c r="F69" s="147"/>
      <c r="G69" s="147"/>
      <c r="H69" s="147"/>
      <c r="I69" s="147"/>
      <c r="J69" s="147"/>
      <c r="K69" s="147"/>
      <c r="L69" s="147"/>
      <c r="M69" s="147"/>
      <c r="N69" s="147"/>
      <c r="O69" s="147"/>
      <c r="P69" s="147"/>
      <c r="Q69" s="147"/>
      <c r="R69" s="516">
        <f>SUM(E69:Q69)</f>
        <v>393000</v>
      </c>
      <c r="S69" s="147">
        <v>36000</v>
      </c>
      <c r="T69" s="147"/>
      <c r="U69" s="143"/>
    </row>
    <row r="70" spans="1:21" s="144" customFormat="1">
      <c r="A70" s="149" t="s">
        <v>1643</v>
      </c>
      <c r="B70" s="146">
        <f>SUM(C70:D70)</f>
        <v>499480</v>
      </c>
      <c r="C70" s="146">
        <f>SUM(C65:C69)</f>
        <v>499480</v>
      </c>
      <c r="D70" s="146">
        <f>SUM(D65:D69)</f>
        <v>0</v>
      </c>
      <c r="E70" s="146">
        <f t="shared" ref="E70:T70" si="22">SUM(E65:E69)</f>
        <v>499480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499480</v>
      </c>
      <c r="S70" s="150">
        <f t="shared" si="22"/>
        <v>49740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1689374</v>
      </c>
      <c r="C72" s="147">
        <f>+Application!AM558+Application!AM559</f>
        <v>1689374</v>
      </c>
      <c r="D72" s="147"/>
      <c r="E72" s="147"/>
      <c r="F72" s="147"/>
      <c r="G72" s="147"/>
      <c r="H72" s="147"/>
      <c r="I72" s="147">
        <f>+I108</f>
        <v>758188</v>
      </c>
      <c r="J72" s="147">
        <f>+J108</f>
        <v>931186</v>
      </c>
      <c r="K72" s="147"/>
      <c r="L72" s="147"/>
      <c r="M72" s="147"/>
      <c r="N72" s="147"/>
      <c r="O72" s="147"/>
      <c r="P72" s="147"/>
      <c r="Q72" s="147"/>
      <c r="R72" s="516">
        <f>SUM(E72:Q72)</f>
        <v>1689374</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159000</v>
      </c>
      <c r="C74" s="147">
        <v>159000</v>
      </c>
      <c r="D74" s="147"/>
      <c r="E74" s="147">
        <f>+C74</f>
        <v>159000</v>
      </c>
      <c r="F74" s="147"/>
      <c r="G74" s="147"/>
      <c r="H74" s="147"/>
      <c r="I74" s="147"/>
      <c r="J74" s="147"/>
      <c r="K74" s="147"/>
      <c r="L74" s="147"/>
      <c r="M74" s="147"/>
      <c r="N74" s="147"/>
      <c r="O74" s="147"/>
      <c r="P74" s="147"/>
      <c r="Q74" s="147"/>
      <c r="R74" s="516">
        <f>SUM(E74:Q74)</f>
        <v>159000</v>
      </c>
      <c r="S74" s="148"/>
      <c r="T74" s="148"/>
      <c r="U74" s="143"/>
    </row>
    <row r="75" spans="1:21" s="144" customFormat="1">
      <c r="A75" s="145" t="s">
        <v>605</v>
      </c>
      <c r="B75" s="146">
        <f>SUM(C75+D75)</f>
        <v>749672</v>
      </c>
      <c r="C75" s="147">
        <v>749672</v>
      </c>
      <c r="D75" s="147"/>
      <c r="E75" s="147">
        <f>+C75</f>
        <v>749672</v>
      </c>
      <c r="F75" s="147"/>
      <c r="G75" s="147"/>
      <c r="H75" s="147"/>
      <c r="I75" s="147"/>
      <c r="J75" s="147"/>
      <c r="K75" s="147"/>
      <c r="L75" s="147"/>
      <c r="M75" s="147"/>
      <c r="N75" s="147"/>
      <c r="O75" s="147"/>
      <c r="P75" s="147"/>
      <c r="Q75" s="147"/>
      <c r="R75" s="516">
        <f>SUM(E75:Q75)</f>
        <v>749672</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2598046</v>
      </c>
      <c r="C77" s="146">
        <f>SUM(C72:C76)</f>
        <v>2598046</v>
      </c>
      <c r="D77" s="146">
        <f>SUM(D72:D76)</f>
        <v>0</v>
      </c>
      <c r="E77" s="146">
        <f t="shared" ref="E77:Q77" si="23">SUM(E72:E76)</f>
        <v>908672</v>
      </c>
      <c r="F77" s="146">
        <f t="shared" si="23"/>
        <v>0</v>
      </c>
      <c r="G77" s="146">
        <f t="shared" si="23"/>
        <v>0</v>
      </c>
      <c r="H77" s="146">
        <f t="shared" si="23"/>
        <v>0</v>
      </c>
      <c r="I77" s="146">
        <f t="shared" si="23"/>
        <v>758188</v>
      </c>
      <c r="J77" s="146">
        <f t="shared" si="23"/>
        <v>931186</v>
      </c>
      <c r="K77" s="146">
        <f t="shared" si="23"/>
        <v>0</v>
      </c>
      <c r="L77" s="146">
        <f t="shared" si="23"/>
        <v>0</v>
      </c>
      <c r="M77" s="146">
        <f t="shared" si="23"/>
        <v>0</v>
      </c>
      <c r="N77" s="146">
        <f t="shared" si="23"/>
        <v>0</v>
      </c>
      <c r="O77" s="146">
        <f t="shared" si="23"/>
        <v>0</v>
      </c>
      <c r="P77" s="146">
        <f t="shared" si="23"/>
        <v>0</v>
      </c>
      <c r="Q77" s="146">
        <f t="shared" si="23"/>
        <v>0</v>
      </c>
      <c r="R77" s="342">
        <f>SUM(R72:R76)</f>
        <v>2598046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2628447</v>
      </c>
      <c r="C79" s="147">
        <v>2628447</v>
      </c>
      <c r="D79" s="147"/>
      <c r="E79" s="147">
        <f>+C79</f>
        <v>2628447</v>
      </c>
      <c r="F79" s="147"/>
      <c r="G79" s="147"/>
      <c r="H79" s="147"/>
      <c r="I79" s="147"/>
      <c r="J79" s="147"/>
      <c r="K79" s="147"/>
      <c r="L79" s="147"/>
      <c r="M79" s="147"/>
      <c r="N79" s="147"/>
      <c r="O79" s="147"/>
      <c r="P79" s="147"/>
      <c r="Q79" s="147"/>
      <c r="R79" s="516">
        <f>SUM(E79:Q79)</f>
        <v>2628447</v>
      </c>
      <c r="S79" s="147">
        <f>+R79</f>
        <v>2628447</v>
      </c>
      <c r="T79" s="147"/>
      <c r="U79" s="143"/>
    </row>
    <row r="80" spans="1:21" s="144" customFormat="1">
      <c r="A80" s="283" t="s">
        <v>58</v>
      </c>
      <c r="B80" s="146">
        <f>SUM(C80:D80)</f>
        <v>184057</v>
      </c>
      <c r="C80" s="147">
        <v>184057</v>
      </c>
      <c r="D80" s="147"/>
      <c r="E80" s="147">
        <f>+C80</f>
        <v>184057</v>
      </c>
      <c r="F80" s="147"/>
      <c r="G80" s="147"/>
      <c r="H80" s="147"/>
      <c r="I80" s="147"/>
      <c r="J80" s="147"/>
      <c r="K80" s="147"/>
      <c r="L80" s="147"/>
      <c r="M80" s="147"/>
      <c r="N80" s="147"/>
      <c r="O80" s="147"/>
      <c r="P80" s="147"/>
      <c r="Q80" s="147"/>
      <c r="R80" s="516">
        <f>SUM(E80:Q80)</f>
        <v>184057</v>
      </c>
      <c r="S80" s="147">
        <f>+R80</f>
        <v>184057</v>
      </c>
      <c r="T80" s="147"/>
      <c r="U80" s="143"/>
    </row>
    <row r="81" spans="1:21" s="144" customFormat="1">
      <c r="A81" s="149" t="s">
        <v>1207</v>
      </c>
      <c r="B81" s="146">
        <f>SUM(C81:D81)</f>
        <v>2812504</v>
      </c>
      <c r="C81" s="509">
        <f>SUM(C79:C80)</f>
        <v>2812504</v>
      </c>
      <c r="D81" s="509">
        <f t="shared" ref="D81:T81" si="24">SUM(D79:D80)</f>
        <v>0</v>
      </c>
      <c r="E81" s="509">
        <f t="shared" si="24"/>
        <v>2812504</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2812504</v>
      </c>
      <c r="S81" s="509">
        <f t="shared" si="24"/>
        <v>2812504</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si="25">SUM(C83+D83)</f>
        <v>119800</v>
      </c>
      <c r="C83" s="147">
        <f>111300+8500</f>
        <v>119800</v>
      </c>
      <c r="D83" s="147"/>
      <c r="E83" s="147">
        <f>+C83</f>
        <v>119800</v>
      </c>
      <c r="F83" s="147"/>
      <c r="G83" s="147"/>
      <c r="H83" s="147"/>
      <c r="I83" s="147"/>
      <c r="J83" s="147"/>
      <c r="K83" s="147"/>
      <c r="L83" s="147"/>
      <c r="M83" s="147"/>
      <c r="N83" s="147"/>
      <c r="O83" s="147"/>
      <c r="P83" s="147"/>
      <c r="Q83" s="147"/>
      <c r="R83" s="516">
        <f t="shared" ref="R83:R95" si="26">SUM(E83:Q83)</f>
        <v>119800</v>
      </c>
      <c r="S83" s="148"/>
      <c r="T83" s="148"/>
      <c r="U83" s="143"/>
    </row>
    <row r="84" spans="1:21" s="144" customFormat="1">
      <c r="A84" s="145" t="s">
        <v>766</v>
      </c>
      <c r="B84" s="146">
        <f t="shared" si="25"/>
        <v>80000</v>
      </c>
      <c r="C84" s="147">
        <v>80000</v>
      </c>
      <c r="D84" s="147"/>
      <c r="E84" s="147">
        <f t="shared" ref="E84:E95" si="27">+C84</f>
        <v>80000</v>
      </c>
      <c r="F84" s="147"/>
      <c r="G84" s="147"/>
      <c r="H84" s="147"/>
      <c r="I84" s="147"/>
      <c r="J84" s="147"/>
      <c r="K84" s="147"/>
      <c r="L84" s="147"/>
      <c r="M84" s="147"/>
      <c r="N84" s="147"/>
      <c r="O84" s="147"/>
      <c r="P84" s="147"/>
      <c r="Q84" s="147"/>
      <c r="R84" s="516">
        <f t="shared" si="26"/>
        <v>80000</v>
      </c>
      <c r="S84" s="147">
        <f>+R84</f>
        <v>80000</v>
      </c>
      <c r="T84" s="147"/>
      <c r="U84" s="143"/>
    </row>
    <row r="85" spans="1:21" s="144" customFormat="1">
      <c r="A85" s="145" t="s">
        <v>767</v>
      </c>
      <c r="B85" s="146">
        <f t="shared" si="25"/>
        <v>0</v>
      </c>
      <c r="C85" s="147"/>
      <c r="D85" s="147"/>
      <c r="E85" s="147">
        <f t="shared" si="27"/>
        <v>0</v>
      </c>
      <c r="F85" s="147"/>
      <c r="G85" s="147"/>
      <c r="H85" s="147"/>
      <c r="I85" s="147"/>
      <c r="J85" s="147"/>
      <c r="K85" s="147"/>
      <c r="L85" s="147"/>
      <c r="M85" s="147"/>
      <c r="N85" s="147"/>
      <c r="O85" s="147"/>
      <c r="P85" s="147"/>
      <c r="Q85" s="147"/>
      <c r="R85" s="516">
        <f t="shared" si="26"/>
        <v>0</v>
      </c>
      <c r="S85" s="147">
        <f t="shared" ref="S85:S87" si="28">+R85</f>
        <v>0</v>
      </c>
      <c r="T85" s="147"/>
      <c r="U85" s="143"/>
    </row>
    <row r="86" spans="1:21" s="144" customFormat="1">
      <c r="A86" s="145" t="s">
        <v>768</v>
      </c>
      <c r="B86" s="146">
        <f t="shared" si="25"/>
        <v>196000</v>
      </c>
      <c r="C86" s="147">
        <f>21000+175000</f>
        <v>196000</v>
      </c>
      <c r="D86" s="147"/>
      <c r="E86" s="147">
        <f t="shared" si="27"/>
        <v>196000</v>
      </c>
      <c r="F86" s="147"/>
      <c r="G86" s="147"/>
      <c r="H86" s="147"/>
      <c r="I86" s="147"/>
      <c r="J86" s="147"/>
      <c r="K86" s="147"/>
      <c r="L86" s="147"/>
      <c r="M86" s="147"/>
      <c r="N86" s="147"/>
      <c r="O86" s="147"/>
      <c r="P86" s="147"/>
      <c r="Q86" s="147"/>
      <c r="R86" s="516">
        <f t="shared" si="26"/>
        <v>196000</v>
      </c>
      <c r="S86" s="147">
        <f t="shared" si="28"/>
        <v>196000</v>
      </c>
      <c r="T86" s="147"/>
      <c r="U86" s="143"/>
    </row>
    <row r="87" spans="1:21" s="144" customFormat="1">
      <c r="A87" s="145" t="s">
        <v>769</v>
      </c>
      <c r="B87" s="146">
        <f t="shared" si="25"/>
        <v>0</v>
      </c>
      <c r="C87" s="147"/>
      <c r="D87" s="147"/>
      <c r="E87" s="147">
        <f t="shared" si="27"/>
        <v>0</v>
      </c>
      <c r="F87" s="147"/>
      <c r="G87" s="147"/>
      <c r="H87" s="147"/>
      <c r="I87" s="147"/>
      <c r="J87" s="147"/>
      <c r="K87" s="147"/>
      <c r="L87" s="147"/>
      <c r="M87" s="147"/>
      <c r="N87" s="147"/>
      <c r="O87" s="147"/>
      <c r="P87" s="147"/>
      <c r="Q87" s="147"/>
      <c r="R87" s="516">
        <f t="shared" si="26"/>
        <v>0</v>
      </c>
      <c r="S87" s="147">
        <f t="shared" si="28"/>
        <v>0</v>
      </c>
      <c r="T87" s="147"/>
      <c r="U87" s="143"/>
    </row>
    <row r="88" spans="1:21" s="144" customFormat="1">
      <c r="A88" s="145" t="s">
        <v>770</v>
      </c>
      <c r="B88" s="146">
        <f t="shared" si="25"/>
        <v>30000</v>
      </c>
      <c r="C88" s="147">
        <v>30000</v>
      </c>
      <c r="D88" s="147"/>
      <c r="E88" s="147">
        <f t="shared" si="27"/>
        <v>30000</v>
      </c>
      <c r="F88" s="147"/>
      <c r="G88" s="147"/>
      <c r="H88" s="147"/>
      <c r="I88" s="147"/>
      <c r="J88" s="147"/>
      <c r="K88" s="147"/>
      <c r="L88" s="147"/>
      <c r="M88" s="147"/>
      <c r="N88" s="147"/>
      <c r="O88" s="147"/>
      <c r="P88" s="147"/>
      <c r="Q88" s="147"/>
      <c r="R88" s="516">
        <f t="shared" si="26"/>
        <v>30000</v>
      </c>
      <c r="S88" s="148"/>
      <c r="T88" s="148"/>
      <c r="U88" s="143"/>
    </row>
    <row r="89" spans="1:21" s="144" customFormat="1">
      <c r="A89" s="145" t="s">
        <v>771</v>
      </c>
      <c r="B89" s="146">
        <f t="shared" si="25"/>
        <v>509500</v>
      </c>
      <c r="C89" s="147">
        <v>509500</v>
      </c>
      <c r="D89" s="147"/>
      <c r="E89" s="147">
        <f t="shared" si="27"/>
        <v>509500</v>
      </c>
      <c r="F89" s="147"/>
      <c r="G89" s="147"/>
      <c r="H89" s="147"/>
      <c r="I89" s="147"/>
      <c r="J89" s="147"/>
      <c r="K89" s="147"/>
      <c r="L89" s="147"/>
      <c r="M89" s="147"/>
      <c r="N89" s="147"/>
      <c r="O89" s="147"/>
      <c r="P89" s="147"/>
      <c r="Q89" s="147"/>
      <c r="R89" s="516">
        <f t="shared" si="26"/>
        <v>509500</v>
      </c>
      <c r="S89" s="147">
        <f>+R89</f>
        <v>509500</v>
      </c>
      <c r="T89" s="147"/>
      <c r="U89" s="143"/>
    </row>
    <row r="90" spans="1:21" s="144" customFormat="1">
      <c r="A90" s="145" t="s">
        <v>772</v>
      </c>
      <c r="B90" s="146">
        <f t="shared" si="25"/>
        <v>14500</v>
      </c>
      <c r="C90" s="147">
        <f>7500+5500+1500</f>
        <v>14500</v>
      </c>
      <c r="D90" s="147"/>
      <c r="E90" s="147">
        <f t="shared" si="27"/>
        <v>14500</v>
      </c>
      <c r="F90" s="147"/>
      <c r="G90" s="147"/>
      <c r="H90" s="147"/>
      <c r="I90" s="147"/>
      <c r="J90" s="147"/>
      <c r="K90" s="147"/>
      <c r="L90" s="147"/>
      <c r="M90" s="147"/>
      <c r="N90" s="147"/>
      <c r="O90" s="147"/>
      <c r="P90" s="147"/>
      <c r="Q90" s="147"/>
      <c r="R90" s="516">
        <f t="shared" si="26"/>
        <v>14500</v>
      </c>
      <c r="S90" s="147">
        <f t="shared" ref="S90:S95" si="29">+R90</f>
        <v>14500</v>
      </c>
      <c r="T90" s="147"/>
      <c r="U90" s="143"/>
    </row>
    <row r="91" spans="1:21" s="144" customFormat="1">
      <c r="A91" s="145" t="s">
        <v>371</v>
      </c>
      <c r="B91" s="146">
        <f t="shared" si="25"/>
        <v>43000</v>
      </c>
      <c r="C91" s="147">
        <v>43000</v>
      </c>
      <c r="D91" s="147"/>
      <c r="E91" s="147">
        <f t="shared" si="27"/>
        <v>43000</v>
      </c>
      <c r="F91" s="147"/>
      <c r="G91" s="147"/>
      <c r="H91" s="147"/>
      <c r="I91" s="147"/>
      <c r="J91" s="147"/>
      <c r="K91" s="147"/>
      <c r="L91" s="147"/>
      <c r="M91" s="147"/>
      <c r="N91" s="147"/>
      <c r="O91" s="147"/>
      <c r="P91" s="147"/>
      <c r="Q91" s="147"/>
      <c r="R91" s="516">
        <f t="shared" si="26"/>
        <v>43000</v>
      </c>
      <c r="S91" s="147">
        <f t="shared" si="29"/>
        <v>43000</v>
      </c>
      <c r="T91" s="147"/>
      <c r="U91" s="143"/>
    </row>
    <row r="92" spans="1:21" s="144" customFormat="1">
      <c r="A92" s="283" t="s">
        <v>1209</v>
      </c>
      <c r="B92" s="146">
        <f t="shared" si="25"/>
        <v>18400</v>
      </c>
      <c r="C92" s="147">
        <f>5900+1500+7500+3500</f>
        <v>18400</v>
      </c>
      <c r="D92" s="147"/>
      <c r="E92" s="147">
        <f t="shared" si="27"/>
        <v>18400</v>
      </c>
      <c r="F92" s="147"/>
      <c r="G92" s="147"/>
      <c r="H92" s="147"/>
      <c r="I92" s="147"/>
      <c r="J92" s="147"/>
      <c r="K92" s="147"/>
      <c r="L92" s="147"/>
      <c r="M92" s="147"/>
      <c r="N92" s="147"/>
      <c r="O92" s="147"/>
      <c r="P92" s="147"/>
      <c r="Q92" s="147"/>
      <c r="R92" s="516">
        <f t="shared" si="26"/>
        <v>18400</v>
      </c>
      <c r="S92" s="147">
        <f t="shared" si="29"/>
        <v>18400</v>
      </c>
      <c r="T92" s="147"/>
      <c r="U92" s="143"/>
    </row>
    <row r="93" spans="1:21" s="144" customFormat="1">
      <c r="A93" s="1149" t="s">
        <v>2783</v>
      </c>
      <c r="B93" s="146">
        <f t="shared" si="25"/>
        <v>64400</v>
      </c>
      <c r="C93" s="147">
        <v>64400</v>
      </c>
      <c r="D93" s="147"/>
      <c r="E93" s="147">
        <f t="shared" si="27"/>
        <v>64400</v>
      </c>
      <c r="F93" s="147"/>
      <c r="G93" s="147"/>
      <c r="H93" s="147"/>
      <c r="I93" s="147"/>
      <c r="J93" s="147"/>
      <c r="K93" s="147"/>
      <c r="L93" s="147"/>
      <c r="M93" s="147"/>
      <c r="N93" s="147"/>
      <c r="O93" s="147"/>
      <c r="P93" s="147"/>
      <c r="Q93" s="147"/>
      <c r="R93" s="516">
        <f t="shared" si="26"/>
        <v>64400</v>
      </c>
      <c r="S93" s="147">
        <f t="shared" si="29"/>
        <v>64400</v>
      </c>
      <c r="T93" s="147"/>
      <c r="U93" s="143"/>
    </row>
    <row r="94" spans="1:21" s="144" customFormat="1">
      <c r="A94" s="1149" t="s">
        <v>2784</v>
      </c>
      <c r="B94" s="146">
        <f t="shared" si="25"/>
        <v>94500</v>
      </c>
      <c r="C94" s="147">
        <v>94500</v>
      </c>
      <c r="D94" s="147"/>
      <c r="E94" s="147">
        <f t="shared" si="27"/>
        <v>94500</v>
      </c>
      <c r="F94" s="147"/>
      <c r="G94" s="147"/>
      <c r="H94" s="147"/>
      <c r="I94" s="147"/>
      <c r="J94" s="147"/>
      <c r="K94" s="147"/>
      <c r="L94" s="147"/>
      <c r="M94" s="147"/>
      <c r="N94" s="147"/>
      <c r="O94" s="147"/>
      <c r="P94" s="147"/>
      <c r="Q94" s="147"/>
      <c r="R94" s="516">
        <f t="shared" si="26"/>
        <v>94500</v>
      </c>
      <c r="S94" s="147">
        <f t="shared" si="29"/>
        <v>94500</v>
      </c>
      <c r="T94" s="147"/>
      <c r="U94" s="143"/>
    </row>
    <row r="95" spans="1:21" s="144" customFormat="1">
      <c r="A95" s="1149" t="s">
        <v>2785</v>
      </c>
      <c r="B95" s="146">
        <f t="shared" si="25"/>
        <v>66700</v>
      </c>
      <c r="C95" s="147">
        <v>66700</v>
      </c>
      <c r="D95" s="147"/>
      <c r="E95" s="147">
        <f t="shared" si="27"/>
        <v>66700</v>
      </c>
      <c r="F95" s="147"/>
      <c r="G95" s="147"/>
      <c r="H95" s="147"/>
      <c r="I95" s="147"/>
      <c r="J95" s="147"/>
      <c r="K95" s="147"/>
      <c r="L95" s="147"/>
      <c r="M95" s="147"/>
      <c r="N95" s="147"/>
      <c r="O95" s="147"/>
      <c r="P95" s="147"/>
      <c r="Q95" s="147"/>
      <c r="R95" s="516">
        <f t="shared" si="26"/>
        <v>66700</v>
      </c>
      <c r="S95" s="147">
        <f t="shared" si="29"/>
        <v>66700</v>
      </c>
      <c r="T95" s="147"/>
      <c r="U95" s="143"/>
    </row>
    <row r="96" spans="1:21" s="144" customFormat="1">
      <c r="A96" s="149" t="s">
        <v>773</v>
      </c>
      <c r="B96" s="146">
        <f>SUM(C96:D96)</f>
        <v>1236800</v>
      </c>
      <c r="C96" s="146">
        <f t="shared" ref="C96:R96" si="30">SUM(C83:C95)</f>
        <v>1236800</v>
      </c>
      <c r="D96" s="146">
        <f t="shared" si="30"/>
        <v>0</v>
      </c>
      <c r="E96" s="146">
        <f t="shared" si="30"/>
        <v>1236800</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1236800</v>
      </c>
      <c r="S96" s="150">
        <f>SUM(S84:S87,S89:S95)</f>
        <v>1087000</v>
      </c>
      <c r="T96" s="146">
        <f>SUM(T84:T87,T89:T95)</f>
        <v>0</v>
      </c>
      <c r="U96" s="143"/>
    </row>
    <row r="97" spans="1:21" s="144" customFormat="1">
      <c r="A97" s="149" t="s">
        <v>774</v>
      </c>
      <c r="B97" s="146">
        <f>SUM(C97:D97)</f>
        <v>63940262</v>
      </c>
      <c r="C97" s="146">
        <f t="shared" ref="C97:R97" si="31">SUM(C63+C70+C77+C81+C96)</f>
        <v>63940262</v>
      </c>
      <c r="D97" s="146">
        <f t="shared" si="31"/>
        <v>0</v>
      </c>
      <c r="E97" s="146">
        <f t="shared" si="31"/>
        <v>21483642</v>
      </c>
      <c r="F97" s="146">
        <f t="shared" si="31"/>
        <v>11263869</v>
      </c>
      <c r="G97" s="146">
        <f t="shared" si="31"/>
        <v>11080760</v>
      </c>
      <c r="H97" s="146">
        <f t="shared" si="31"/>
        <v>11881462</v>
      </c>
      <c r="I97" s="146">
        <f t="shared" si="31"/>
        <v>758188</v>
      </c>
      <c r="J97" s="146">
        <f t="shared" si="31"/>
        <v>931186</v>
      </c>
      <c r="K97" s="146">
        <f t="shared" si="31"/>
        <v>0</v>
      </c>
      <c r="L97" s="146">
        <f t="shared" si="31"/>
        <v>1101155</v>
      </c>
      <c r="M97" s="146">
        <f t="shared" si="31"/>
        <v>5440000</v>
      </c>
      <c r="N97" s="146">
        <f t="shared" si="31"/>
        <v>0</v>
      </c>
      <c r="O97" s="146">
        <f t="shared" si="31"/>
        <v>0</v>
      </c>
      <c r="P97" s="146">
        <f t="shared" si="31"/>
        <v>0</v>
      </c>
      <c r="Q97" s="146">
        <f t="shared" si="31"/>
        <v>0</v>
      </c>
      <c r="R97" s="146">
        <f t="shared" si="31"/>
        <v>63940262</v>
      </c>
      <c r="S97" s="146">
        <f>SUM(S63+S70+S81+S96)</f>
        <v>33744684</v>
      </c>
      <c r="T97" s="146">
        <f>SUM(T63+T70+T81+T96)</f>
        <v>25603000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8902153</v>
      </c>
      <c r="C99" s="979">
        <v>8902153</v>
      </c>
      <c r="D99" s="979"/>
      <c r="E99" s="979">
        <f>+C99-K99-N99</f>
        <v>4079158</v>
      </c>
      <c r="F99" s="147"/>
      <c r="G99" s="147"/>
      <c r="H99" s="147"/>
      <c r="I99" s="147"/>
      <c r="J99" s="147"/>
      <c r="K99" s="147">
        <f>+K108</f>
        <v>1023144</v>
      </c>
      <c r="L99" s="147"/>
      <c r="M99" s="147"/>
      <c r="N99" s="147">
        <f>+N108</f>
        <v>3799851</v>
      </c>
      <c r="O99" s="147"/>
      <c r="P99" s="147"/>
      <c r="Q99" s="147"/>
      <c r="R99" s="516">
        <f>SUM(E99:Q99)</f>
        <v>8902153</v>
      </c>
      <c r="S99" s="147">
        <v>5061703</v>
      </c>
      <c r="T99" s="147">
        <v>3840450</v>
      </c>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8902153</v>
      </c>
      <c r="C104" s="146">
        <f>SUM(C99:C103)</f>
        <v>8902153</v>
      </c>
      <c r="D104" s="146">
        <f t="shared" ref="D104:T104" si="32">SUM(D99:D103)</f>
        <v>0</v>
      </c>
      <c r="E104" s="146">
        <f t="shared" si="32"/>
        <v>4079158</v>
      </c>
      <c r="F104" s="146">
        <f t="shared" si="32"/>
        <v>0</v>
      </c>
      <c r="G104" s="146">
        <f t="shared" si="32"/>
        <v>0</v>
      </c>
      <c r="H104" s="146">
        <f t="shared" si="32"/>
        <v>0</v>
      </c>
      <c r="I104" s="146">
        <f t="shared" si="32"/>
        <v>0</v>
      </c>
      <c r="J104" s="146">
        <f t="shared" si="32"/>
        <v>0</v>
      </c>
      <c r="K104" s="146">
        <f t="shared" si="32"/>
        <v>1023144</v>
      </c>
      <c r="L104" s="146">
        <f t="shared" si="32"/>
        <v>0</v>
      </c>
      <c r="M104" s="146">
        <f t="shared" si="32"/>
        <v>0</v>
      </c>
      <c r="N104" s="146">
        <f t="shared" si="32"/>
        <v>3799851</v>
      </c>
      <c r="O104" s="146">
        <f t="shared" si="32"/>
        <v>0</v>
      </c>
      <c r="P104" s="146">
        <f t="shared" si="32"/>
        <v>0</v>
      </c>
      <c r="Q104" s="146">
        <f t="shared" si="32"/>
        <v>0</v>
      </c>
      <c r="R104" s="342">
        <f t="shared" si="32"/>
        <v>8902153</v>
      </c>
      <c r="S104" s="150">
        <f t="shared" si="32"/>
        <v>5061703</v>
      </c>
      <c r="T104" s="150">
        <f t="shared" si="32"/>
        <v>3840450</v>
      </c>
      <c r="U104" s="143"/>
    </row>
    <row r="105" spans="1:21" s="144" customFormat="1">
      <c r="A105" s="149" t="s">
        <v>779</v>
      </c>
      <c r="B105" s="150">
        <f>SUM(C105:D105)</f>
        <v>72842415</v>
      </c>
      <c r="C105" s="150">
        <f t="shared" ref="C105:R105" si="33">SUM(C97+C104)</f>
        <v>72842415</v>
      </c>
      <c r="D105" s="150">
        <f t="shared" si="33"/>
        <v>0</v>
      </c>
      <c r="E105" s="150">
        <f t="shared" si="33"/>
        <v>25562800</v>
      </c>
      <c r="F105" s="150">
        <f t="shared" si="33"/>
        <v>11263869</v>
      </c>
      <c r="G105" s="150">
        <f t="shared" si="33"/>
        <v>11080760</v>
      </c>
      <c r="H105" s="150">
        <f t="shared" si="33"/>
        <v>11881462</v>
      </c>
      <c r="I105" s="150">
        <f t="shared" si="33"/>
        <v>758188</v>
      </c>
      <c r="J105" s="150">
        <f t="shared" si="33"/>
        <v>931186</v>
      </c>
      <c r="K105" s="150">
        <f t="shared" si="33"/>
        <v>1023144</v>
      </c>
      <c r="L105" s="150">
        <f t="shared" si="33"/>
        <v>1101155</v>
      </c>
      <c r="M105" s="150">
        <f t="shared" si="33"/>
        <v>5440000</v>
      </c>
      <c r="N105" s="150">
        <f t="shared" si="33"/>
        <v>3799851</v>
      </c>
      <c r="O105" s="150">
        <f t="shared" si="33"/>
        <v>0</v>
      </c>
      <c r="P105" s="150">
        <f t="shared" si="33"/>
        <v>0</v>
      </c>
      <c r="Q105" s="150">
        <f t="shared" si="33"/>
        <v>0</v>
      </c>
      <c r="R105" s="342">
        <f t="shared" si="33"/>
        <v>72842415</v>
      </c>
      <c r="S105" s="150">
        <f>S97+S104</f>
        <v>38806387</v>
      </c>
      <c r="T105" s="150">
        <f>T97+T104</f>
        <v>29443450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38806387</v>
      </c>
      <c r="T107" s="150">
        <f>T105+T106</f>
        <v>29443450</v>
      </c>
    </row>
    <row r="108" spans="1:21" s="189" customFormat="1">
      <c r="A108" s="162" t="s">
        <v>878</v>
      </c>
      <c r="B108" s="157"/>
      <c r="C108" s="157"/>
      <c r="D108" s="157"/>
      <c r="E108" s="301">
        <f>Application!AO640</f>
        <v>25562800</v>
      </c>
      <c r="F108" s="301">
        <f>Application!AO627</f>
        <v>11263869</v>
      </c>
      <c r="G108" s="301">
        <f>Application!AO628</f>
        <v>11080760</v>
      </c>
      <c r="H108" s="301">
        <f>Application!AO629</f>
        <v>11881462</v>
      </c>
      <c r="I108" s="301">
        <f>Application!AO630</f>
        <v>758188</v>
      </c>
      <c r="J108" s="301">
        <f>Application!AO631</f>
        <v>931186</v>
      </c>
      <c r="K108" s="301">
        <f>Application!AO632</f>
        <v>1023144</v>
      </c>
      <c r="L108" s="301">
        <f>Application!AO633</f>
        <v>1101155</v>
      </c>
      <c r="M108" s="301">
        <f>Application!AO634</f>
        <v>5440000</v>
      </c>
      <c r="N108" s="301">
        <f>Application!AO635</f>
        <v>3799851</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4" t="s">
        <v>988</v>
      </c>
      <c r="E122" s="1874"/>
      <c r="F122" s="1874"/>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6" t="s">
        <v>1222</v>
      </c>
      <c r="E123" s="1580"/>
      <c r="F123" s="1580"/>
      <c r="G123" s="1580"/>
      <c r="H123" s="1580"/>
      <c r="I123" s="1580"/>
      <c r="J123" s="1580"/>
      <c r="K123" s="1580"/>
      <c r="L123" s="1580"/>
      <c r="M123" s="1580"/>
      <c r="N123" s="1580"/>
      <c r="O123" s="1580"/>
      <c r="P123" s="1580"/>
      <c r="Q123" s="1580"/>
      <c r="R123" s="1580"/>
      <c r="S123" s="1580"/>
      <c r="T123" s="324"/>
      <c r="U123" s="326"/>
    </row>
    <row r="124" spans="1:21" ht="12.75">
      <c r="A124" s="117" t="s">
        <v>990</v>
      </c>
      <c r="B124" s="333"/>
      <c r="C124" s="117"/>
      <c r="D124" s="1580"/>
      <c r="E124" s="1580"/>
      <c r="F124" s="1580"/>
      <c r="G124" s="1580"/>
      <c r="H124" s="1580"/>
      <c r="I124" s="1580"/>
      <c r="J124" s="1580"/>
      <c r="K124" s="1580"/>
      <c r="L124" s="1580"/>
      <c r="M124" s="1580"/>
      <c r="N124" s="1580"/>
      <c r="O124" s="1580"/>
      <c r="P124" s="1580"/>
      <c r="Q124" s="1580"/>
      <c r="R124" s="1580"/>
      <c r="S124" s="1580"/>
      <c r="T124" s="324"/>
      <c r="U124" s="326"/>
    </row>
    <row r="125" spans="1:21" ht="12.75">
      <c r="A125" s="117" t="s">
        <v>991</v>
      </c>
      <c r="B125" s="333"/>
      <c r="C125" s="117"/>
      <c r="D125" s="1580"/>
      <c r="E125" s="1580"/>
      <c r="F125" s="1580"/>
      <c r="G125" s="1580"/>
      <c r="H125" s="1580"/>
      <c r="I125" s="1580"/>
      <c r="J125" s="1580"/>
      <c r="K125" s="1580"/>
      <c r="L125" s="1580"/>
      <c r="M125" s="1580"/>
      <c r="N125" s="1580"/>
      <c r="O125" s="1580"/>
      <c r="P125" s="1580"/>
      <c r="Q125" s="1580"/>
      <c r="R125" s="1580"/>
      <c r="S125" s="158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2.75">
      <c r="A129" s="117" t="s">
        <v>300</v>
      </c>
      <c r="B129" s="333"/>
      <c r="C129" s="117"/>
      <c r="D129" s="1873" t="s">
        <v>995</v>
      </c>
      <c r="E129" s="1873"/>
      <c r="F129" s="1873"/>
      <c r="G129" s="1873"/>
      <c r="H129" s="1873"/>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99"/>
      <c r="E131" s="1599"/>
      <c r="F131" s="1599"/>
      <c r="G131" s="1599"/>
      <c r="H131" s="1599"/>
      <c r="I131" s="117"/>
      <c r="J131" s="1599"/>
      <c r="K131" s="1599"/>
      <c r="L131" s="1599"/>
      <c r="M131" s="1599"/>
      <c r="N131" s="117"/>
      <c r="O131" s="117"/>
      <c r="P131" s="117"/>
      <c r="Q131" s="117"/>
      <c r="R131" s="117"/>
      <c r="S131" s="117"/>
      <c r="T131" s="324"/>
      <c r="U131" s="326"/>
    </row>
    <row r="132" spans="1:21" ht="12" customHeight="1">
      <c r="A132" s="336"/>
      <c r="B132" s="117"/>
      <c r="C132" s="117"/>
      <c r="D132" s="1867" t="s">
        <v>998</v>
      </c>
      <c r="E132" s="1867"/>
      <c r="F132" s="1867"/>
      <c r="G132" s="1867"/>
      <c r="H132" s="1867"/>
      <c r="I132" s="117"/>
      <c r="J132" s="1867" t="s">
        <v>999</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2.75">
      <c r="A139" s="1864" t="s">
        <v>1002</v>
      </c>
      <c r="B139" s="1864"/>
      <c r="C139" s="1864"/>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25" bottom="0" header="0.25" footer="0"/>
  <pageSetup paperSize="5" scale="34" firstPageNumber="25"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9" sqref="C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197000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197000</v>
      </c>
      <c r="C8" s="361">
        <f>SUM(C4:C7)</f>
        <v>0</v>
      </c>
      <c r="D8" s="361">
        <f>SUM(D4:D7)</f>
        <v>0</v>
      </c>
      <c r="E8" s="363"/>
      <c r="F8" s="363"/>
      <c r="G8" s="363"/>
      <c r="H8" s="363"/>
      <c r="I8" s="363"/>
      <c r="J8" s="363"/>
      <c r="K8" s="359"/>
    </row>
    <row r="9" spans="1:11" s="360" customFormat="1">
      <c r="A9" s="364" t="s">
        <v>594</v>
      </c>
      <c r="B9" s="361">
        <f>'Sources and Uses Budget'!C9</f>
        <v>25603000</v>
      </c>
      <c r="C9" s="362"/>
      <c r="D9" s="362"/>
      <c r="E9" s="363"/>
      <c r="F9" s="363"/>
      <c r="G9" s="363"/>
      <c r="H9" s="361">
        <f>'Sources and Uses Budget'!T9</f>
        <v>25603000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25603000</v>
      </c>
      <c r="C11" s="361">
        <f>SUM(C9:C10)</f>
        <v>0</v>
      </c>
      <c r="D11" s="361">
        <f>SUM(D9:D10)</f>
        <v>0</v>
      </c>
      <c r="E11" s="363"/>
      <c r="F11" s="363"/>
      <c r="G11" s="363"/>
      <c r="H11" s="361">
        <f>'Sources and Uses Budget'!T11</f>
        <v>25603000</v>
      </c>
      <c r="I11" s="361">
        <f>SUM(I9:I10)</f>
        <v>0</v>
      </c>
      <c r="J11" s="361">
        <f>SUM(J9:J10)</f>
        <v>0</v>
      </c>
      <c r="K11" s="359"/>
    </row>
    <row r="12" spans="1:11" s="360" customFormat="1">
      <c r="A12" s="365" t="s">
        <v>84</v>
      </c>
      <c r="B12" s="361">
        <f>'Sources and Uses Budget'!C12</f>
        <v>25800000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1220381</v>
      </c>
      <c r="C17" s="362"/>
      <c r="D17" s="362"/>
      <c r="E17" s="361">
        <f>'Sources and Uses Budget'!S17</f>
        <v>1220381</v>
      </c>
      <c r="F17" s="362"/>
      <c r="G17" s="362"/>
      <c r="H17" s="361">
        <f>'Sources and Uses Budget'!T17</f>
        <v>0</v>
      </c>
      <c r="I17" s="362"/>
      <c r="J17" s="362"/>
      <c r="K17" s="359"/>
    </row>
    <row r="18" spans="1:11" s="360" customFormat="1">
      <c r="A18" s="364" t="s">
        <v>599</v>
      </c>
      <c r="B18" s="361">
        <f>'Sources and Uses Budget'!C18</f>
        <v>19267584</v>
      </c>
      <c r="C18" s="362"/>
      <c r="D18" s="362"/>
      <c r="E18" s="361">
        <f>'Sources and Uses Budget'!S18</f>
        <v>19267584</v>
      </c>
      <c r="F18" s="362"/>
      <c r="G18" s="362"/>
      <c r="H18" s="361">
        <f>'Sources and Uses Budget'!T18</f>
        <v>0</v>
      </c>
      <c r="I18" s="362"/>
      <c r="J18" s="362"/>
      <c r="K18" s="359"/>
    </row>
    <row r="19" spans="1:11" s="360" customFormat="1">
      <c r="A19" s="364" t="s">
        <v>600</v>
      </c>
      <c r="B19" s="361">
        <f>'Sources and Uses Budget'!C19</f>
        <v>1355278</v>
      </c>
      <c r="C19" s="362"/>
      <c r="D19" s="362"/>
      <c r="E19" s="361">
        <f>'Sources and Uses Budget'!S19</f>
        <v>1355278</v>
      </c>
      <c r="F19" s="362"/>
      <c r="G19" s="362"/>
      <c r="H19" s="361">
        <f>'Sources and Uses Budget'!T19</f>
        <v>0</v>
      </c>
      <c r="I19" s="362"/>
      <c r="J19" s="362"/>
      <c r="K19" s="359"/>
    </row>
    <row r="20" spans="1:11" s="360" customFormat="1">
      <c r="A20" s="364" t="s">
        <v>137</v>
      </c>
      <c r="B20" s="361">
        <f>'Sources and Uses Budget'!C20</f>
        <v>451759</v>
      </c>
      <c r="C20" s="362"/>
      <c r="D20" s="362"/>
      <c r="E20" s="361">
        <f>'Sources and Uses Budget'!S20</f>
        <v>451759</v>
      </c>
      <c r="F20" s="362"/>
      <c r="G20" s="362"/>
      <c r="H20" s="361">
        <f>'Sources and Uses Budget'!T20</f>
        <v>0</v>
      </c>
      <c r="I20" s="362"/>
      <c r="J20" s="362"/>
      <c r="K20" s="359"/>
    </row>
    <row r="21" spans="1:11" s="360" customFormat="1">
      <c r="A21" s="364" t="s">
        <v>138</v>
      </c>
      <c r="B21" s="361">
        <f>'Sources and Uses Budget'!C21</f>
        <v>1355278</v>
      </c>
      <c r="C21" s="362"/>
      <c r="D21" s="362"/>
      <c r="E21" s="361">
        <f>'Sources and Uses Budget'!S21</f>
        <v>1355278</v>
      </c>
      <c r="F21" s="362"/>
      <c r="G21" s="362"/>
      <c r="H21" s="361">
        <f>'Sources and Uses Budget'!T21</f>
        <v>0</v>
      </c>
      <c r="I21" s="362"/>
      <c r="J21" s="362"/>
      <c r="K21" s="359"/>
    </row>
    <row r="22" spans="1:11" s="360" customFormat="1">
      <c r="A22" s="364" t="s">
        <v>139</v>
      </c>
      <c r="B22" s="361">
        <f>'Sources and Uses Budget'!C22</f>
        <v>2100000</v>
      </c>
      <c r="C22" s="362"/>
      <c r="D22" s="362"/>
      <c r="E22" s="361">
        <f>'Sources and Uses Budget'!S22</f>
        <v>2100000</v>
      </c>
      <c r="F22" s="362"/>
      <c r="G22" s="362"/>
      <c r="H22" s="361">
        <f>'Sources and Uses Budget'!T22</f>
        <v>0</v>
      </c>
      <c r="I22" s="362"/>
      <c r="J22" s="362"/>
      <c r="K22" s="359"/>
    </row>
    <row r="23" spans="1:11" s="360" customFormat="1">
      <c r="A23" s="364" t="s">
        <v>140</v>
      </c>
      <c r="B23" s="361">
        <f>'Sources and Uses Budget'!C23</f>
        <v>555727</v>
      </c>
      <c r="C23" s="362"/>
      <c r="D23" s="362"/>
      <c r="E23" s="361">
        <f>'Sources and Uses Budget'!S23</f>
        <v>555727</v>
      </c>
      <c r="F23" s="362"/>
      <c r="G23" s="362"/>
      <c r="H23" s="361">
        <f>'Sources and Uses Budget'!T23</f>
        <v>0</v>
      </c>
      <c r="I23" s="362"/>
      <c r="J23" s="362"/>
      <c r="K23" s="359"/>
    </row>
    <row r="24" spans="1:11" s="360" customFormat="1">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Payment and Performance Bond</v>
      </c>
      <c r="B25" s="361">
        <f>'Sources and Uses Budget'!C25</f>
        <v>288462</v>
      </c>
      <c r="C25" s="362"/>
      <c r="D25" s="362"/>
      <c r="E25" s="361">
        <f>'Sources and Uses Budget'!S25</f>
        <v>288462</v>
      </c>
      <c r="F25" s="362"/>
      <c r="G25" s="362"/>
      <c r="H25" s="361">
        <f>'Sources and Uses Budget'!T25</f>
        <v>0</v>
      </c>
      <c r="I25" s="362"/>
      <c r="J25" s="362"/>
      <c r="K25" s="359"/>
    </row>
    <row r="26" spans="1:11" s="360" customFormat="1">
      <c r="A26" s="365" t="s">
        <v>133</v>
      </c>
      <c r="B26" s="361">
        <f>'Sources and Uses Budget'!C26</f>
        <v>26594469</v>
      </c>
      <c r="C26" s="361">
        <f>SUM(C17:C25)</f>
        <v>0</v>
      </c>
      <c r="D26" s="361">
        <f>SUM(D17:D25)</f>
        <v>0</v>
      </c>
      <c r="E26" s="361">
        <f>'Sources and Uses Budget'!S26</f>
        <v>26594469</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1173809</v>
      </c>
      <c r="C27" s="362"/>
      <c r="D27" s="362"/>
      <c r="E27" s="361">
        <f>'Sources and Uses Budget'!S27</f>
        <v>1173809</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293820</v>
      </c>
      <c r="C40" s="362"/>
      <c r="D40" s="362"/>
      <c r="E40" s="361">
        <f>'Sources and Uses Budget'!S40</f>
        <v>293820</v>
      </c>
      <c r="F40" s="362"/>
      <c r="G40" s="362"/>
      <c r="H40" s="361">
        <f>'Sources and Uses Budget'!T40</f>
        <v>0</v>
      </c>
      <c r="I40" s="362"/>
      <c r="J40" s="362"/>
      <c r="K40" s="359"/>
    </row>
    <row r="41" spans="1:11" s="360" customFormat="1">
      <c r="A41" s="364" t="s">
        <v>146</v>
      </c>
      <c r="B41" s="361">
        <f>'Sources and Uses Budget'!C41</f>
        <v>92940</v>
      </c>
      <c r="C41" s="362"/>
      <c r="D41" s="362"/>
      <c r="E41" s="361">
        <f>'Sources and Uses Budget'!S41</f>
        <v>92940</v>
      </c>
      <c r="F41" s="362"/>
      <c r="G41" s="362"/>
      <c r="H41" s="361">
        <f>'Sources and Uses Budget'!T41</f>
        <v>0</v>
      </c>
      <c r="I41" s="362"/>
      <c r="J41" s="362"/>
      <c r="K41" s="359"/>
    </row>
    <row r="42" spans="1:11" s="360" customFormat="1">
      <c r="A42" s="365" t="s">
        <v>147</v>
      </c>
      <c r="B42" s="361">
        <f>'Sources and Uses Budget'!C42</f>
        <v>386760</v>
      </c>
      <c r="C42" s="361">
        <f>SUM(C39:C41)</f>
        <v>0</v>
      </c>
      <c r="D42" s="361">
        <f>SUM(D39:D41)</f>
        <v>0</v>
      </c>
      <c r="E42" s="361">
        <f>'Sources and Uses Budget'!S42</f>
        <v>386760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38300</v>
      </c>
      <c r="C43" s="362"/>
      <c r="D43" s="362"/>
      <c r="E43" s="361">
        <f>'Sources and Uses Budget'!S43</f>
        <v>38300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1751068</v>
      </c>
      <c r="C45" s="362"/>
      <c r="D45" s="362"/>
      <c r="E45" s="361">
        <f>'Sources and Uses Budget'!S45</f>
        <v>1164603</v>
      </c>
      <c r="F45" s="362"/>
      <c r="G45" s="362"/>
      <c r="H45" s="361">
        <f>'Sources and Uses Budget'!T45</f>
        <v>0</v>
      </c>
      <c r="I45" s="362"/>
      <c r="J45" s="362"/>
      <c r="K45" s="359"/>
    </row>
    <row r="46" spans="1:11" s="360" customFormat="1">
      <c r="A46" s="364" t="s">
        <v>151</v>
      </c>
      <c r="B46" s="361">
        <f>'Sources and Uses Budget'!C46</f>
        <v>267496</v>
      </c>
      <c r="C46" s="362"/>
      <c r="D46" s="362"/>
      <c r="E46" s="361">
        <f>'Sources and Uses Budget'!S46</f>
        <v>267496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121209</v>
      </c>
      <c r="C49" s="362"/>
      <c r="D49" s="362"/>
      <c r="E49" s="361">
        <f>'Sources and Uses Budget'!S49</f>
        <v>77003</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339682</v>
      </c>
      <c r="C52" s="362"/>
      <c r="D52" s="362"/>
      <c r="E52" s="361">
        <f>'Sources and Uses Budget'!S52</f>
        <v>0</v>
      </c>
      <c r="F52" s="362"/>
      <c r="G52" s="362"/>
      <c r="H52" s="361">
        <f>'Sources and Uses Budget'!T52</f>
        <v>0</v>
      </c>
      <c r="I52" s="362"/>
      <c r="J52" s="362"/>
      <c r="K52" s="359"/>
    </row>
    <row r="53" spans="1:11" s="360" customFormat="1">
      <c r="A53" s="364" t="str">
        <f>'Sources and Uses Budget'!$A53</f>
        <v xml:space="preserve">Other: Inspection &amp; Bond Counsel </v>
      </c>
      <c r="B53" s="361">
        <f>'Sources and Uses Budget'!C53</f>
        <v>83000</v>
      </c>
      <c r="C53" s="362"/>
      <c r="D53" s="362"/>
      <c r="E53" s="361">
        <f>'Sources and Uses Budget'!S53</f>
        <v>18000</v>
      </c>
      <c r="F53" s="362"/>
      <c r="G53" s="362"/>
      <c r="H53" s="361">
        <f>'Sources and Uses Budget'!T53</f>
        <v>0</v>
      </c>
      <c r="I53" s="362"/>
      <c r="J53" s="362"/>
      <c r="K53" s="359"/>
    </row>
    <row r="54" spans="1:11" s="369" customFormat="1">
      <c r="A54" s="365" t="s">
        <v>157</v>
      </c>
      <c r="B54" s="361">
        <f>'Sources and Uses Budget'!C54</f>
        <v>2637455</v>
      </c>
      <c r="C54" s="367">
        <f>SUM(C45:C53)</f>
        <v>0</v>
      </c>
      <c r="D54" s="367">
        <f>SUM(D45:D53)</f>
        <v>0</v>
      </c>
      <c r="E54" s="361">
        <f>'Sources and Uses Budget'!S54</f>
        <v>1602102</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112639</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Conversion Fee</v>
      </c>
      <c r="B61" s="361">
        <f>'Sources and Uses Budget'!C61</f>
        <v>10000</v>
      </c>
      <c r="C61" s="362"/>
      <c r="D61" s="362"/>
      <c r="E61" s="363"/>
      <c r="F61" s="363"/>
      <c r="G61" s="363"/>
      <c r="H61" s="363"/>
      <c r="I61" s="363"/>
      <c r="J61" s="363"/>
      <c r="K61" s="359"/>
    </row>
    <row r="62" spans="1:11" s="360" customFormat="1" ht="13.7" customHeight="1">
      <c r="A62" s="365" t="s">
        <v>301</v>
      </c>
      <c r="B62" s="361">
        <f>'Sources and Uses Budget'!C62</f>
        <v>162639</v>
      </c>
      <c r="C62" s="361">
        <f>SUM(C56:C61)</f>
        <v>0</v>
      </c>
      <c r="D62" s="361">
        <f>SUM(D56:D61)</f>
        <v>0</v>
      </c>
      <c r="E62" s="363"/>
      <c r="F62" s="363"/>
      <c r="G62" s="363"/>
      <c r="H62" s="363"/>
      <c r="I62" s="363"/>
      <c r="J62" s="363"/>
      <c r="K62" s="359"/>
    </row>
    <row r="63" spans="1:11" s="360" customFormat="1">
      <c r="A63" s="370" t="s">
        <v>302</v>
      </c>
      <c r="B63" s="361">
        <f>'Sources and Uses Budget'!C63</f>
        <v>56793432</v>
      </c>
      <c r="C63" s="361">
        <f>SUM(C8+C11+C13+C14+C15+C26+C27+C38+C42+C43+C54+C62)</f>
        <v>0</v>
      </c>
      <c r="D63" s="361">
        <f>SUM(D8+D11+D13+D14+D15+D26+D27+D38+D42+D43+D54+D62)</f>
        <v>0</v>
      </c>
      <c r="E63" s="361">
        <f>'Sources and Uses Budget'!S63</f>
        <v>29795440</v>
      </c>
      <c r="F63" s="361">
        <f>SUM(F10+F13+F14+F15+F26+F27+F38+F42+F43+F54)</f>
        <v>0</v>
      </c>
      <c r="G63" s="361">
        <f>SUM(G10+G13+G14+G15+G26+G27+G38+G42+G43+G54)</f>
        <v>0</v>
      </c>
      <c r="H63" s="361">
        <f>'Sources and Uses Budget'!T63</f>
        <v>25603000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79000</v>
      </c>
      <c r="C65" s="362"/>
      <c r="D65" s="362"/>
      <c r="E65" s="361">
        <f>'Sources and Uses Budget'!S65</f>
        <v>0</v>
      </c>
      <c r="F65" s="362"/>
      <c r="G65" s="362"/>
      <c r="H65" s="361">
        <f>'Sources and Uses Budget'!T65</f>
        <v>0</v>
      </c>
      <c r="I65" s="362"/>
      <c r="J65" s="362"/>
      <c r="K65" s="359"/>
    </row>
    <row r="66" spans="1:11" s="360" customFormat="1" ht="24">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1646</v>
      </c>
      <c r="B68" s="361">
        <f>'Sources and Uses Budget'!C68</f>
        <v>27480</v>
      </c>
      <c r="C68" s="362"/>
      <c r="D68" s="362"/>
      <c r="E68" s="361">
        <f>'Sources and Uses Budget'!S68</f>
        <v>13740</v>
      </c>
      <c r="F68" s="362"/>
      <c r="G68" s="362"/>
      <c r="H68" s="361">
        <f>'Sources and Uses Budget'!T68</f>
        <v>0</v>
      </c>
      <c r="I68" s="362"/>
      <c r="J68" s="362"/>
      <c r="K68" s="359"/>
    </row>
    <row r="69" spans="1:11" s="360" customFormat="1">
      <c r="A69" s="364" t="str">
        <f>'Sources and Uses Budget'!$A69</f>
        <v xml:space="preserve">Other: Borrower Legal Counsel </v>
      </c>
      <c r="B69" s="361">
        <f>'Sources and Uses Budget'!C69</f>
        <v>393000</v>
      </c>
      <c r="C69" s="362"/>
      <c r="D69" s="362"/>
      <c r="E69" s="361">
        <f>'Sources and Uses Budget'!S69</f>
        <v>36000</v>
      </c>
      <c r="F69" s="362"/>
      <c r="G69" s="362"/>
      <c r="H69" s="361">
        <f>'Sources and Uses Budget'!T69</f>
        <v>0</v>
      </c>
      <c r="I69" s="362"/>
      <c r="J69" s="362"/>
      <c r="K69" s="359"/>
    </row>
    <row r="70" spans="1:11" s="360" customFormat="1">
      <c r="A70" s="365" t="s">
        <v>601</v>
      </c>
      <c r="B70" s="361">
        <f>'Sources and Uses Budget'!C70</f>
        <v>499480</v>
      </c>
      <c r="C70" s="361">
        <f>SUM(C64:C69)</f>
        <v>0</v>
      </c>
      <c r="D70" s="361">
        <f>SUM(D64:D69)</f>
        <v>0</v>
      </c>
      <c r="E70" s="361">
        <f>'Sources and Uses Budget'!S70</f>
        <v>49740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1689374</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984</v>
      </c>
      <c r="B74" s="361">
        <f>'Sources and Uses Budget'!C74</f>
        <v>159000</v>
      </c>
      <c r="C74" s="362"/>
      <c r="D74" s="362"/>
      <c r="E74" s="363"/>
      <c r="F74" s="363"/>
      <c r="G74" s="363"/>
      <c r="H74" s="363"/>
      <c r="I74" s="363"/>
      <c r="J74" s="363"/>
      <c r="K74" s="359"/>
    </row>
    <row r="75" spans="1:11" s="360" customFormat="1">
      <c r="A75" s="364" t="s">
        <v>605</v>
      </c>
      <c r="B75" s="361">
        <f>'Sources and Uses Budget'!C75</f>
        <v>749672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2598046</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2628447</v>
      </c>
      <c r="C79" s="362"/>
      <c r="D79" s="362"/>
      <c r="E79" s="361">
        <f>'Sources and Uses Budget'!S79</f>
        <v>2628447</v>
      </c>
      <c r="F79" s="362"/>
      <c r="G79" s="362"/>
      <c r="H79" s="361">
        <f>'Sources and Uses Budget'!T79</f>
        <v>0</v>
      </c>
      <c r="I79" s="362"/>
      <c r="J79" s="362"/>
      <c r="K79" s="359"/>
    </row>
    <row r="80" spans="1:11" s="360" customFormat="1">
      <c r="A80" s="364" t="s">
        <v>58</v>
      </c>
      <c r="B80" s="361">
        <f>'Sources and Uses Budget'!C80</f>
        <v>184057</v>
      </c>
      <c r="C80" s="362"/>
      <c r="D80" s="362"/>
      <c r="E80" s="361">
        <f>'Sources and Uses Budget'!S80</f>
        <v>184057</v>
      </c>
      <c r="F80" s="362"/>
      <c r="G80" s="362"/>
      <c r="H80" s="361">
        <f>'Sources and Uses Budget'!T80</f>
        <v>0</v>
      </c>
      <c r="I80" s="362"/>
      <c r="J80" s="362"/>
      <c r="K80" s="359"/>
    </row>
    <row r="81" spans="1:11" s="360" customFormat="1">
      <c r="A81" s="365" t="s">
        <v>1207</v>
      </c>
      <c r="B81" s="361">
        <f>'Sources and Uses Budget'!C81</f>
        <v>2812504</v>
      </c>
      <c r="C81" s="361">
        <f>SUM(C79:C80)</f>
        <v>0</v>
      </c>
      <c r="D81" s="361">
        <f>SUM(D79:D80)</f>
        <v>0</v>
      </c>
      <c r="E81" s="361">
        <f>'Sources and Uses Budget'!S81</f>
        <v>2812504</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'Sources and Uses Budget'!C83</f>
        <v>119800</v>
      </c>
      <c r="C83" s="362"/>
      <c r="D83" s="362"/>
      <c r="E83" s="363"/>
      <c r="F83" s="363"/>
      <c r="G83" s="363"/>
      <c r="H83" s="363"/>
      <c r="I83" s="363"/>
      <c r="J83" s="363"/>
      <c r="K83" s="359"/>
    </row>
    <row r="84" spans="1:11" s="360" customFormat="1">
      <c r="A84" s="145" t="s">
        <v>766</v>
      </c>
      <c r="B84" s="361">
        <f>'Sources and Uses Budget'!C84</f>
        <v>80000</v>
      </c>
      <c r="C84" s="362"/>
      <c r="D84" s="362"/>
      <c r="E84" s="361">
        <f>'Sources and Uses Budget'!S84</f>
        <v>80000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196000</v>
      </c>
      <c r="C86" s="362"/>
      <c r="D86" s="362"/>
      <c r="E86" s="361">
        <f>'Sources and Uses Budget'!S86</f>
        <v>196000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30000</v>
      </c>
      <c r="C88" s="362"/>
      <c r="D88" s="362"/>
      <c r="E88" s="363"/>
      <c r="F88" s="363"/>
      <c r="G88" s="363"/>
      <c r="H88" s="363"/>
      <c r="I88" s="363"/>
      <c r="J88" s="363"/>
      <c r="K88" s="359"/>
    </row>
    <row r="89" spans="1:11" s="360" customFormat="1">
      <c r="A89" s="145" t="s">
        <v>771</v>
      </c>
      <c r="B89" s="361">
        <f>'Sources and Uses Budget'!C89</f>
        <v>509500</v>
      </c>
      <c r="C89" s="362"/>
      <c r="D89" s="362"/>
      <c r="E89" s="361">
        <f>'Sources and Uses Budget'!S89</f>
        <v>509500</v>
      </c>
      <c r="F89" s="362"/>
      <c r="G89" s="362"/>
      <c r="H89" s="361">
        <f>'Sources and Uses Budget'!T89</f>
        <v>0</v>
      </c>
      <c r="I89" s="362"/>
      <c r="J89" s="362"/>
      <c r="K89" s="359"/>
    </row>
    <row r="90" spans="1:11" s="360" customFormat="1">
      <c r="A90" s="145" t="s">
        <v>772</v>
      </c>
      <c r="B90" s="361">
        <f>'Sources and Uses Budget'!C90</f>
        <v>14500</v>
      </c>
      <c r="C90" s="362"/>
      <c r="D90" s="362"/>
      <c r="E90" s="361">
        <f>'Sources and Uses Budget'!S90</f>
        <v>14500</v>
      </c>
      <c r="F90" s="362"/>
      <c r="G90" s="362"/>
      <c r="H90" s="361">
        <f>'Sources and Uses Budget'!T90</f>
        <v>0</v>
      </c>
      <c r="I90" s="362"/>
      <c r="J90" s="362"/>
      <c r="K90" s="359"/>
    </row>
    <row r="91" spans="1:11" s="360" customFormat="1">
      <c r="A91" s="155" t="s">
        <v>371</v>
      </c>
      <c r="B91" s="361">
        <f>'Sources and Uses Budget'!C91</f>
        <v>43000</v>
      </c>
      <c r="C91" s="362"/>
      <c r="D91" s="362"/>
      <c r="E91" s="361">
        <f>'Sources and Uses Budget'!S91</f>
        <v>43000</v>
      </c>
      <c r="F91" s="362"/>
      <c r="G91" s="362"/>
      <c r="H91" s="361">
        <f>'Sources and Uses Budget'!T91</f>
        <v>0</v>
      </c>
      <c r="I91" s="362"/>
      <c r="J91" s="362"/>
      <c r="K91" s="359"/>
    </row>
    <row r="92" spans="1:11" s="360" customFormat="1">
      <c r="A92" s="508" t="s">
        <v>1209</v>
      </c>
      <c r="B92" s="361">
        <f>'Sources and Uses Budget'!C92</f>
        <v>18400</v>
      </c>
      <c r="C92" s="362"/>
      <c r="D92" s="362"/>
      <c r="E92" s="361">
        <f>'Sources and Uses Budget'!S92</f>
        <v>18400</v>
      </c>
      <c r="F92" s="362"/>
      <c r="G92" s="362"/>
      <c r="H92" s="361">
        <f>'Sources and Uses Budget'!T92</f>
        <v>0</v>
      </c>
      <c r="I92" s="362"/>
      <c r="J92" s="362"/>
      <c r="K92" s="359"/>
    </row>
    <row r="93" spans="1:11" s="360" customFormat="1">
      <c r="A93" s="364" t="str">
        <f>'Sources and Uses Budget'!$A93</f>
        <v>Other: PNA</v>
      </c>
      <c r="B93" s="361">
        <f>'Sources and Uses Budget'!C93</f>
        <v>64400</v>
      </c>
      <c r="C93" s="362"/>
      <c r="D93" s="362"/>
      <c r="E93" s="361">
        <f>'Sources and Uses Budget'!S93</f>
        <v>64400</v>
      </c>
      <c r="F93" s="362"/>
      <c r="G93" s="362"/>
      <c r="H93" s="361">
        <f>'Sources and Uses Budget'!T93</f>
        <v>0</v>
      </c>
      <c r="I93" s="362"/>
      <c r="J93" s="362"/>
      <c r="K93" s="359"/>
    </row>
    <row r="94" spans="1:11" s="360" customFormat="1" ht="24">
      <c r="A94" s="364" t="str">
        <f>'Sources and Uses Budget'!$A94</f>
        <v xml:space="preserve">Other: Accessibility &amp; Energy Consultant </v>
      </c>
      <c r="B94" s="361">
        <f>'Sources and Uses Budget'!C94</f>
        <v>94500</v>
      </c>
      <c r="C94" s="362"/>
      <c r="D94" s="362"/>
      <c r="E94" s="361">
        <f>'Sources and Uses Budget'!S94</f>
        <v>94500</v>
      </c>
      <c r="F94" s="362"/>
      <c r="G94" s="362"/>
      <c r="H94" s="361">
        <f>'Sources and Uses Budget'!T94</f>
        <v>0</v>
      </c>
      <c r="I94" s="362"/>
      <c r="J94" s="362"/>
      <c r="K94" s="359"/>
    </row>
    <row r="95" spans="1:11" s="360" customFormat="1">
      <c r="A95" s="364" t="str">
        <f>'Sources and Uses Budget'!$A95</f>
        <v xml:space="preserve">Other: Plumbing, Zoning, etc. </v>
      </c>
      <c r="B95" s="361">
        <f>'Sources and Uses Budget'!C95</f>
        <v>66700</v>
      </c>
      <c r="C95" s="362"/>
      <c r="D95" s="362"/>
      <c r="E95" s="361">
        <f>'Sources and Uses Budget'!S95</f>
        <v>66700</v>
      </c>
      <c r="F95" s="362"/>
      <c r="G95" s="362"/>
      <c r="H95" s="361">
        <f>'Sources and Uses Budget'!T95</f>
        <v>0</v>
      </c>
      <c r="I95" s="362"/>
      <c r="J95" s="362"/>
      <c r="K95" s="359"/>
    </row>
    <row r="96" spans="1:11" s="360" customFormat="1">
      <c r="A96" s="365" t="s">
        <v>773</v>
      </c>
      <c r="B96" s="361">
        <f>'Sources and Uses Budget'!C96</f>
        <v>1236800</v>
      </c>
      <c r="C96" s="361">
        <f>SUM(C83:C95)</f>
        <v>0</v>
      </c>
      <c r="D96" s="361">
        <f>SUM(D83:D95)</f>
        <v>0</v>
      </c>
      <c r="E96" s="361">
        <f>'Sources and Uses Budget'!S96</f>
        <v>1087000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63940262</v>
      </c>
      <c r="C97" s="361">
        <f>SUM(C63+C70+C77+C81+C96)</f>
        <v>0</v>
      </c>
      <c r="D97" s="361">
        <f>SUM(D63+D70+D77+D81+D96)</f>
        <v>0</v>
      </c>
      <c r="E97" s="361">
        <f>'Sources and Uses Budget'!S97</f>
        <v>33744684</v>
      </c>
      <c r="F97" s="367">
        <f>SUM(+F63+F70+F81+F96)</f>
        <v>0</v>
      </c>
      <c r="G97" s="367">
        <f>SUM(+G63+G70+G81+G96)</f>
        <v>0</v>
      </c>
      <c r="H97" s="361">
        <f>'Sources and Uses Budget'!T97</f>
        <v>25603000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8902153</v>
      </c>
      <c r="C99" s="362"/>
      <c r="D99" s="362"/>
      <c r="E99" s="361">
        <f>'Sources and Uses Budget'!S99</f>
        <v>5061703</v>
      </c>
      <c r="F99" s="362"/>
      <c r="G99" s="362"/>
      <c r="H99" s="361">
        <f>'Sources and Uses Budget'!T99</f>
        <v>3840450</v>
      </c>
      <c r="I99" s="362"/>
      <c r="J99" s="362"/>
      <c r="K99" s="359"/>
    </row>
    <row r="100" spans="1:11" s="360" customFormat="1">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8902153</v>
      </c>
      <c r="C104" s="361">
        <f>SUM(C99:C103)</f>
        <v>0</v>
      </c>
      <c r="D104" s="361">
        <f>SUM(D99:D103)</f>
        <v>0</v>
      </c>
      <c r="E104" s="361">
        <f>'Sources and Uses Budget'!S104</f>
        <v>5061703</v>
      </c>
      <c r="F104" s="367">
        <f>SUM(F99:F103)</f>
        <v>0</v>
      </c>
      <c r="G104" s="367">
        <f>SUM(G99:G103)</f>
        <v>0</v>
      </c>
      <c r="H104" s="361">
        <f>'Sources and Uses Budget'!T104</f>
        <v>3840450</v>
      </c>
      <c r="I104" s="367">
        <f>SUM(I99:I103)</f>
        <v>0</v>
      </c>
      <c r="J104" s="367">
        <f>SUM(J99:J103)</f>
        <v>0</v>
      </c>
      <c r="K104" s="359"/>
    </row>
    <row r="105" spans="1:11" s="360" customFormat="1">
      <c r="A105" s="365" t="s">
        <v>1028</v>
      </c>
      <c r="B105" s="361">
        <f>'Sources and Uses Budget'!C105</f>
        <v>72842415</v>
      </c>
      <c r="C105" s="367">
        <f>SUM(C97+C104)</f>
        <v>0</v>
      </c>
      <c r="D105" s="367">
        <f>SUM(D97+D104)</f>
        <v>0</v>
      </c>
      <c r="E105" s="361">
        <f>'Sources and Uses Budget'!S105</f>
        <v>38806387</v>
      </c>
      <c r="F105" s="367">
        <f>F97+F104</f>
        <v>0</v>
      </c>
      <c r="G105" s="367">
        <f>G97+G104</f>
        <v>0</v>
      </c>
      <c r="H105" s="361">
        <f>'Sources and Uses Budget'!T105</f>
        <v>29443450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38806387</v>
      </c>
      <c r="F107" s="367">
        <f>F105+F106</f>
        <v>0</v>
      </c>
      <c r="G107" s="367">
        <f>G105+G106</f>
        <v>0</v>
      </c>
      <c r="H107" s="361">
        <f>'Sources and Uses Budget'!T107</f>
        <v>29443450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8"/>
      <c r="C139" s="1318"/>
      <c r="D139" s="356"/>
      <c r="E139" s="385"/>
      <c r="F139" s="385"/>
      <c r="G139" s="385"/>
    </row>
    <row r="140" spans="1:11" ht="12" customHeight="1">
      <c r="A140" s="1289"/>
      <c r="B140" s="1289"/>
      <c r="C140" s="128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88" t="s">
        <v>2454</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2453</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80" t="str">
        <f>IF(Application!H18="","",Application!H18)</f>
        <v>Castlewood Terrace</v>
      </c>
      <c r="M4" s="1881"/>
      <c r="N4" s="1881"/>
      <c r="O4" s="1881"/>
      <c r="P4" s="1881"/>
      <c r="Q4" s="1881"/>
      <c r="R4" s="1881"/>
      <c r="S4" s="1881"/>
      <c r="T4" s="1881"/>
      <c r="U4" s="1881"/>
      <c r="V4" s="1881"/>
      <c r="W4" s="1881"/>
      <c r="X4" s="1881"/>
      <c r="Y4" s="1881"/>
      <c r="Z4" s="1881"/>
      <c r="AA4" s="1881"/>
      <c r="AB4" s="1881"/>
      <c r="AC4" s="1882"/>
      <c r="AD4" s="1190"/>
      <c r="AE4" s="1190"/>
      <c r="AF4" s="1894" t="s">
        <v>2452</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2451</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80" t="str">
        <f>IF(Application!H16="","",Application!H16)</f>
        <v>Castlewood Terrace, LP</v>
      </c>
      <c r="M6" s="1881"/>
      <c r="N6" s="1881"/>
      <c r="O6" s="1881"/>
      <c r="P6" s="1881"/>
      <c r="Q6" s="1881"/>
      <c r="R6" s="1881"/>
      <c r="S6" s="1881"/>
      <c r="T6" s="1881"/>
      <c r="U6" s="1881"/>
      <c r="V6" s="1881"/>
      <c r="W6" s="1881"/>
      <c r="X6" s="1881"/>
      <c r="Y6" s="1881"/>
      <c r="Z6" s="1881"/>
      <c r="AA6" s="1881"/>
      <c r="AB6" s="1881"/>
      <c r="AC6" s="1882"/>
      <c r="AD6" s="1190"/>
      <c r="AE6" s="1190"/>
      <c r="AF6" s="1883" t="s">
        <v>2449</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2448</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2446</v>
      </c>
      <c r="AG8" s="1883"/>
      <c r="AH8" s="1883"/>
      <c r="AI8" s="1883"/>
      <c r="AJ8" s="1883"/>
      <c r="AK8" s="1883"/>
      <c r="AL8" s="1883"/>
      <c r="AM8" s="1883"/>
      <c r="AN8" s="1883"/>
      <c r="AO8" s="1883"/>
      <c r="AP8" s="1884" t="s">
        <v>2096</v>
      </c>
      <c r="AQ8" s="1884"/>
      <c r="AR8" s="1884"/>
      <c r="AS8" s="1884"/>
      <c r="AT8" s="1884"/>
      <c r="AU8" s="1884"/>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2445</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1909">
        <f>Application!AO627</f>
        <v>11263869</v>
      </c>
      <c r="O10" s="1909"/>
      <c r="P10" s="1909"/>
      <c r="Q10" s="1909"/>
      <c r="R10" s="1909"/>
      <c r="S10" s="1909"/>
      <c r="T10" s="1909"/>
      <c r="U10" s="1190"/>
      <c r="V10" s="1190"/>
      <c r="W10" s="1190"/>
      <c r="X10" s="1193"/>
      <c r="Y10" s="1193"/>
      <c r="Z10" s="1193"/>
      <c r="AA10" s="1193"/>
      <c r="AB10" s="1193"/>
      <c r="AC10" s="1193"/>
      <c r="AD10" s="1193"/>
      <c r="AE10" s="1193"/>
      <c r="AF10" s="1894" t="s">
        <v>2442</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2439</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1897" t="s">
        <v>2437</v>
      </c>
      <c r="C13" s="1898"/>
      <c r="D13" s="1898"/>
      <c r="E13" s="1898"/>
      <c r="F13" s="1898"/>
      <c r="G13" s="1898"/>
      <c r="H13" s="1898"/>
      <c r="I13" s="1898"/>
      <c r="J13" s="1898"/>
      <c r="K13" s="1898"/>
      <c r="L13" s="1898"/>
      <c r="M13" s="1898"/>
      <c r="N13" s="1898"/>
      <c r="O13" s="1898"/>
      <c r="P13" s="1899"/>
      <c r="Q13" s="1900" t="s">
        <v>668</v>
      </c>
      <c r="R13" s="1901"/>
      <c r="S13" s="1901"/>
      <c r="T13" s="1902"/>
      <c r="U13" s="1193"/>
      <c r="V13" s="1190"/>
      <c r="W13" s="1190"/>
      <c r="X13" s="1190"/>
      <c r="Y13" s="1190"/>
      <c r="Z13" s="1190"/>
      <c r="AA13" s="1903" t="s">
        <v>2436</v>
      </c>
      <c r="AB13" s="1903"/>
      <c r="AC13" s="1903"/>
      <c r="AD13" s="1903"/>
      <c r="AE13" s="1903"/>
      <c r="AF13" s="1903"/>
      <c r="AG13" s="1903"/>
      <c r="AH13" s="1903"/>
      <c r="AI13" s="1903"/>
      <c r="AJ13" s="1903"/>
      <c r="AK13" s="1903"/>
      <c r="AL13" s="1903"/>
      <c r="AM13" s="1903"/>
      <c r="AN13" s="1903"/>
      <c r="AO13" s="1904">
        <f>Application!W473</f>
        <v>18</v>
      </c>
      <c r="AP13" s="1905"/>
      <c r="AQ13" s="1905"/>
      <c r="AR13" s="1905"/>
      <c r="AS13" s="1905"/>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2434</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thickBot="1">
      <c r="A15" s="1190"/>
      <c r="B15" s="1910" t="s">
        <v>2433</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2432</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5" t="s">
        <v>2431</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2430</v>
      </c>
      <c r="C18" s="1919"/>
      <c r="D18" s="1919"/>
      <c r="E18" s="1919"/>
      <c r="F18" s="1919"/>
      <c r="G18" s="1919"/>
      <c r="H18" s="1919"/>
      <c r="I18" s="1920"/>
      <c r="J18" s="1921" t="s">
        <v>1584</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2429</v>
      </c>
      <c r="AU18" s="1922"/>
      <c r="AV18" s="1922"/>
      <c r="AW18" s="1922"/>
      <c r="AX18" s="1922"/>
      <c r="AY18" s="1924"/>
      <c r="AZ18" s="1190"/>
      <c r="BA18" s="1190"/>
      <c r="BB18" s="1190"/>
      <c r="BC18" s="1190"/>
      <c r="BD18" s="1190"/>
      <c r="BE18" s="1194"/>
    </row>
    <row r="19" spans="1:58" ht="15">
      <c r="A19" s="1190"/>
      <c r="B19" s="1925">
        <v>0.3</v>
      </c>
      <c r="C19" s="1926"/>
      <c r="D19" s="1926"/>
      <c r="E19" s="1926"/>
      <c r="F19" s="1926"/>
      <c r="G19" s="1926"/>
      <c r="H19" s="1926"/>
      <c r="I19" s="1927"/>
      <c r="J19" s="1928">
        <f t="shared" ref="J19:J24" si="0">SUM(P19:AS19)</f>
        <v>16</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16</v>
      </c>
      <c r="W19" s="1929"/>
      <c r="X19" s="1929"/>
      <c r="Y19" s="1929"/>
      <c r="Z19" s="1929"/>
      <c r="AA19" s="1930"/>
      <c r="AB19" s="1928" cm="1">
        <f t="array" ref="AB19">SUMPRODUCT((Application!$B$714:$B$738 = 'CalHFA Addendum'!AB$18)*(Application!$AC$714:$AC$738 = 'CalHFA Addendum'!$B19),Application!$G$714:$G$738)</f>
        <v>0</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0.10062893081761007</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5">
      <c r="A21" s="1190"/>
      <c r="B21" s="1925">
        <v>0.5</v>
      </c>
      <c r="C21" s="1926"/>
      <c r="D21" s="1926"/>
      <c r="E21" s="1926"/>
      <c r="F21" s="1926"/>
      <c r="G21" s="1926"/>
      <c r="H21" s="1926"/>
      <c r="I21" s="1927"/>
      <c r="J21" s="1928">
        <f t="shared" si="0"/>
        <v>16</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16</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0.10062893081761007</v>
      </c>
      <c r="AU21" s="1932"/>
      <c r="AV21" s="1932"/>
      <c r="AW21" s="1932"/>
      <c r="AX21" s="1932"/>
      <c r="AY21" s="1933"/>
      <c r="AZ21" s="1190"/>
      <c r="BA21" s="1190"/>
      <c r="BB21" s="1190"/>
      <c r="BC21" s="1190"/>
      <c r="BD21" s="1190"/>
      <c r="BE21" s="1194"/>
    </row>
    <row r="22" spans="1:58" ht="15">
      <c r="A22" s="1190"/>
      <c r="B22" s="1925">
        <v>0.6</v>
      </c>
      <c r="C22" s="1926"/>
      <c r="D22" s="1926"/>
      <c r="E22" s="1926"/>
      <c r="F22" s="1926"/>
      <c r="G22" s="1926"/>
      <c r="H22" s="1926"/>
      <c r="I22" s="1927"/>
      <c r="J22" s="1928">
        <f t="shared" si="0"/>
        <v>125</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125</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0.78616352201257866</v>
      </c>
      <c r="AU22" s="1932"/>
      <c r="AV22" s="1932"/>
      <c r="AW22" s="1932"/>
      <c r="AX22" s="1932"/>
      <c r="AY22" s="1933"/>
      <c r="AZ22" s="1190"/>
      <c r="BA22" s="1190"/>
      <c r="BB22" s="1190"/>
      <c r="BC22" s="1190"/>
      <c r="BD22" s="1190"/>
      <c r="BE22" s="1194"/>
    </row>
    <row r="23" spans="1:58" ht="15">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5">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5">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5">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5">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thickBot="1">
      <c r="A28" s="1190"/>
      <c r="B28" s="1937" t="s">
        <v>2428</v>
      </c>
      <c r="C28" s="1938"/>
      <c r="D28" s="1938"/>
      <c r="E28" s="1938"/>
      <c r="F28" s="1938"/>
      <c r="G28" s="1938"/>
      <c r="H28" s="1938"/>
      <c r="I28" s="1939"/>
      <c r="J28" s="1940">
        <f>SUM(P28:AS28)</f>
        <v>2</v>
      </c>
      <c r="K28" s="1941"/>
      <c r="L28" s="1941"/>
      <c r="M28" s="1941"/>
      <c r="N28" s="1941"/>
      <c r="O28" s="1942"/>
      <c r="P28" s="1940">
        <f>_xlfn.IFNA(VLOOKUP(P$18,Application!$J$773:$S$776,6,FALSE), 0)</f>
        <v>0</v>
      </c>
      <c r="Q28" s="1941"/>
      <c r="R28" s="1941"/>
      <c r="S28" s="1941"/>
      <c r="T28" s="1941"/>
      <c r="U28" s="1942"/>
      <c r="V28" s="1940">
        <f>_xlfn.IFNA(VLOOKUP(V$18,Application!$J$773:$S$776,6,FALSE), 0)</f>
        <v>1</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1.2578616352201259E-2</v>
      </c>
      <c r="AU28" s="1944"/>
      <c r="AV28" s="1944"/>
      <c r="AW28" s="1944"/>
      <c r="AX28" s="1944"/>
      <c r="AY28" s="1945"/>
      <c r="AZ28" s="1190"/>
      <c r="BA28" s="1190"/>
      <c r="BB28" s="1190"/>
      <c r="BC28" s="1190"/>
      <c r="BD28" s="1190"/>
      <c r="BE28" s="1194"/>
    </row>
    <row r="29" spans="1:58" thickBot="1">
      <c r="A29" s="1190"/>
      <c r="B29" s="1974" t="s">
        <v>1584</v>
      </c>
      <c r="C29" s="1947"/>
      <c r="D29" s="1947"/>
      <c r="E29" s="1947"/>
      <c r="F29" s="1947"/>
      <c r="G29" s="1947"/>
      <c r="H29" s="1947"/>
      <c r="I29" s="1948"/>
      <c r="J29" s="1946">
        <f>SUM(J19:O28)</f>
        <v>159</v>
      </c>
      <c r="K29" s="1947"/>
      <c r="L29" s="1947"/>
      <c r="M29" s="1947"/>
      <c r="N29" s="1947"/>
      <c r="O29" s="1948"/>
      <c r="P29" s="1946">
        <f>SUM(P19:U28)</f>
        <v>0</v>
      </c>
      <c r="Q29" s="1947"/>
      <c r="R29" s="1947"/>
      <c r="S29" s="1947"/>
      <c r="T29" s="1947"/>
      <c r="U29" s="1948"/>
      <c r="V29" s="1946">
        <f>SUM(V19:AA28)</f>
        <v>158</v>
      </c>
      <c r="W29" s="1947"/>
      <c r="X29" s="1947"/>
      <c r="Y29" s="1947"/>
      <c r="Z29" s="1947"/>
      <c r="AA29" s="1948"/>
      <c r="AB29" s="1946">
        <f>SUM(AB19:AG28)</f>
        <v>1</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2" t="s">
        <v>2427</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thickBot="1">
      <c r="A32" s="1190"/>
      <c r="B32" s="1955" t="s">
        <v>2426</v>
      </c>
      <c r="C32" s="1956"/>
      <c r="D32" s="1956"/>
      <c r="E32" s="1956"/>
      <c r="F32" s="1956"/>
      <c r="G32" s="1956"/>
      <c r="H32" s="1956"/>
      <c r="I32" s="1956"/>
      <c r="J32" s="1959" t="s">
        <v>2425</v>
      </c>
      <c r="K32" s="1960"/>
      <c r="L32" s="1960"/>
      <c r="M32" s="1960"/>
      <c r="N32" s="1959" t="s">
        <v>2424</v>
      </c>
      <c r="O32" s="1960"/>
      <c r="P32" s="1960"/>
      <c r="Q32" s="1962"/>
      <c r="R32" s="1964" t="s">
        <v>2423</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2422</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2421</v>
      </c>
      <c r="AT35" s="1976"/>
      <c r="AU35" s="1976"/>
      <c r="AV35" s="1976"/>
      <c r="AW35" s="1976"/>
      <c r="AX35" s="1984"/>
      <c r="AY35" s="1975" t="s">
        <v>2420</v>
      </c>
      <c r="AZ35" s="1976"/>
      <c r="BA35" s="1976"/>
      <c r="BB35" s="1976"/>
      <c r="BC35" s="1976"/>
      <c r="BD35" s="1977"/>
      <c r="BE35" s="1194"/>
    </row>
    <row r="36" spans="1:58" ht="15.75" customHeight="1">
      <c r="A36" s="1190"/>
      <c r="B36" s="1994" t="s">
        <v>2419</v>
      </c>
      <c r="C36" s="1995"/>
      <c r="D36" s="1995"/>
      <c r="E36" s="1995"/>
      <c r="F36" s="1995"/>
      <c r="G36" s="1995"/>
      <c r="H36" s="1995"/>
      <c r="I36" s="1995"/>
      <c r="J36" s="1996" t="s">
        <v>2418</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2417</v>
      </c>
      <c r="C37" s="1995"/>
      <c r="D37" s="1995"/>
      <c r="E37" s="1995"/>
      <c r="F37" s="1995"/>
      <c r="G37" s="1995"/>
      <c r="H37" s="1995"/>
      <c r="I37" s="1995"/>
      <c r="J37" s="1996" t="s">
        <v>2416</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2415</v>
      </c>
      <c r="C38" s="1995"/>
      <c r="D38" s="1995"/>
      <c r="E38" s="1995"/>
      <c r="F38" s="1995"/>
      <c r="G38" s="1995"/>
      <c r="H38" s="1995"/>
      <c r="I38" s="1995"/>
      <c r="J38" s="1996" t="s">
        <v>2414</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2413</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2413</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2412</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2412</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2411</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2410</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2409</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2333</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2406</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2399</v>
      </c>
      <c r="C51" s="2014"/>
      <c r="D51" s="2014"/>
      <c r="E51" s="2014"/>
      <c r="F51" s="2014"/>
      <c r="G51" s="2014"/>
      <c r="H51" s="2014"/>
      <c r="I51" s="2014"/>
      <c r="J51" s="2014" t="s">
        <v>2405</v>
      </c>
      <c r="K51" s="2014"/>
      <c r="L51" s="2014"/>
      <c r="M51" s="2014"/>
      <c r="N51" s="2014"/>
      <c r="O51" s="2014"/>
      <c r="P51" s="2014"/>
      <c r="Q51" s="2014"/>
      <c r="R51" s="2015" t="s">
        <v>2404</v>
      </c>
      <c r="S51" s="2015"/>
      <c r="T51" s="2015"/>
      <c r="U51" s="2015"/>
      <c r="V51" s="2015"/>
      <c r="W51" s="2015"/>
      <c r="X51" s="2015"/>
      <c r="Y51" s="2015"/>
      <c r="Z51" s="2015" t="s">
        <v>2403</v>
      </c>
      <c r="AA51" s="2015"/>
      <c r="AB51" s="2015"/>
      <c r="AC51" s="2015"/>
      <c r="AD51" s="2015"/>
      <c r="AE51" s="2015"/>
      <c r="AF51" s="2015"/>
      <c r="AG51" s="2015"/>
      <c r="AH51" s="2015" t="s">
        <v>2402</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2401</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2400</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1584</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2399</v>
      </c>
      <c r="C59" s="2023"/>
      <c r="D59" s="2023"/>
      <c r="E59" s="2023"/>
      <c r="F59" s="2023"/>
      <c r="G59" s="2023"/>
      <c r="H59" s="2023"/>
      <c r="I59" s="2024"/>
      <c r="J59" s="1916" t="s">
        <v>2398</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2396</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2395</v>
      </c>
      <c r="AD68" s="2060"/>
      <c r="AE68" s="2060"/>
      <c r="AF68" s="2060"/>
      <c r="AG68" s="2060"/>
      <c r="AH68" s="2060"/>
      <c r="AI68" s="2060"/>
      <c r="AJ68" s="2060"/>
      <c r="AK68" s="2060"/>
      <c r="AL68" s="2060"/>
      <c r="AM68" s="2060"/>
      <c r="AN68" s="2060"/>
      <c r="AO68" s="2060"/>
      <c r="AP68" s="2060"/>
      <c r="AQ68" s="2060"/>
      <c r="AR68" s="2060"/>
      <c r="AS68" s="2060"/>
      <c r="AT68" s="2060"/>
      <c r="AU68" s="2060"/>
      <c r="AV68" s="2037" t="s">
        <v>668</v>
      </c>
      <c r="AW68" s="2038"/>
      <c r="AX68" s="2038"/>
      <c r="AY68" s="2038"/>
      <c r="AZ68" s="2038"/>
      <c r="BA68" s="2038"/>
      <c r="BB68" s="2038"/>
      <c r="BC68" s="2039"/>
      <c r="BD68" s="1190"/>
      <c r="BE68" s="1194"/>
      <c r="BM68" s="1199" t="s">
        <v>2394</v>
      </c>
    </row>
    <row r="69" spans="1:94" ht="15.75" customHeight="1" thickTop="1" thickBot="1">
      <c r="A69" s="1190"/>
      <c r="B69" s="2040" t="s">
        <v>2393</v>
      </c>
      <c r="C69" s="2041"/>
      <c r="D69" s="2041"/>
      <c r="E69" s="2041"/>
      <c r="F69" s="2041"/>
      <c r="G69" s="2041"/>
      <c r="H69" s="2041"/>
      <c r="I69" s="2041"/>
      <c r="J69" s="2041"/>
      <c r="K69" s="2041"/>
      <c r="L69" s="2041"/>
      <c r="M69" s="2041"/>
      <c r="N69" s="2041"/>
      <c r="O69" s="2042" t="s">
        <v>2392</v>
      </c>
      <c r="P69" s="2043"/>
      <c r="Q69" s="2043"/>
      <c r="R69" s="2043"/>
      <c r="S69" s="2043"/>
      <c r="T69" s="2043"/>
      <c r="U69" s="2043"/>
      <c r="V69" s="2043"/>
      <c r="W69" s="2043"/>
      <c r="X69" s="2043"/>
      <c r="Y69" s="2043"/>
      <c r="Z69" s="2043"/>
      <c r="AA69" s="2044"/>
      <c r="AB69" s="1190"/>
      <c r="AC69" s="2045" t="s">
        <v>2391</v>
      </c>
      <c r="AD69" s="2046"/>
      <c r="AE69" s="2046"/>
      <c r="AF69" s="2046"/>
      <c r="AG69" s="2046"/>
      <c r="AH69" s="2046"/>
      <c r="AI69" s="2046"/>
      <c r="AJ69" s="2046"/>
      <c r="AK69" s="2046"/>
      <c r="AL69" s="2046"/>
      <c r="AM69" s="2046"/>
      <c r="AN69" s="2046"/>
      <c r="AO69" s="2046"/>
      <c r="AP69" s="2046"/>
      <c r="AQ69" s="2046"/>
      <c r="AR69" s="2046"/>
      <c r="AS69" s="2046"/>
      <c r="AT69" s="2046"/>
      <c r="AU69" s="2046"/>
      <c r="AV69" s="2037" t="s">
        <v>668</v>
      </c>
      <c r="AW69" s="2038"/>
      <c r="AX69" s="2038"/>
      <c r="AY69" s="2038"/>
      <c r="AZ69" s="2038"/>
      <c r="BA69" s="2038"/>
      <c r="BB69" s="2038"/>
      <c r="BC69" s="2039"/>
      <c r="BD69" s="1190"/>
      <c r="BE69" s="1194"/>
      <c r="BM69" s="1200" t="s">
        <v>545</v>
      </c>
    </row>
    <row r="70" spans="1:94" ht="15.75" customHeight="1">
      <c r="A70" s="1190"/>
      <c r="B70" s="1994" t="s">
        <v>2390</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2389</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668</v>
      </c>
    </row>
    <row r="71" spans="1:94" ht="15.75" customHeight="1" thickBot="1">
      <c r="A71" s="1190"/>
      <c r="B71" s="1994" t="s">
        <v>2388</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2387</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2386</v>
      </c>
    </row>
    <row r="72" spans="1:94" ht="15.75" customHeight="1">
      <c r="A72" s="1190"/>
      <c r="B72" s="1994" t="s">
        <v>2385</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2384</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2383</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2328</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2381</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2380</v>
      </c>
      <c r="C81" s="2070"/>
      <c r="D81" s="2070"/>
      <c r="E81" s="2070"/>
      <c r="F81" s="2070"/>
      <c r="G81" s="2070"/>
      <c r="H81" s="2070"/>
      <c r="I81" s="2070"/>
      <c r="J81" s="2070"/>
      <c r="K81" s="2070"/>
      <c r="L81" s="2070"/>
      <c r="M81" s="2070"/>
      <c r="N81" s="2070"/>
      <c r="O81" s="2070"/>
      <c r="P81" s="2070"/>
      <c r="Q81" s="2070"/>
      <c r="R81" s="2071" t="s">
        <v>2186</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2379</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2378</v>
      </c>
      <c r="AK83" s="2093"/>
      <c r="AL83" s="2093"/>
      <c r="AM83" s="2093"/>
      <c r="AN83" s="2093"/>
      <c r="AO83" s="2093"/>
      <c r="AP83" s="2093"/>
      <c r="AQ83" s="2093"/>
      <c r="AR83" s="2093"/>
      <c r="AS83" s="2093"/>
      <c r="AT83" s="2093"/>
      <c r="AU83" s="2093"/>
      <c r="AV83" s="2093"/>
      <c r="AW83" s="2093"/>
      <c r="AX83" s="2093"/>
      <c r="AY83" s="2096" t="s">
        <v>545</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2368</v>
      </c>
      <c r="J84" s="2014"/>
      <c r="K84" s="2014"/>
      <c r="L84" s="2014"/>
      <c r="M84" s="2014"/>
      <c r="N84" s="2014"/>
      <c r="O84" s="2014" t="s">
        <v>2344</v>
      </c>
      <c r="P84" s="2014"/>
      <c r="Q84" s="2014"/>
      <c r="R84" s="2014"/>
      <c r="S84" s="2014"/>
      <c r="T84" s="2014"/>
      <c r="U84" s="2014"/>
      <c r="V84" s="2100" t="s">
        <v>2343</v>
      </c>
      <c r="W84" s="2100"/>
      <c r="X84" s="2100"/>
      <c r="Y84" s="2100"/>
      <c r="Z84" s="2100"/>
      <c r="AA84" s="2100"/>
      <c r="AB84" s="2101" t="s">
        <v>2367</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2366</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2365</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2372</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2364</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2376</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2375</v>
      </c>
      <c r="C94" s="2070"/>
      <c r="D94" s="2070"/>
      <c r="E94" s="2070"/>
      <c r="F94" s="2070"/>
      <c r="G94" s="2070"/>
      <c r="H94" s="2070"/>
      <c r="I94" s="2070"/>
      <c r="J94" s="2070"/>
      <c r="K94" s="2070"/>
      <c r="L94" s="2070"/>
      <c r="M94" s="2070"/>
      <c r="N94" s="2070"/>
      <c r="O94" s="2070"/>
      <c r="P94" s="2070"/>
      <c r="Q94" s="2104"/>
      <c r="R94" s="2071" t="s">
        <v>2186</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2374</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2373</v>
      </c>
      <c r="AK96" s="2093"/>
      <c r="AL96" s="2093"/>
      <c r="AM96" s="2093"/>
      <c r="AN96" s="2093"/>
      <c r="AO96" s="2093"/>
      <c r="AP96" s="2093"/>
      <c r="AQ96" s="2093"/>
      <c r="AR96" s="2093"/>
      <c r="AS96" s="2093"/>
      <c r="AT96" s="2093"/>
      <c r="AU96" s="2093"/>
      <c r="AV96" s="2093"/>
      <c r="AW96" s="2093"/>
      <c r="AX96" s="2093"/>
      <c r="AY96" s="2096" t="s">
        <v>545</v>
      </c>
      <c r="AZ96" s="2096"/>
      <c r="BA96" s="2096"/>
      <c r="BB96" s="2097"/>
      <c r="BC96" s="1190"/>
      <c r="BD96" s="1190"/>
      <c r="BE96" s="1194"/>
      <c r="BQ96" s="1256" t="str">
        <f>Application!M243&amp;IF(TRIM(Application!AA249)&lt;&gt;""," ("&amp;Application!AA249&amp;")","")</f>
        <v>Castlewood GP, Inc.  (Rebuild America, Inc. )</v>
      </c>
      <c r="BR96" s="1259">
        <f>Application!AH246</f>
        <v>9.0000000000000006E-5</v>
      </c>
      <c r="CM96" s="1188"/>
      <c r="CN96" s="1188"/>
      <c r="CO96" s="1188"/>
      <c r="CP96" s="1188"/>
    </row>
    <row r="97" spans="1:94" ht="15.75" customHeight="1">
      <c r="A97" s="1190"/>
      <c r="B97" s="2013"/>
      <c r="C97" s="2014"/>
      <c r="D97" s="2014"/>
      <c r="E97" s="2014"/>
      <c r="F97" s="2014"/>
      <c r="G97" s="2014"/>
      <c r="H97" s="2014"/>
      <c r="I97" s="2014" t="s">
        <v>2368</v>
      </c>
      <c r="J97" s="2014"/>
      <c r="K97" s="2014"/>
      <c r="L97" s="2014"/>
      <c r="M97" s="2014"/>
      <c r="N97" s="2014"/>
      <c r="O97" s="2014" t="s">
        <v>2344</v>
      </c>
      <c r="P97" s="2014"/>
      <c r="Q97" s="2014"/>
      <c r="R97" s="2014"/>
      <c r="S97" s="2014"/>
      <c r="T97" s="2014"/>
      <c r="U97" s="2014"/>
      <c r="V97" s="2100" t="s">
        <v>2343</v>
      </c>
      <c r="W97" s="2100"/>
      <c r="X97" s="2100"/>
      <c r="Y97" s="2100"/>
      <c r="Z97" s="2100"/>
      <c r="AA97" s="2100"/>
      <c r="AB97" s="2101" t="s">
        <v>2367</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 xml:space="preserve">Community Revitalization and Development Corporation </v>
      </c>
      <c r="BR97" s="1259">
        <f>Application!AH254</f>
        <v>1.0000000000000001E-5</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2366</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2365</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2372</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2364</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Barker Management, Incorporated</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 xml:space="preserve">Mansermar, Inc. </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2369</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2368</v>
      </c>
      <c r="J108" s="2014"/>
      <c r="K108" s="2014"/>
      <c r="L108" s="2014"/>
      <c r="M108" s="2014"/>
      <c r="N108" s="2014"/>
      <c r="O108" s="2014" t="s">
        <v>2344</v>
      </c>
      <c r="P108" s="2014"/>
      <c r="Q108" s="2014"/>
      <c r="R108" s="2014"/>
      <c r="S108" s="2014"/>
      <c r="T108" s="2014"/>
      <c r="U108" s="2014"/>
      <c r="V108" s="2100" t="s">
        <v>2343</v>
      </c>
      <c r="W108" s="2100"/>
      <c r="X108" s="2100"/>
      <c r="Y108" s="2100"/>
      <c r="Z108" s="2100"/>
      <c r="AA108" s="2100"/>
      <c r="AB108" s="2101" t="s">
        <v>2367</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2366</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2365</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2364</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2362</v>
      </c>
      <c r="C117" s="2120"/>
      <c r="D117" s="2120"/>
      <c r="E117" s="2120"/>
      <c r="F117" s="2120"/>
      <c r="G117" s="2120"/>
      <c r="H117" s="2120"/>
      <c r="I117" s="2120"/>
      <c r="J117" s="2120"/>
      <c r="K117" s="2120"/>
      <c r="L117" s="2120"/>
      <c r="M117" s="2120"/>
      <c r="N117" s="2120"/>
      <c r="O117" s="2120"/>
      <c r="P117" s="2120"/>
      <c r="Q117" s="2120"/>
      <c r="R117" s="2120"/>
      <c r="S117" s="2120"/>
      <c r="T117" s="2120"/>
      <c r="U117" s="2123" t="s">
        <v>545</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2362</v>
      </c>
      <c r="C121" s="2128"/>
      <c r="D121" s="2128"/>
      <c r="E121" s="2128"/>
      <c r="F121" s="2128"/>
      <c r="G121" s="2128"/>
      <c r="H121" s="2128"/>
      <c r="I121" s="2128"/>
      <c r="J121" s="2128"/>
      <c r="K121" s="2128"/>
      <c r="L121" s="2128"/>
      <c r="M121" s="2128"/>
      <c r="N121" s="2128"/>
      <c r="O121" s="2128"/>
      <c r="P121" s="2128"/>
      <c r="Q121" s="2128"/>
      <c r="R121" s="2128"/>
      <c r="S121" s="2128"/>
      <c r="T121" s="2128"/>
      <c r="U121" s="2131" t="s">
        <v>545</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2360</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1574</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2359</v>
      </c>
      <c r="J127" s="2014"/>
      <c r="K127" s="2014"/>
      <c r="L127" s="2014"/>
      <c r="M127" s="2014"/>
      <c r="N127" s="2014"/>
      <c r="O127" s="2111" t="s">
        <v>2358</v>
      </c>
      <c r="P127" s="2111"/>
      <c r="Q127" s="2111"/>
      <c r="R127" s="2111"/>
      <c r="S127" s="2111"/>
      <c r="T127" s="2111"/>
      <c r="U127" s="2112"/>
      <c r="V127" s="1190"/>
      <c r="W127" s="1190"/>
      <c r="X127" s="2079" t="s">
        <v>2328</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2342</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2341</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2356</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2344</v>
      </c>
      <c r="J134" s="2157"/>
      <c r="K134" s="2157"/>
      <c r="L134" s="2157"/>
      <c r="M134" s="2157"/>
      <c r="N134" s="2157"/>
      <c r="O134" s="2157"/>
      <c r="P134" s="2157" t="s">
        <v>2343</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2342</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2341</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2355</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545</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2354</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2353</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545</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2352</v>
      </c>
      <c r="C142" s="2144"/>
      <c r="D142" s="2144"/>
      <c r="E142" s="2144"/>
      <c r="F142" s="2144"/>
      <c r="G142" s="2144"/>
      <c r="H142" s="2144"/>
      <c r="I142" s="2144"/>
      <c r="J142" s="2144"/>
      <c r="K142" s="2144"/>
      <c r="L142" s="2144"/>
      <c r="M142" s="2144"/>
      <c r="N142" s="2144"/>
      <c r="O142" s="2144"/>
      <c r="P142" s="2144"/>
      <c r="Q142" s="2144"/>
      <c r="R142" s="2145" t="s">
        <v>2351</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2350</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2347</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2346</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2344</v>
      </c>
      <c r="J157" s="2157"/>
      <c r="K157" s="2157"/>
      <c r="L157" s="2157"/>
      <c r="M157" s="2157"/>
      <c r="N157" s="2157"/>
      <c r="O157" s="2157"/>
      <c r="P157" s="2157" t="s">
        <v>2345</v>
      </c>
      <c r="Q157" s="2157"/>
      <c r="R157" s="2157"/>
      <c r="S157" s="2157"/>
      <c r="T157" s="2157"/>
      <c r="U157" s="2158"/>
      <c r="V157" s="1190"/>
      <c r="W157" s="1190"/>
      <c r="X157" s="2155"/>
      <c r="Y157" s="2156"/>
      <c r="Z157" s="2156"/>
      <c r="AA157" s="2156"/>
      <c r="AB157" s="2156"/>
      <c r="AC157" s="2156"/>
      <c r="AD157" s="2156"/>
      <c r="AE157" s="2157" t="s">
        <v>2344</v>
      </c>
      <c r="AF157" s="2157"/>
      <c r="AG157" s="2157"/>
      <c r="AH157" s="2157"/>
      <c r="AI157" s="2157"/>
      <c r="AJ157" s="2157"/>
      <c r="AK157" s="2157"/>
      <c r="AL157" s="2157" t="s">
        <v>2343</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2342</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2342</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2341</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2340</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2325</v>
      </c>
      <c r="D163" s="2156"/>
      <c r="E163" s="2156"/>
      <c r="F163" s="2156"/>
      <c r="G163" s="2156"/>
      <c r="H163" s="2156"/>
      <c r="I163" s="2156"/>
      <c r="J163" s="2156"/>
      <c r="K163" s="2156"/>
      <c r="L163" s="2156"/>
      <c r="M163" s="2156"/>
      <c r="N163" s="2156"/>
      <c r="O163" s="2156"/>
      <c r="P163" s="2156"/>
      <c r="Q163" s="2156" t="s">
        <v>2339</v>
      </c>
      <c r="R163" s="2156"/>
      <c r="S163" s="2156"/>
      <c r="T163" s="2101" t="s">
        <v>2338</v>
      </c>
      <c r="U163" s="2101"/>
      <c r="V163" s="2101"/>
      <c r="W163" s="2101"/>
      <c r="X163" s="2101"/>
      <c r="Y163" s="2101"/>
      <c r="Z163" s="2101"/>
      <c r="AA163" s="2101"/>
      <c r="AB163" s="2156" t="s">
        <v>2337</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2336</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2335</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2334</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2333</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2314</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2314</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2314</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2332</v>
      </c>
      <c r="D172" s="2060"/>
      <c r="E172" s="2060"/>
      <c r="F172" s="2060"/>
      <c r="G172" s="2060"/>
      <c r="H172" s="2060"/>
      <c r="I172" s="2060"/>
      <c r="J172" s="2060"/>
      <c r="K172" s="2060"/>
      <c r="L172" s="2060"/>
      <c r="M172" s="2060"/>
      <c r="N172" s="2110"/>
      <c r="O172" s="1190"/>
      <c r="P172" s="2175" t="s">
        <v>2331</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2330</v>
      </c>
      <c r="D173" s="2156"/>
      <c r="E173" s="2156"/>
      <c r="F173" s="2156"/>
      <c r="G173" s="2156"/>
      <c r="H173" s="2156"/>
      <c r="I173" s="2156" t="s">
        <v>2329</v>
      </c>
      <c r="J173" s="2156"/>
      <c r="K173" s="2156"/>
      <c r="L173" s="2156"/>
      <c r="M173" s="2156"/>
      <c r="N173" s="2164"/>
      <c r="O173" s="1190"/>
      <c r="P173" s="2079" t="s">
        <v>2328</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2327</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2325</v>
      </c>
      <c r="D184" s="2060"/>
      <c r="E184" s="2060"/>
      <c r="F184" s="2060"/>
      <c r="G184" s="2060"/>
      <c r="H184" s="2060"/>
      <c r="I184" s="2060"/>
      <c r="J184" s="2060"/>
      <c r="K184" s="2060"/>
      <c r="L184" s="2060"/>
      <c r="M184" s="2060"/>
      <c r="N184" s="2060" t="s">
        <v>2326</v>
      </c>
      <c r="O184" s="2060"/>
      <c r="P184" s="2060"/>
      <c r="Q184" s="2060"/>
      <c r="R184" s="2060"/>
      <c r="S184" s="2060"/>
      <c r="T184" s="2060"/>
      <c r="U184" s="2011" t="s">
        <v>2325</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2324</v>
      </c>
      <c r="D185" s="2184"/>
      <c r="E185" s="2184"/>
      <c r="F185" s="2184"/>
      <c r="G185" s="2184"/>
      <c r="H185" s="2184"/>
      <c r="I185" s="2184"/>
      <c r="J185" s="2184"/>
      <c r="K185" s="2184"/>
      <c r="L185" s="2184"/>
      <c r="M185" s="2184"/>
      <c r="N185" s="2185">
        <f>'Sources and Uses Budget'!B105</f>
        <v>72842415</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2323</v>
      </c>
      <c r="D186" s="2184"/>
      <c r="E186" s="2184"/>
      <c r="F186" s="2184"/>
      <c r="G186" s="2184"/>
      <c r="H186" s="2184"/>
      <c r="I186" s="2184"/>
      <c r="J186" s="2184"/>
      <c r="K186" s="2184"/>
      <c r="L186" s="2184"/>
      <c r="M186" s="2184"/>
      <c r="N186" s="2185">
        <f>N185/J29</f>
        <v>458128.39622641512</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2322</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2321</v>
      </c>
      <c r="D188" s="2184"/>
      <c r="E188" s="2184"/>
      <c r="F188" s="2184"/>
      <c r="G188" s="2184"/>
      <c r="H188" s="2184"/>
      <c r="I188" s="2184"/>
      <c r="J188" s="2184"/>
      <c r="K188" s="2184"/>
      <c r="L188" s="2184"/>
      <c r="M188" s="2184"/>
      <c r="N188" s="2201">
        <f>SUM('Sources and Uses Budget'!B85:B86)</f>
        <v>196000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2320</v>
      </c>
      <c r="D189" s="2184"/>
      <c r="E189" s="2184"/>
      <c r="F189" s="2184"/>
      <c r="G189" s="2184"/>
      <c r="H189" s="2184"/>
      <c r="I189" s="2184"/>
      <c r="J189" s="2184"/>
      <c r="K189" s="2184"/>
      <c r="L189" s="2184"/>
      <c r="M189" s="2184"/>
      <c r="N189" s="2201">
        <f>'Sources and Uses Budget'!B8</f>
        <v>197000</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2318</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2319</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2318</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2317</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2316</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2314</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2315</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2314</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2314</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2313</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2312</v>
      </c>
      <c r="D195" s="2223"/>
      <c r="E195" s="2223"/>
      <c r="F195" s="2223"/>
      <c r="G195" s="2223"/>
      <c r="H195" s="2223"/>
      <c r="I195" s="2223"/>
      <c r="J195" s="2223"/>
      <c r="K195" s="2223"/>
      <c r="L195" s="2223"/>
      <c r="M195" s="2223"/>
      <c r="N195" s="2224">
        <f>SUM(N187:T194)</f>
        <v>393000</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2311</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2310</v>
      </c>
      <c r="D196" s="2233"/>
      <c r="E196" s="2233"/>
      <c r="F196" s="2233"/>
      <c r="G196" s="2233"/>
      <c r="H196" s="2233"/>
      <c r="I196" s="2233"/>
      <c r="J196" s="2233"/>
      <c r="K196" s="2233"/>
      <c r="L196" s="2233"/>
      <c r="M196" s="2233"/>
      <c r="N196" s="2234">
        <f>(N185-N195)/J29</f>
        <v>455656.69811320753</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2309</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2308</v>
      </c>
      <c r="D200" s="2259"/>
      <c r="E200" s="2259"/>
      <c r="F200" s="2259"/>
      <c r="G200" s="2259"/>
      <c r="H200" s="2259"/>
      <c r="I200" s="2259"/>
      <c r="J200" s="2259"/>
      <c r="K200" s="2259"/>
      <c r="L200" s="2259"/>
      <c r="M200" s="2259"/>
      <c r="N200" s="2259"/>
      <c r="O200" s="2260" t="s">
        <v>2307</v>
      </c>
      <c r="P200" s="2260"/>
      <c r="Q200" s="2260"/>
      <c r="R200" s="2260"/>
      <c r="S200" s="2260"/>
      <c r="T200" s="2260"/>
      <c r="U200" s="2260"/>
      <c r="V200" s="2260"/>
      <c r="W200" s="2260"/>
      <c r="X200" s="2260" t="s">
        <v>2306</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2305</v>
      </c>
      <c r="D201" s="2251"/>
      <c r="E201" s="2251"/>
      <c r="F201" s="2251"/>
      <c r="G201" s="2251"/>
      <c r="H201" s="2251"/>
      <c r="I201" s="2251"/>
      <c r="J201" s="2251"/>
      <c r="K201" s="2251"/>
      <c r="L201" s="2251"/>
      <c r="M201" s="2251"/>
      <c r="N201" s="2251"/>
      <c r="O201" s="2252" t="s">
        <v>2304</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853</v>
      </c>
      <c r="D202" s="2251"/>
      <c r="E202" s="2251"/>
      <c r="F202" s="2251"/>
      <c r="G202" s="2251"/>
      <c r="H202" s="2251"/>
      <c r="I202" s="2251"/>
      <c r="J202" s="2251"/>
      <c r="K202" s="2251"/>
      <c r="L202" s="2251"/>
      <c r="M202" s="2251"/>
      <c r="N202" s="2251"/>
      <c r="O202" s="2252" t="s">
        <v>2304</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2303</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2302</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2301</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2300</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2299</v>
      </c>
      <c r="D207" s="2266"/>
      <c r="E207" s="2266"/>
      <c r="F207" s="2267"/>
      <c r="G207" s="2271" t="s">
        <v>2298</v>
      </c>
      <c r="H207" s="2266"/>
      <c r="I207" s="2266"/>
      <c r="J207" s="2266"/>
      <c r="K207" s="2266"/>
      <c r="L207" s="2266"/>
      <c r="M207" s="2266"/>
      <c r="N207" s="2266"/>
      <c r="O207" s="2267"/>
      <c r="P207" s="2273" t="s">
        <v>2297</v>
      </c>
      <c r="Q207" s="2274"/>
      <c r="R207" s="2274"/>
      <c r="S207" s="2274"/>
      <c r="T207" s="2275"/>
      <c r="U207" s="2279" t="s">
        <v>2296</v>
      </c>
      <c r="V207" s="2280"/>
      <c r="W207" s="2280"/>
      <c r="X207" s="2281"/>
      <c r="Y207" s="2279" t="s">
        <v>2295</v>
      </c>
      <c r="Z207" s="2280"/>
      <c r="AA207" s="2280"/>
      <c r="AB207" s="2281"/>
      <c r="AC207" s="2279" t="s">
        <v>2294</v>
      </c>
      <c r="AD207" s="2280"/>
      <c r="AE207" s="2280"/>
      <c r="AF207" s="2281"/>
      <c r="AG207" s="2271" t="s">
        <v>2293</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2292</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2290</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2289</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2288</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2287</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2285</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2284</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2283</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2282</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2281</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441</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2280</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2279</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23" sqref="A23:XFD23"/>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2" t="s">
        <v>1278</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5"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5"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5"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38806387</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29443450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5" customHeight="1">
      <c r="B12" s="2358" t="s">
        <v>497</v>
      </c>
      <c r="C12" s="1292"/>
      <c r="D12" s="1292"/>
      <c r="E12" s="1292"/>
      <c r="F12" s="1292"/>
      <c r="G12" s="1292"/>
      <c r="H12" s="1292"/>
      <c r="I12" s="1292"/>
      <c r="J12" s="1292"/>
      <c r="K12" s="1292"/>
      <c r="L12" s="1292"/>
      <c r="M12" s="1292"/>
      <c r="N12" s="1292"/>
      <c r="O12" s="1292"/>
      <c r="P12" s="1292"/>
      <c r="Q12" s="1292"/>
      <c r="R12" s="1292"/>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5" customHeight="1">
      <c r="B13" s="435"/>
      <c r="C13" s="2360" t="s">
        <v>498</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60" t="s">
        <v>499</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5" customHeight="1">
      <c r="B15" s="435"/>
      <c r="C15" s="2360" t="s">
        <v>500</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5" customHeight="1">
      <c r="B16" s="435"/>
      <c r="C16" s="2360" t="s">
        <v>804</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5" customHeight="1">
      <c r="B17" s="435"/>
      <c r="C17" s="2360" t="s">
        <v>501</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5" customHeight="1">
      <c r="A18"/>
      <c r="B18" s="1150"/>
      <c r="C18" s="1809" t="s">
        <v>959</v>
      </c>
      <c r="D18" s="1809"/>
      <c r="E18" s="1809"/>
      <c r="F18" s="1809"/>
      <c r="G18" s="1809"/>
      <c r="H18" s="1809"/>
      <c r="I18" s="1809"/>
      <c r="J18" s="1809"/>
      <c r="K18" s="1809"/>
      <c r="L18" s="1809"/>
      <c r="M18" s="1809"/>
      <c r="N18" s="1809"/>
      <c r="O18" s="1809"/>
      <c r="P18" s="1809"/>
      <c r="Q18" s="1809"/>
      <c r="R18" s="1809"/>
      <c r="S18" s="1810"/>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5" customHeight="1">
      <c r="B19" s="1150"/>
      <c r="C19" s="1809" t="s">
        <v>959</v>
      </c>
      <c r="D19" s="1809"/>
      <c r="E19" s="1809"/>
      <c r="F19" s="1809"/>
      <c r="G19" s="1809"/>
      <c r="H19" s="1809"/>
      <c r="I19" s="1809"/>
      <c r="J19" s="1809"/>
      <c r="K19" s="1809"/>
      <c r="L19" s="1809"/>
      <c r="M19" s="1809"/>
      <c r="N19" s="1809"/>
      <c r="O19" s="1809"/>
      <c r="P19" s="1809"/>
      <c r="Q19" s="1809"/>
      <c r="R19" s="1809"/>
      <c r="S19" s="1810"/>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5" customHeight="1">
      <c r="B21" s="2343" t="s">
        <v>1261</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36">
        <f>T11+T22</f>
        <v>38806387</v>
      </c>
      <c r="U23" s="2337"/>
      <c r="V23" s="2337"/>
      <c r="W23" s="2337"/>
      <c r="X23" s="2337"/>
      <c r="Y23" s="2336">
        <f>Y11+Y22</f>
        <v>0</v>
      </c>
      <c r="Z23" s="2337"/>
      <c r="AA23" s="2337"/>
      <c r="AB23" s="2337"/>
      <c r="AC23" s="2337"/>
      <c r="AD23" s="2336">
        <f>AD11+AD22</f>
        <v>29443450</v>
      </c>
      <c r="AE23" s="2337"/>
      <c r="AF23" s="2337"/>
      <c r="AG23" s="2337"/>
      <c r="AH23" s="2337"/>
      <c r="AI23" s="2336">
        <f>AI11+AI22</f>
        <v>0</v>
      </c>
      <c r="AJ23" s="2337"/>
      <c r="AK23" s="2337"/>
      <c r="AL23" s="2337"/>
      <c r="AM23" s="2337"/>
    </row>
    <row r="24" spans="1:40" ht="12.95" customHeight="1">
      <c r="B24" s="2343" t="s">
        <v>960</v>
      </c>
      <c r="C24" s="2344"/>
      <c r="D24" s="2344"/>
      <c r="E24" s="2344"/>
      <c r="F24" s="2344"/>
      <c r="G24" s="2344"/>
      <c r="H24" s="2344"/>
      <c r="I24" s="2344"/>
      <c r="J24" s="2344"/>
      <c r="K24" s="2344"/>
      <c r="L24" s="2344"/>
      <c r="M24" s="2344"/>
      <c r="N24" s="2344"/>
      <c r="O24" s="2344"/>
      <c r="P24" s="2344"/>
      <c r="Q24" s="2344"/>
      <c r="R24" s="2344"/>
      <c r="S24" s="2345"/>
      <c r="T24" s="2338">
        <f>Application!AJ1053</f>
        <v>128560976</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5" customHeight="1">
      <c r="B25" s="2347" t="s">
        <v>1262</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36">
        <f>T23*T25</f>
        <v>50448303.100000001</v>
      </c>
      <c r="U26" s="2337"/>
      <c r="V26" s="2337"/>
      <c r="W26" s="2337"/>
      <c r="X26" s="2337"/>
      <c r="Y26" s="2336">
        <f>Y23*Y25</f>
        <v>0</v>
      </c>
      <c r="Z26" s="2337"/>
      <c r="AA26" s="2337"/>
      <c r="AB26" s="2337"/>
      <c r="AC26" s="2337"/>
      <c r="AD26" s="2336">
        <f>AD23*AD25</f>
        <v>29443450</v>
      </c>
      <c r="AE26" s="2337"/>
      <c r="AF26" s="2337"/>
      <c r="AG26" s="2337"/>
      <c r="AH26" s="2337"/>
      <c r="AI26" s="2336">
        <f>AI23*AI25</f>
        <v>0</v>
      </c>
      <c r="AJ26" s="2337"/>
      <c r="AK26" s="2337"/>
      <c r="AL26" s="2337"/>
      <c r="AM26" s="2337"/>
    </row>
    <row r="27" spans="1:40" ht="12.95"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36">
        <f>IF(ISERROR((T26*T27)),0,(T26*T27))</f>
        <v>50448303.100000001</v>
      </c>
      <c r="U28" s="2337"/>
      <c r="V28" s="2337"/>
      <c r="W28" s="2337"/>
      <c r="X28" s="2337"/>
      <c r="Y28" s="2336">
        <f>IF(ISERROR((Y26*Y27)),0,(Y26*Y27))</f>
        <v>0</v>
      </c>
      <c r="Z28" s="2337"/>
      <c r="AA28" s="2337"/>
      <c r="AB28" s="2337"/>
      <c r="AC28" s="2337"/>
      <c r="AD28" s="2336">
        <f>IF(ISERROR((AD26*AD27)),0,(AD26*AD27))</f>
        <v>29443450</v>
      </c>
      <c r="AE28" s="2337"/>
      <c r="AF28" s="2337"/>
      <c r="AG28" s="2337"/>
      <c r="AH28" s="2337"/>
      <c r="AI28" s="233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38">
        <f>T28+Y28+AD28+AI28</f>
        <v>79891753.099999994</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5" customHeight="1">
      <c r="B30" s="2346" t="s">
        <v>1264</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5" customHeight="1">
      <c r="B31" s="2346" t="s">
        <v>1263</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1152</v>
      </c>
      <c r="Z35" s="2364"/>
      <c r="AA35" s="2364"/>
      <c r="AB35" s="2364"/>
      <c r="AC35" s="2364"/>
      <c r="AD35" s="2384" t="s">
        <v>368</v>
      </c>
      <c r="AE35" s="2384"/>
      <c r="AF35" s="2384"/>
      <c r="AG35" s="2384"/>
      <c r="AH35" s="2384"/>
    </row>
    <row r="36" spans="1:76" ht="12.95" customHeight="1">
      <c r="B36" s="407"/>
      <c r="X36" s="412"/>
      <c r="Y36" s="2364"/>
      <c r="Z36" s="2364"/>
      <c r="AA36" s="2364"/>
      <c r="AB36" s="2364"/>
      <c r="AC36" s="2364"/>
      <c r="AD36" s="2384"/>
      <c r="AE36" s="2384"/>
      <c r="AF36" s="2384"/>
      <c r="AG36" s="2384"/>
      <c r="AH36" s="238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50448303.100000001</v>
      </c>
      <c r="Z38" s="2337"/>
      <c r="AA38" s="2337"/>
      <c r="AB38" s="2337"/>
      <c r="AC38" s="2337"/>
      <c r="AD38" s="2337">
        <f>IF(T24&gt;=(T23+Y23+AD23+AI23),AD28+AI28,0)</f>
        <v>29443450</v>
      </c>
      <c r="AE38" s="2337"/>
      <c r="AF38" s="2337"/>
      <c r="AG38" s="2337"/>
      <c r="AH38" s="2337"/>
    </row>
    <row r="39" spans="1:76" ht="12.9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2017932</v>
      </c>
      <c r="Z40" s="2337"/>
      <c r="AA40" s="2337"/>
      <c r="AB40" s="2337"/>
      <c r="AC40" s="2337"/>
      <c r="AD40" s="2336">
        <f>ROUND(AD38*AD39,0)</f>
        <v>1177738</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3195670</v>
      </c>
      <c r="Z41" s="2339"/>
      <c r="AA41" s="2339"/>
      <c r="AB41" s="2339"/>
      <c r="AC41" s="2339"/>
      <c r="AD41" s="2339"/>
      <c r="AE41" s="2339"/>
      <c r="AF41" s="2339"/>
      <c r="AG41" s="2339"/>
      <c r="AH41" s="233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1" t="s">
        <v>1274</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5" customHeight="1" thickTop="1"/>
    <row r="46" spans="1:76" ht="12.95" customHeight="1">
      <c r="A46" s="404" t="s">
        <v>586</v>
      </c>
      <c r="C46" s="404" t="s">
        <v>282</v>
      </c>
    </row>
    <row r="47" spans="1:76" ht="12.95" customHeight="1">
      <c r="D47" s="404" t="s">
        <v>283</v>
      </c>
      <c r="AB47" s="2353">
        <f>'Sources and Uses Budget'!B105-MAX(IF('Sources and Uses Budget'!B15="",0,'Sources and Uses Budget'!B15),IF(Application!AG394="",0,Application!AG394))</f>
        <v>72842415</v>
      </c>
      <c r="AC47" s="2354"/>
      <c r="AD47" s="2354"/>
      <c r="AE47" s="2354"/>
      <c r="AF47" s="2355"/>
    </row>
    <row r="48" spans="1:76" ht="12.95" customHeight="1">
      <c r="D48" s="404" t="s">
        <v>21</v>
      </c>
      <c r="AB48" s="2353">
        <f>Application!AO639-MAX(IF('Sources and Uses Budget'!B15="",0,'Sources and Uses Budget'!B15),IF(Application!AG394="",0,Application!AG394))</f>
        <v>47279615</v>
      </c>
      <c r="AC48" s="2354"/>
      <c r="AD48" s="2354"/>
      <c r="AE48" s="2354"/>
      <c r="AF48" s="2355"/>
    </row>
    <row r="49" spans="1:76" ht="12.95" customHeight="1">
      <c r="D49" s="404" t="s">
        <v>91</v>
      </c>
      <c r="AB49" s="2353">
        <f>AB47-AB48</f>
        <v>25562800</v>
      </c>
      <c r="AC49" s="2354"/>
      <c r="AD49" s="2354"/>
      <c r="AE49" s="2354"/>
      <c r="AF49" s="2355"/>
    </row>
    <row r="50" spans="1:76" ht="12.95" customHeight="1">
      <c r="D50" s="404" t="s">
        <v>680</v>
      </c>
      <c r="AA50" s="415"/>
      <c r="AB50" s="2380">
        <v>0.8</v>
      </c>
      <c r="AC50" s="2381"/>
      <c r="AD50" s="2381"/>
      <c r="AE50" s="2381"/>
      <c r="AF50" s="2382"/>
    </row>
    <row r="51" spans="1:76" s="417" customFormat="1" ht="12.95" customHeight="1">
      <c r="A51" s="402"/>
      <c r="B51" s="402"/>
      <c r="C51" s="402"/>
      <c r="D51" s="402"/>
      <c r="E51" s="2383" t="s">
        <v>2609</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3">
        <f>ROUND(IF(ISERROR((AB49/AB50)),0,(AB49/AB50)),0)</f>
        <v>31953500</v>
      </c>
      <c r="AC54" s="2354"/>
      <c r="AD54" s="2354"/>
      <c r="AE54" s="2354"/>
      <c r="AF54" s="2355"/>
    </row>
    <row r="55" spans="1:76" ht="12.95" customHeight="1">
      <c r="D55" s="404" t="s">
        <v>333</v>
      </c>
      <c r="AB55" s="2353">
        <f>(AB54/10)</f>
        <v>3195350</v>
      </c>
      <c r="AC55" s="2354"/>
      <c r="AD55" s="2354"/>
      <c r="AE55" s="2354"/>
      <c r="AF55" s="2355"/>
    </row>
    <row r="56" spans="1:76" ht="12.95" customHeight="1">
      <c r="D56" s="404" t="s">
        <v>755</v>
      </c>
      <c r="AB56" s="2353">
        <f>ROUND((IF((Y41&lt;AB55),Y41,AB55)),0)</f>
        <v>3195350</v>
      </c>
      <c r="AC56" s="2354"/>
      <c r="AD56" s="2354"/>
      <c r="AE56" s="2354"/>
      <c r="AF56" s="2355"/>
    </row>
    <row r="57" spans="1:76" ht="12.95" customHeight="1">
      <c r="D57" s="404" t="s">
        <v>754</v>
      </c>
      <c r="AB57" s="2353">
        <f>ROUND((10*AB56*AB50),0)</f>
        <v>25562800</v>
      </c>
      <c r="AC57" s="2354"/>
      <c r="AD57" s="2354"/>
      <c r="AE57" s="2354"/>
      <c r="AF57" s="2355"/>
    </row>
    <row r="58" spans="1:76" ht="12.95" customHeight="1">
      <c r="D58" s="404"/>
      <c r="AB58" s="423"/>
      <c r="AC58" s="423"/>
      <c r="AD58" s="423"/>
      <c r="AE58" s="423"/>
      <c r="AF58" s="423"/>
    </row>
    <row r="59" spans="1:76" ht="12.95" customHeight="1">
      <c r="D59" s="404" t="s">
        <v>753</v>
      </c>
      <c r="AB59" s="2376">
        <f>AB49-AB57</f>
        <v>0</v>
      </c>
      <c r="AC59" s="2376"/>
      <c r="AD59" s="2376"/>
      <c r="AE59" s="2376"/>
      <c r="AF59" s="2376"/>
    </row>
    <row r="60" spans="1:76" ht="12.95" customHeight="1">
      <c r="D60" s="404"/>
      <c r="AB60" s="423"/>
      <c r="AC60" s="423"/>
      <c r="AD60" s="423"/>
      <c r="AE60" s="423"/>
      <c r="AF60" s="423"/>
    </row>
    <row r="61" spans="1:76" s="204" customFormat="1" ht="12.95"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5" customHeight="1" thickTop="1"/>
    <row r="63" spans="1:76" ht="12.95" customHeight="1">
      <c r="A63" s="404" t="s">
        <v>589</v>
      </c>
      <c r="C63" s="205" t="s">
        <v>1246</v>
      </c>
      <c r="Y63" s="2377" t="s">
        <v>982</v>
      </c>
      <c r="Z63" s="2377"/>
      <c r="AA63" s="2377"/>
      <c r="AB63" s="2377"/>
      <c r="AC63" s="2377"/>
      <c r="AD63" s="2377" t="s">
        <v>368</v>
      </c>
      <c r="AE63" s="2377"/>
      <c r="AF63" s="2377"/>
      <c r="AG63" s="2377"/>
      <c r="AH63" s="237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f>IF(OR(Application!Z205="State Farmworker Credit",Application!Z205="$500M (Farmworker Housing)"),0.75,IF(Application!Z205="15% set-aside",0.13,IF(Application!Z205="15% set-aside with qualifying low value rehab",0.95,IF(Application!Z205="$500M",0.3,0))))</f>
        <v>0</v>
      </c>
      <c r="Z67" s="2391"/>
      <c r="AA67" s="2391"/>
      <c r="AB67" s="2391"/>
      <c r="AC67" s="2391"/>
      <c r="AD67" s="2391">
        <f>IF(Application!Z205="15% set-aside with qualifying low value rehab", 0.95,IF(OR(Application!D211="At-Risk",'Points System'!B13="Yes"),0.13,0))</f>
        <v>0</v>
      </c>
      <c r="AE67" s="2391"/>
      <c r="AF67" s="2391"/>
      <c r="AG67" s="2391"/>
      <c r="AH67" s="2391"/>
    </row>
    <row r="68" spans="1:36" ht="12.95" customHeight="1">
      <c r="C68" s="404"/>
      <c r="D68" s="205" t="s">
        <v>2222</v>
      </c>
      <c r="Y68" s="2337">
        <f>ROUND(Y64*Y67,0)</f>
        <v>0</v>
      </c>
      <c r="Z68" s="2392"/>
      <c r="AA68" s="2392"/>
      <c r="AB68" s="2392"/>
      <c r="AC68" s="2392"/>
      <c r="AD68" s="2337">
        <f>ROUND(AD64*AD67,0)</f>
        <v>0</v>
      </c>
      <c r="AE68" s="2392"/>
      <c r="AF68" s="2392"/>
      <c r="AG68" s="2392"/>
      <c r="AH68" s="2392"/>
    </row>
    <row r="69" spans="1:36" ht="12.95" customHeight="1">
      <c r="C69" s="404"/>
      <c r="D69" s="205" t="s">
        <v>2223</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1248</v>
      </c>
      <c r="AB72" s="2380"/>
      <c r="AC72" s="2381"/>
      <c r="AD72" s="2381"/>
      <c r="AE72" s="2381"/>
      <c r="AF72" s="2382"/>
    </row>
    <row r="73" spans="1:36" ht="12.95" customHeight="1">
      <c r="A73" s="404"/>
      <c r="C73" s="404"/>
      <c r="D73" s="404"/>
      <c r="E73" s="2393" t="s">
        <v>1249</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5"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5"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86">
        <f>ROUND(IF(ISERROR((AB59/AB72)),0,(AB59/AB72)),0)</f>
        <v>0</v>
      </c>
      <c r="AC77" s="2386"/>
      <c r="AD77" s="2386"/>
      <c r="AE77" s="2386"/>
      <c r="AF77" s="2386"/>
    </row>
    <row r="78" spans="1:36" ht="12.95" customHeight="1">
      <c r="C78" s="404"/>
      <c r="D78" s="205" t="s">
        <v>1251</v>
      </c>
      <c r="AB78" s="2387">
        <f>ROUNDUP(MIN(Y69,AB77),0)</f>
        <v>0</v>
      </c>
      <c r="AC78" s="2388"/>
      <c r="AD78" s="2388"/>
      <c r="AE78" s="2388"/>
      <c r="AF78" s="2389"/>
    </row>
    <row r="79" spans="1:36" ht="12.95" customHeight="1">
      <c r="C79" s="404"/>
      <c r="D79" s="205" t="s">
        <v>1252</v>
      </c>
      <c r="AB79" s="2390">
        <f>AB78*AB72</f>
        <v>0</v>
      </c>
      <c r="AC79" s="2390"/>
      <c r="AD79" s="2390"/>
      <c r="AE79" s="2390"/>
      <c r="AF79" s="2390"/>
    </row>
    <row r="80" spans="1:36" ht="12.95" customHeight="1">
      <c r="C80" s="404"/>
      <c r="D80" s="404"/>
      <c r="AB80" s="425"/>
      <c r="AC80" s="425"/>
      <c r="AD80" s="425"/>
      <c r="AE80" s="425"/>
      <c r="AF80" s="425"/>
    </row>
    <row r="81" spans="1:78" ht="12.95" customHeight="1">
      <c r="D81" s="404" t="s">
        <v>753</v>
      </c>
      <c r="AB81" s="2376">
        <f>AB49-(AB57+AB79)</f>
        <v>0</v>
      </c>
      <c r="AC81" s="2376"/>
      <c r="AD81" s="2376"/>
      <c r="AE81" s="2376"/>
      <c r="AF81" s="2376"/>
    </row>
    <row r="82" spans="1:78" ht="12.95" customHeight="1">
      <c r="F82" s="522"/>
      <c r="J82" s="522" t="str">
        <f>IF(AB81&gt;0,"FUNDING GAP MUST NOT EXCEED ZERO","")</f>
        <v/>
      </c>
    </row>
    <row r="83" spans="1:78" ht="12.95" customHeight="1">
      <c r="D83" s="523"/>
    </row>
    <row r="84" spans="1:78" ht="12.95"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5" customHeight="1" thickTop="1"/>
    <row r="86" spans="1:78" ht="12.95" customHeight="1">
      <c r="A86" s="404"/>
      <c r="C86" s="205"/>
    </row>
    <row r="87" spans="1:78" ht="12.95" customHeight="1">
      <c r="D87" s="205"/>
      <c r="AB87" s="2342"/>
      <c r="AC87" s="2342"/>
      <c r="AD87" s="2342"/>
      <c r="AE87" s="2342"/>
      <c r="AF87" s="2342"/>
    </row>
    <row r="88" spans="1:78" ht="12.95"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zoomScale="110" zoomScaleNormal="110" workbookViewId="0">
      <selection activeCell="C65" sqref="C65:R6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4" t="s">
        <v>1298</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1303</v>
      </c>
      <c r="AF7" s="2465"/>
      <c r="AG7" s="2465"/>
      <c r="AH7" s="2465"/>
      <c r="AI7" s="2465"/>
      <c r="AJ7" s="2465"/>
      <c r="AK7" s="2465"/>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591</v>
      </c>
      <c r="C13" s="2618"/>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591</v>
      </c>
      <c r="C16" s="2618"/>
      <c r="D16" s="547"/>
      <c r="E16" s="2610" t="s">
        <v>1305</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14</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591</v>
      </c>
      <c r="C22" s="2618"/>
      <c r="D22" s="547"/>
      <c r="E22" s="2628" t="s">
        <v>1308</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14</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591</v>
      </c>
      <c r="C25" s="2618"/>
      <c r="D25" s="547"/>
      <c r="E25" s="2545" t="s">
        <v>2031</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591</v>
      </c>
      <c r="C28" s="2618"/>
      <c r="D28" s="547"/>
      <c r="E28" s="2647" t="s">
        <v>2246</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8" t="s">
        <v>545</v>
      </c>
      <c r="C33" s="2618"/>
      <c r="D33" s="547"/>
      <c r="E33" s="2628" t="s">
        <v>2248</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591</v>
      </c>
      <c r="C36" s="2618"/>
      <c r="D36" s="547"/>
      <c r="E36" s="2545" t="s">
        <v>2249</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14</v>
      </c>
    </row>
    <row r="40" spans="1:41" s="536" customFormat="1" ht="12.75" customHeight="1">
      <c r="A40" s="540"/>
      <c r="B40" s="2618" t="s">
        <v>591</v>
      </c>
      <c r="C40" s="2618"/>
      <c r="D40" s="547"/>
      <c r="E40" s="2545" t="s">
        <v>2247</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14</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591</v>
      </c>
      <c r="C45" s="2618"/>
      <c r="D45" s="1142"/>
      <c r="E45" s="2545" t="s">
        <v>2006</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591</v>
      </c>
      <c r="C52" s="2618"/>
      <c r="D52" s="540"/>
      <c r="E52" s="2545" t="s">
        <v>2011</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591</v>
      </c>
      <c r="C56" s="2618"/>
      <c r="D56" s="540"/>
      <c r="E56" s="2644" t="s">
        <v>2012</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591</v>
      </c>
      <c r="C58" s="2618"/>
      <c r="D58" s="540"/>
      <c r="E58" s="2545" t="s">
        <v>2013</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1">
        <f>AO39</f>
        <v>14</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1312</v>
      </c>
      <c r="AF65" s="2465"/>
      <c r="AG65" s="2465"/>
      <c r="AH65" s="2465"/>
      <c r="AI65" s="2465"/>
      <c r="AJ65" s="2465"/>
      <c r="AK65" s="2465"/>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591</v>
      </c>
      <c r="C68" s="2618"/>
      <c r="D68" s="547" t="s">
        <v>1313</v>
      </c>
      <c r="E68" s="2610" t="s">
        <v>2014</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0</v>
      </c>
      <c r="AP71" s="574" t="s">
        <v>1314</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591</v>
      </c>
      <c r="C74" s="2618"/>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591</v>
      </c>
      <c r="F75" s="2618"/>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591</v>
      </c>
      <c r="F76" s="263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591</v>
      </c>
      <c r="F77" s="263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591</v>
      </c>
      <c r="F79" s="2618"/>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591</v>
      </c>
      <c r="C81" s="2618"/>
      <c r="D81" s="547" t="s">
        <v>1318</v>
      </c>
      <c r="E81" s="2545" t="s">
        <v>1738</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1">
        <f>IF(AK62&gt;0,0,AO71)</f>
        <v>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1303</v>
      </c>
      <c r="AF87" s="2465"/>
      <c r="AG87" s="2465"/>
      <c r="AH87" s="2465"/>
      <c r="AI87" s="2465"/>
      <c r="AJ87" s="2465"/>
      <c r="AK87" s="2465"/>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591</v>
      </c>
      <c r="C90" s="2618"/>
      <c r="D90" s="547" t="s">
        <v>1313</v>
      </c>
      <c r="E90" s="2610" t="s">
        <v>1323</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0.5592356687898089</v>
      </c>
      <c r="F93" s="2607"/>
      <c r="G93" s="2607"/>
      <c r="H93" s="2607"/>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3.9999999999999925E-2</v>
      </c>
      <c r="F94" s="2412"/>
      <c r="G94" s="2412"/>
      <c r="H94" s="2412"/>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7.9999999999999849</v>
      </c>
      <c r="F95" s="2623"/>
      <c r="G95" s="2623"/>
      <c r="H95" s="2623"/>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545</v>
      </c>
      <c r="C98" s="2618"/>
      <c r="D98" s="547" t="s">
        <v>1315</v>
      </c>
      <c r="E98" s="2610" t="s">
        <v>1723</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0.5592356687898089</v>
      </c>
      <c r="F103" s="2607"/>
      <c r="G103" s="2607"/>
      <c r="H103" s="2607"/>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0.10191082802547771</v>
      </c>
      <c r="F104" s="2607"/>
      <c r="G104" s="2607"/>
      <c r="H104" s="2607"/>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0.10191082802547771</v>
      </c>
      <c r="F105" s="2607"/>
      <c r="G105" s="2607"/>
      <c r="H105" s="2607"/>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1312</v>
      </c>
      <c r="AF112" s="2465"/>
      <c r="AG112" s="2465"/>
      <c r="AH112" s="2465"/>
      <c r="AI112" s="2465"/>
      <c r="AJ112" s="2465"/>
      <c r="AK112" s="2465"/>
      <c r="AL112" s="540"/>
      <c r="AM112" s="540"/>
      <c r="AN112" s="535"/>
      <c r="AO112" s="536" t="str">
        <f>Application!B718</f>
        <v>1 Bedroom</v>
      </c>
      <c r="AQ112" s="536">
        <f>Application!O718</f>
        <v>1661</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1377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809</v>
      </c>
    </row>
    <row r="115" spans="1:52" s="536" customFormat="1" ht="12.75" customHeight="1">
      <c r="A115" s="540"/>
      <c r="B115" s="2618" t="s">
        <v>545</v>
      </c>
      <c r="C115" s="2618"/>
      <c r="D115" s="547" t="s">
        <v>1313</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1 Bedroom</v>
      </c>
      <c r="AQ115" s="536">
        <f>Application!O721</f>
        <v>1660</v>
      </c>
      <c r="AU115" s="536" t="s">
        <v>1838</v>
      </c>
      <c r="AV115" s="595" t="s">
        <v>1839</v>
      </c>
      <c r="AW115" s="536" t="s">
        <v>1840</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1 Bedroom</v>
      </c>
      <c r="AQ116" s="536">
        <f>Application!O722</f>
        <v>1376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1 Bedroom</v>
      </c>
      <c r="AQ117" s="536">
        <f>Application!O723</f>
        <v>808</v>
      </c>
      <c r="AU117" s="856" t="str">
        <f>J124</f>
        <v>1-bedroom</v>
      </c>
      <c r="AV117" s="536">
        <f t="array" ref="AV117">SUM(IF(Application!B718:F752="1 Bedroom",Application!G718:J752))</f>
        <v>157</v>
      </c>
      <c r="AW117" s="1011">
        <f>AV117/AV122</f>
        <v>1</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157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1586</v>
      </c>
      <c r="F124" s="2607"/>
      <c r="G124" s="2607"/>
      <c r="H124" s="2607"/>
      <c r="I124" s="577"/>
      <c r="J124" s="2607" t="s">
        <v>1629</v>
      </c>
      <c r="K124" s="2607"/>
      <c r="L124" s="2607"/>
      <c r="M124" s="2607"/>
      <c r="N124" s="577"/>
      <c r="O124" s="2607" t="s">
        <v>1630</v>
      </c>
      <c r="P124" s="2607"/>
      <c r="Q124" s="2607"/>
      <c r="R124" s="2607"/>
      <c r="S124" s="577"/>
      <c r="T124" s="2607" t="s">
        <v>1332</v>
      </c>
      <c r="U124" s="2607"/>
      <c r="V124" s="2607"/>
      <c r="W124" s="2607"/>
      <c r="X124" s="577"/>
      <c r="Y124" s="2607" t="s">
        <v>1631</v>
      </c>
      <c r="Z124" s="2607"/>
      <c r="AA124" s="2607"/>
      <c r="AB124" s="2607"/>
      <c r="AC124" s="577"/>
      <c r="AD124" s="2607" t="s">
        <v>1632</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c r="F127" s="2609"/>
      <c r="G127" s="2609"/>
      <c r="H127" s="2609"/>
      <c r="I127" s="864"/>
      <c r="J127" s="2609">
        <v>2062</v>
      </c>
      <c r="K127" s="2609"/>
      <c r="L127" s="2609"/>
      <c r="M127" s="2609"/>
      <c r="N127" s="864"/>
      <c r="O127" s="2609"/>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1544.656050955414</v>
      </c>
      <c r="K130" s="2617"/>
      <c r="L130" s="2617"/>
      <c r="M130" s="2617"/>
      <c r="N130" s="864"/>
      <c r="O130" s="2617">
        <f>Application!EH670</f>
        <v>0</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0.250894252688936</v>
      </c>
      <c r="K133" s="2412"/>
      <c r="L133" s="2412"/>
      <c r="M133" s="2413"/>
      <c r="N133" s="577"/>
      <c r="O133" s="2411" t="e">
        <f>(O127-O130)/O127</f>
        <v>#DIV/0!</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0.150894252688936</v>
      </c>
      <c r="K136" s="2620"/>
      <c r="L136" s="2620"/>
      <c r="M136" s="2621"/>
      <c r="N136" s="577"/>
      <c r="O136" s="2619" t="e">
        <f>IF(((O133-0.1)*AW118)&gt;0,((O133-0.1)*AW118),0)</f>
        <v>#DIV/0!</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0.15</v>
      </c>
      <c r="F138" s="2412"/>
      <c r="G138" s="2412"/>
      <c r="H138" s="2413"/>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5" t="s">
        <v>1312</v>
      </c>
      <c r="AF146" s="2465"/>
      <c r="AG146" s="2465"/>
      <c r="AH146" s="2465"/>
      <c r="AI146" s="2465"/>
      <c r="AJ146" s="2465"/>
      <c r="AK146" s="246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1336</v>
      </c>
      <c r="AG148" s="2525"/>
      <c r="AH148" s="2525"/>
      <c r="AI148" s="2525"/>
      <c r="AJ148" s="2525"/>
      <c r="AK148" s="2525"/>
      <c r="AL148" s="2525"/>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tr">
        <f>+Application!M251</f>
        <v xml:space="preserve">Community Revitalization and Development Corporation </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6" t="s">
        <v>1339</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397" t="s">
        <v>591</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6" t="s">
        <v>1341</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2473</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2474</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2472</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591</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1350</v>
      </c>
      <c r="AG168" s="2525"/>
      <c r="AH168" s="2525"/>
      <c r="AI168" s="2525"/>
      <c r="AJ168" s="2525"/>
      <c r="AK168" s="2525"/>
      <c r="AL168" s="252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1348</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591</v>
      </c>
      <c r="AG172" s="2397"/>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596" t="s">
        <v>1341</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7" t="str">
        <f>Application!AA335</f>
        <v>Barker Management, Incorporated</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1312</v>
      </c>
      <c r="AF186" s="2465"/>
      <c r="AG186" s="2465"/>
      <c r="AH186" s="2465"/>
      <c r="AI186" s="2465"/>
      <c r="AJ186" s="2465"/>
      <c r="AK186" s="2465"/>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4" t="s">
        <v>1358</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1361</v>
      </c>
      <c r="AG188" s="2525"/>
      <c r="AH188" s="2525"/>
      <c r="AI188" s="2525"/>
      <c r="AJ188" s="2525"/>
      <c r="AK188" s="2525"/>
      <c r="AL188" s="2525"/>
      <c r="AN188" s="597"/>
      <c r="AP188" s="550" t="s">
        <v>1041</v>
      </c>
      <c r="AQ188" s="550">
        <v>10</v>
      </c>
    </row>
    <row r="189" spans="1:73" s="550" customFormat="1" ht="12.75" customHeight="1">
      <c r="A189" s="536"/>
      <c r="B189" s="2396" t="s">
        <v>1724</v>
      </c>
      <c r="C189" s="2396"/>
      <c r="D189" s="2396"/>
      <c r="E189" s="2396"/>
      <c r="F189" s="2396"/>
      <c r="G189" s="2396"/>
      <c r="H189" s="2396"/>
      <c r="I189" s="2396"/>
      <c r="J189" s="2396"/>
      <c r="K189" s="2396"/>
      <c r="L189" s="2396"/>
      <c r="M189" s="2396"/>
      <c r="N189" s="2396"/>
      <c r="O189" s="2396"/>
      <c r="P189" s="2396"/>
      <c r="Q189" s="2396"/>
      <c r="R189" s="2396"/>
      <c r="S189" s="2396"/>
      <c r="T189" s="2595" t="s">
        <v>591</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1362</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2">
        <f>IF(AK84&gt;0,VLOOKUP($B$188,AP185:AQ191,2,FALSE),0)</f>
        <v>0</v>
      </c>
      <c r="AL191" s="2433"/>
      <c r="AM191" s="2434"/>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1370</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2774</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5440000</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1625</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11312226.5506934</v>
      </c>
      <c r="AE209" s="2576"/>
      <c r="AF209" s="2576"/>
      <c r="AG209" s="2576"/>
      <c r="AH209" s="2576"/>
      <c r="AI209" s="2576"/>
      <c r="AJ209" s="2576"/>
      <c r="AK209" s="610"/>
    </row>
    <row r="210" spans="1:37">
      <c r="A210" s="605"/>
      <c r="B210" s="2450" t="s">
        <v>1588</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2">
        <f>SUM(AD199:AJ209)-AD210</f>
        <v>16752226.5506934</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1605</v>
      </c>
      <c r="J222" s="2601"/>
      <c r="K222" s="2601"/>
      <c r="L222" s="536"/>
      <c r="M222" s="536"/>
      <c r="N222" s="536"/>
      <c r="O222" s="536"/>
      <c r="P222" s="536"/>
      <c r="Q222" s="536"/>
      <c r="R222" s="536"/>
      <c r="S222" s="536"/>
      <c r="T222" s="2416" t="s">
        <v>1599</v>
      </c>
      <c r="U222" s="2416"/>
      <c r="V222" s="2416"/>
      <c r="W222" s="2416"/>
      <c r="X222" s="2416"/>
      <c r="Y222" s="2416"/>
      <c r="Z222" s="849"/>
      <c r="AA222" s="489"/>
      <c r="AB222" s="2598" t="s">
        <v>1600</v>
      </c>
      <c r="AC222" s="2598"/>
      <c r="AD222" s="2598"/>
      <c r="AE222" s="2598"/>
      <c r="AF222" s="2598"/>
      <c r="AG222" s="2598"/>
      <c r="AH222" s="827"/>
      <c r="AI222" s="827"/>
      <c r="AJ222" s="827"/>
      <c r="AK222" s="610"/>
    </row>
    <row r="223" spans="1:37">
      <c r="A223" s="605"/>
      <c r="B223" s="2599" t="s">
        <v>1585</v>
      </c>
      <c r="C223" s="2599"/>
      <c r="D223" s="2599"/>
      <c r="E223" s="2599"/>
      <c r="F223" s="2599"/>
      <c r="G223" s="2599"/>
      <c r="I223" s="2600" t="s">
        <v>1606</v>
      </c>
      <c r="J223" s="2600"/>
      <c r="K223" s="2600"/>
      <c r="L223" s="1008"/>
      <c r="N223" s="2451" t="s">
        <v>1601</v>
      </c>
      <c r="O223" s="2451"/>
      <c r="P223" s="2451"/>
      <c r="Q223" s="2451"/>
      <c r="R223" s="2451"/>
      <c r="T223" s="2451" t="s">
        <v>1602</v>
      </c>
      <c r="U223" s="2451"/>
      <c r="V223" s="2451"/>
      <c r="W223" s="2451"/>
      <c r="X223" s="2451"/>
      <c r="Y223" s="2451"/>
      <c r="Z223" s="850"/>
      <c r="AA223" s="489"/>
      <c r="AB223" s="2466" t="s">
        <v>1603</v>
      </c>
      <c r="AC223" s="2466"/>
      <c r="AD223" s="2466"/>
      <c r="AE223" s="2466"/>
      <c r="AF223" s="2466"/>
      <c r="AG223" s="2466"/>
      <c r="AH223" s="827"/>
      <c r="AI223" s="827"/>
      <c r="AJ223" s="827"/>
      <c r="AK223" s="610"/>
    </row>
    <row r="224" spans="1:37">
      <c r="A224" s="605"/>
      <c r="B224" s="2467" t="s">
        <v>2788</v>
      </c>
      <c r="C224" s="2467"/>
      <c r="D224" s="2467"/>
      <c r="E224" s="2467"/>
      <c r="F224" s="2467"/>
      <c r="G224" s="2467"/>
      <c r="H224" s="852"/>
      <c r="I224" s="2420">
        <v>67</v>
      </c>
      <c r="J224" s="2420"/>
      <c r="K224" s="2420"/>
      <c r="L224" s="1008"/>
      <c r="N224" s="2418">
        <v>1136</v>
      </c>
      <c r="O224" s="2418"/>
      <c r="P224" s="2418"/>
      <c r="Q224" s="2418"/>
      <c r="R224" s="2418"/>
      <c r="T224" s="2417">
        <v>1909</v>
      </c>
      <c r="U224" s="2417"/>
      <c r="V224" s="2417"/>
      <c r="W224" s="2417"/>
      <c r="X224" s="2417"/>
      <c r="Y224" s="2417"/>
      <c r="Z224" s="851"/>
      <c r="AA224" s="851"/>
      <c r="AB224" s="2415">
        <f t="shared" ref="AB224:AB233" si="0">MAX(($T224-$N224)*$I224*12,0)</f>
        <v>621492</v>
      </c>
      <c r="AC224" s="2415"/>
      <c r="AD224" s="2415"/>
      <c r="AE224" s="2415"/>
      <c r="AF224" s="2415"/>
      <c r="AG224" s="2415"/>
      <c r="AH224" s="827"/>
      <c r="AI224" s="827"/>
      <c r="AJ224" s="827"/>
      <c r="AK224" s="610"/>
    </row>
    <row r="225" spans="1:37">
      <c r="A225" s="605"/>
      <c r="B225" s="2467" t="s">
        <v>2788</v>
      </c>
      <c r="C225" s="2467"/>
      <c r="D225" s="2467"/>
      <c r="E225" s="2467"/>
      <c r="F225" s="2467"/>
      <c r="G225" s="2467"/>
      <c r="I225" s="2420">
        <v>90</v>
      </c>
      <c r="J225" s="2420"/>
      <c r="K225" s="2420"/>
      <c r="L225" s="1008"/>
      <c r="N225" s="2418">
        <v>1136</v>
      </c>
      <c r="O225" s="2418"/>
      <c r="P225" s="2418"/>
      <c r="Q225" s="2418"/>
      <c r="R225" s="2418"/>
      <c r="T225" s="2417">
        <v>1686</v>
      </c>
      <c r="U225" s="2417"/>
      <c r="V225" s="2417"/>
      <c r="W225" s="2417"/>
      <c r="X225" s="2417"/>
      <c r="Y225" s="2417"/>
      <c r="Z225" s="851"/>
      <c r="AA225" s="851"/>
      <c r="AB225" s="2415">
        <f t="shared" si="0"/>
        <v>594000</v>
      </c>
      <c r="AC225" s="2415"/>
      <c r="AD225" s="2415"/>
      <c r="AE225" s="2415"/>
      <c r="AF225" s="2415"/>
      <c r="AG225" s="2415"/>
      <c r="AH225" s="827"/>
      <c r="AI225" s="827"/>
      <c r="AJ225" s="827"/>
      <c r="AK225" s="610"/>
    </row>
    <row r="226" spans="1:37">
      <c r="A226" s="605"/>
      <c r="B226" s="2467" t="s">
        <v>1182</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1182</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1182</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1182</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1182</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1182</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1182</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1182</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5">
        <f>SUM(AB224:AB233)</f>
        <v>1215492</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1215492</v>
      </c>
      <c r="AC250" s="2415"/>
      <c r="AD250" s="2415"/>
      <c r="AE250" s="2415"/>
      <c r="AF250" s="2415"/>
      <c r="AG250" s="2415"/>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1154717.3999999999</v>
      </c>
      <c r="AC252" s="2587"/>
      <c r="AD252" s="2587"/>
      <c r="AE252" s="2587"/>
      <c r="AF252" s="2587"/>
      <c r="AG252" s="258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1004102.0869565217</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11312226.5506934</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16752226.5506934</v>
      </c>
      <c r="AH268" s="2429"/>
      <c r="AI268" s="2429"/>
      <c r="AJ268" s="2429"/>
      <c r="AK268" s="2429"/>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72842415</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0.22</v>
      </c>
      <c r="AH270" s="2575"/>
      <c r="AI270" s="2575"/>
      <c r="AJ270" s="2575"/>
      <c r="AK270" s="2575"/>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4">
        <f>IFERROR(IF(AG270=0,0,IF((AG270*100)&gt;8,8,(AG270*100))),0)</f>
        <v>8</v>
      </c>
      <c r="AL273" s="2564"/>
      <c r="AM273" s="256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6" t="s">
        <v>545</v>
      </c>
      <c r="D278" s="2446"/>
      <c r="E278" s="547"/>
      <c r="F278" s="2398" t="s">
        <v>2022</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1361</v>
      </c>
      <c r="AH278" s="2573"/>
      <c r="AI278" s="2573"/>
      <c r="AJ278" s="2573"/>
      <c r="AK278" s="550"/>
      <c r="AL278" s="550"/>
      <c r="AM278" s="550"/>
      <c r="AO278" s="550"/>
    </row>
    <row r="279" spans="1:52" ht="13.7"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7"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4">
        <f>IF($C$278="yes",10,0)</f>
        <v>10</v>
      </c>
      <c r="AL285" s="2564"/>
      <c r="AM285" s="256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1380</v>
      </c>
      <c r="B292" s="1637"/>
      <c r="C292" s="2397" t="s">
        <v>591</v>
      </c>
      <c r="D292" s="2446"/>
      <c r="E292" s="547"/>
      <c r="F292" s="2566" t="s">
        <v>1381</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2015</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2023</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0</v>
      </c>
      <c r="AQ295" s="574" t="s">
        <v>1314</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1382</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1383</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1384</v>
      </c>
      <c r="B302" s="1637"/>
      <c r="C302" s="2446" t="s">
        <v>591</v>
      </c>
      <c r="D302" s="244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8" t="s">
        <v>2017</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1387</v>
      </c>
      <c r="B310" s="1637"/>
      <c r="C310" s="2446" t="s">
        <v>591</v>
      </c>
      <c r="D310" s="244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4" t="s">
        <v>2024</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1182</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1182</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57" t="s">
        <v>1182</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7" t="s">
        <v>1182</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37" t="s">
        <v>1390</v>
      </c>
      <c r="B333" s="1637"/>
      <c r="C333" s="2446" t="s">
        <v>591</v>
      </c>
      <c r="D333" s="2446"/>
      <c r="E333" s="547"/>
      <c r="F333" s="2545" t="s">
        <v>2025</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2">
        <f>IF(NOT(OR(Application!M355="Yes",Application!M356="Yes")),0,AP295)</f>
        <v>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65" t="s">
        <v>1312</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1452</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4"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2090</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2205</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1453</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1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5</v>
      </c>
      <c r="AS357" s="539" t="s">
        <v>1454</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1455</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5</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581</v>
      </c>
      <c r="AP361" s="696">
        <f>IF(C407="Yes",5,0)</f>
        <v>0</v>
      </c>
      <c r="AS361" s="539" t="s">
        <v>1876</v>
      </c>
    </row>
    <row r="362" spans="1:46" s="550" customFormat="1" ht="12.75" customHeight="1">
      <c r="A362" s="603"/>
      <c r="B362" s="611"/>
      <c r="C362" s="2535" t="s">
        <v>2229</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1" t="s">
        <v>1456</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456</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461</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645</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442">
        <f>Application!DU802-U374</f>
        <v>157</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4">
        <f>IF(AP375&gt;0,AP375,0)</f>
        <v>0</v>
      </c>
      <c r="AR375" s="2444"/>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5" t="s">
        <v>1458</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545</v>
      </c>
      <c r="D381" s="244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1460</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5" t="s">
        <v>1461</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591</v>
      </c>
      <c r="D389" s="244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1460</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5" t="s">
        <v>1463</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591</v>
      </c>
      <c r="D397" s="244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1465</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545</v>
      </c>
      <c r="D399" s="244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1460</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5" t="s">
        <v>1469</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591</v>
      </c>
      <c r="D407" s="244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1460</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591</v>
      </c>
      <c r="D409" s="244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1472</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591</v>
      </c>
      <c r="D412" s="2446"/>
      <c r="E412" s="715" t="s">
        <v>1473</v>
      </c>
      <c r="F412" s="2435" t="s">
        <v>1474</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1460</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5" t="s">
        <v>1476</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591</v>
      </c>
      <c r="D421" s="244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1460</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591</v>
      </c>
      <c r="D423" s="244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1472</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5" t="s">
        <v>1480</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4"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591</v>
      </c>
      <c r="D430" s="244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1460</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435" t="s">
        <v>1483</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591</v>
      </c>
      <c r="D442" s="244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1460</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5" t="s">
        <v>1486</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591</v>
      </c>
      <c r="D449" s="244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1460</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591</v>
      </c>
      <c r="D453" s="2562"/>
      <c r="E453" s="715" t="s">
        <v>1495</v>
      </c>
      <c r="F453" s="2435" t="s">
        <v>1496</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1460</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649999999999999"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591</v>
      </c>
      <c r="D457" s="2446"/>
      <c r="E457" s="715" t="s">
        <v>1501</v>
      </c>
      <c r="F457" s="2435" t="s">
        <v>1502</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1460</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5" t="s">
        <v>1505</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591</v>
      </c>
      <c r="D466" s="244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1460</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1508</v>
      </c>
      <c r="C472" s="539"/>
      <c r="E472" s="596"/>
      <c r="AE472" s="2447" t="s">
        <v>1509</v>
      </c>
      <c r="AF472" s="2447"/>
      <c r="AG472" s="2447"/>
      <c r="AH472" s="2447"/>
      <c r="AI472" s="2447"/>
      <c r="AJ472" s="2447"/>
      <c r="AK472" s="2447"/>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4" t="s">
        <v>591</v>
      </c>
      <c r="D478" s="2455"/>
      <c r="E478" s="761" t="s">
        <v>507</v>
      </c>
      <c r="F478" s="2532" t="s">
        <v>1515</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60" t="s">
        <v>591</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1" t="s">
        <v>545</v>
      </c>
      <c r="D482" s="2462"/>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40" t="s">
        <v>591</v>
      </c>
      <c r="W485" s="2440"/>
      <c r="X485" s="244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40" t="s">
        <v>591</v>
      </c>
      <c r="W487" s="2440"/>
      <c r="X487" s="244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40" t="s">
        <v>591</v>
      </c>
      <c r="W492" s="2440"/>
      <c r="X492" s="244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9"/>
      <c r="E495" s="2459"/>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40" t="s">
        <v>591</v>
      </c>
      <c r="W496" s="2440"/>
      <c r="X496" s="244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40" t="s">
        <v>591</v>
      </c>
      <c r="W498" s="2440"/>
      <c r="X498" s="244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591</v>
      </c>
      <c r="D501" s="2455"/>
      <c r="E501" s="761" t="s">
        <v>507</v>
      </c>
      <c r="F501" s="2532" t="s">
        <v>1515</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591</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591</v>
      </c>
      <c r="D505" s="2455"/>
      <c r="E505" s="761" t="s">
        <v>756</v>
      </c>
      <c r="F505" s="2456" t="s">
        <v>1537</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591</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591</v>
      </c>
      <c r="D510" s="2455"/>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591</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591</v>
      </c>
      <c r="D515" s="2527"/>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591</v>
      </c>
      <c r="D519" s="2527"/>
      <c r="F519" s="795" t="s">
        <v>1545</v>
      </c>
      <c r="G519" s="2436" t="s">
        <v>1546</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591</v>
      </c>
      <c r="D523" s="2529"/>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591</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1558</v>
      </c>
      <c r="AF538" s="2465"/>
      <c r="AG538" s="2465"/>
      <c r="AH538" s="2465"/>
      <c r="AI538" s="2465"/>
      <c r="AJ538" s="2465"/>
      <c r="AK538" s="2465"/>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545</v>
      </c>
      <c r="D541" s="2446"/>
      <c r="E541" s="551"/>
      <c r="F541" s="2468" t="s">
        <v>1559</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591</v>
      </c>
      <c r="D544" s="244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1561</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1562</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80350610</v>
      </c>
      <c r="AQ550" s="2423"/>
      <c r="AR550" s="2423"/>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68249837</v>
      </c>
      <c r="AG551" s="2429"/>
      <c r="AH551" s="2429"/>
      <c r="AI551" s="2429"/>
      <c r="AJ551" s="2429"/>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128560976</v>
      </c>
      <c r="AG552" s="2430"/>
      <c r="AH552" s="2430"/>
      <c r="AI552" s="2430"/>
      <c r="AJ552" s="2430"/>
      <c r="AK552" s="595"/>
      <c r="AL552" s="595"/>
      <c r="AM552" s="595"/>
      <c r="AN552" s="597"/>
      <c r="AP552" s="2423">
        <f>Application!AJ1045</f>
        <v>8035061</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0.46</v>
      </c>
      <c r="AG553" s="2431"/>
      <c r="AH553" s="2431"/>
      <c r="AI553" s="2431"/>
      <c r="AJ553" s="2431"/>
      <c r="AK553" s="595"/>
      <c r="AL553" s="595"/>
      <c r="AM553" s="595"/>
      <c r="AN553" s="597"/>
      <c r="AP553" s="2419">
        <f>Application!AJ1049</f>
        <v>16070122</v>
      </c>
      <c r="AQ553" s="2419"/>
      <c r="AR553" s="2419"/>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0.3</v>
      </c>
      <c r="AQ554" s="2438"/>
      <c r="AR554" s="2438"/>
      <c r="AS554" s="550" t="s">
        <v>2169</v>
      </c>
    </row>
    <row r="555" spans="1:49" s="550" customFormat="1" ht="12.75" customHeight="1">
      <c r="A555" s="624"/>
      <c r="B555" s="2505" t="s">
        <v>2029</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104455793</v>
      </c>
      <c r="AQ556" s="2439"/>
      <c r="AR556" s="2439"/>
      <c r="AS556" s="550" t="s">
        <v>2171</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128560976</v>
      </c>
      <c r="AQ557" s="2423"/>
      <c r="AR557" s="2423"/>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4">
        <f>IFERROR(IF(AND(C541="N/A",C544="N/A"),0,IF(AF553=0,0,IF((AF553*100)&gt;12,12,(AF553*100)))),0)</f>
        <v>12</v>
      </c>
      <c r="AL559" s="2514"/>
      <c r="AM559" s="2515"/>
      <c r="AN559" s="597"/>
      <c r="AP559" s="2408">
        <f>AP556+(AP550*AP554)</f>
        <v>128560976</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1312</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2020</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1336</v>
      </c>
      <c r="AG578" s="2525"/>
      <c r="AH578" s="2525"/>
      <c r="AI578" s="2525"/>
      <c r="AJ578" s="2525"/>
      <c r="AK578" s="2525"/>
      <c r="AL578" s="252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1394</v>
      </c>
      <c r="AG585" s="2525"/>
      <c r="AH585" s="2525"/>
      <c r="AI585" s="2525"/>
      <c r="AJ585" s="2525"/>
      <c r="AK585" s="2525"/>
      <c r="AL585" s="252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1376</v>
      </c>
      <c r="AG591" s="2525"/>
      <c r="AH591" s="2525"/>
      <c r="AI591" s="2525"/>
      <c r="AJ591" s="2525"/>
      <c r="AK591" s="2525"/>
      <c r="AL591" s="252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1397</v>
      </c>
      <c r="AG597" s="2525"/>
      <c r="AH597" s="2525"/>
      <c r="AI597" s="2525"/>
      <c r="AJ597" s="2525"/>
      <c r="AK597" s="2525"/>
      <c r="AL597" s="252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41" t="s">
        <v>1182</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1350</v>
      </c>
      <c r="AG603" s="2525"/>
      <c r="AH603" s="2525"/>
      <c r="AI603" s="2525"/>
      <c r="AJ603" s="2525"/>
      <c r="AK603" s="2525"/>
      <c r="AL603" s="252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1398</v>
      </c>
      <c r="E606" s="936"/>
      <c r="F606" s="936"/>
      <c r="G606" s="936"/>
      <c r="H606" s="2449" t="s">
        <v>686</v>
      </c>
      <c r="I606" s="2449"/>
      <c r="J606" s="936"/>
      <c r="K606" s="936"/>
      <c r="L606" s="936"/>
      <c r="N606" s="22"/>
      <c r="O606" s="22"/>
      <c r="P606" s="22"/>
      <c r="Q606" s="1151" t="s">
        <v>2174</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1398</v>
      </c>
      <c r="F614" s="936"/>
      <c r="G614" s="936"/>
      <c r="I614" s="2540" t="s">
        <v>591</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7" t="s">
        <v>591</v>
      </c>
      <c r="C616" s="2397"/>
      <c r="D616" s="642"/>
      <c r="E616" s="2425" t="s">
        <v>1401</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9" t="s">
        <v>1692</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1350</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7" t="s">
        <v>591</v>
      </c>
      <c r="Y634" s="239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1406</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9" t="s">
        <v>686</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2">
        <f>VLOOKUP($H$638,$AO$605:$AP$607,2,FALSE)</f>
        <v>3</v>
      </c>
      <c r="AK640" s="2434"/>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25" t="s">
        <v>2095</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1350</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1406</v>
      </c>
      <c r="AG647" s="2525"/>
      <c r="AH647" s="2525"/>
      <c r="AI647" s="2525"/>
      <c r="AJ647" s="2525"/>
      <c r="AK647" s="2525"/>
      <c r="AL647" s="252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9" t="s">
        <v>591</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25" t="s">
        <v>1416</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1376</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5" t="s">
        <v>1417</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1397</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1418</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1350</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591</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1395</v>
      </c>
      <c r="E669" s="2425" t="s">
        <v>1419</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1397</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5" t="s">
        <v>1420</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1350</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5" t="s">
        <v>1421</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1406</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1409</v>
      </c>
      <c r="E681" s="2425" t="s">
        <v>1422</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1423</v>
      </c>
      <c r="AG681" s="2525"/>
      <c r="AH681" s="2525"/>
      <c r="AI681" s="2525"/>
      <c r="AJ681" s="2525"/>
      <c r="AK681" s="2525"/>
      <c r="AL681" s="2525"/>
      <c r="AM681" s="596"/>
      <c r="AN681" s="597"/>
      <c r="AO681" s="611" t="s">
        <v>686</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9" t="s">
        <v>509</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2">
        <f>VLOOKUP($H$685,$AO$633:$AP$640,2,FALSE)</f>
        <v>4</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157</v>
      </c>
    </row>
    <row r="691" spans="1:51" s="550" customFormat="1" ht="12.75" customHeight="1">
      <c r="A691" s="679"/>
      <c r="B691" s="536"/>
      <c r="C691" s="948"/>
      <c r="D691" s="663" t="s">
        <v>686</v>
      </c>
      <c r="E691" s="2395" t="s">
        <v>2187</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1350</v>
      </c>
      <c r="AG691" s="2525"/>
      <c r="AH691" s="2525"/>
      <c r="AI691" s="2525"/>
      <c r="AJ691" s="2525"/>
      <c r="AK691" s="2525"/>
      <c r="AL691" s="2525"/>
      <c r="AN691" s="597"/>
      <c r="AW691" s="22" t="s">
        <v>2182</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509</v>
      </c>
      <c r="E694" s="2425" t="s">
        <v>2131</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1350</v>
      </c>
      <c r="AG694" s="2525"/>
      <c r="AH694" s="2525"/>
      <c r="AI694" s="2525"/>
      <c r="AJ694" s="2525"/>
      <c r="AK694" s="2525"/>
      <c r="AL694" s="2525"/>
      <c r="AN694" s="597"/>
      <c r="AW694" s="22" t="s">
        <v>2185</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2186</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25" t="s">
        <v>2132</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1406</v>
      </c>
      <c r="AG699" s="2525"/>
      <c r="AH699" s="2525"/>
      <c r="AI699" s="2525"/>
      <c r="AJ699" s="2525"/>
      <c r="AK699" s="2525"/>
      <c r="AL699" s="2525"/>
      <c r="AN699" s="597"/>
      <c r="AO699" s="611" t="s">
        <v>509</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25" t="s">
        <v>1691</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9" t="s">
        <v>591</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32">
        <f>VLOOKUP($H$709,$AO$703:$AP$706,2,FALSE)</f>
        <v>0</v>
      </c>
      <c r="AK711" s="2434"/>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1350</v>
      </c>
      <c r="AG715" s="2525"/>
      <c r="AH715" s="2525"/>
      <c r="AI715" s="2525"/>
      <c r="AJ715" s="2525"/>
      <c r="AK715" s="2525"/>
      <c r="AL715" s="252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509</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1406</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1398</v>
      </c>
      <c r="E723" s="936"/>
      <c r="F723" s="936"/>
      <c r="G723" s="936"/>
      <c r="H723" s="2449" t="s">
        <v>591</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25" t="s">
        <v>1694</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1350</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5" t="s">
        <v>1437</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1406</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9" t="s">
        <v>591</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25" t="s">
        <v>1440</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1350</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5" t="s">
        <v>1441</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1406</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9" t="s">
        <v>591</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25" t="s">
        <v>1443</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1406</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5" t="s">
        <v>1444</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1423</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9" t="s">
        <v>686</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25" t="s">
        <v>1690</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1406</v>
      </c>
      <c r="AG769" s="2525"/>
      <c r="AH769" s="2525"/>
      <c r="AI769" s="2525"/>
      <c r="AJ769" s="2525"/>
      <c r="AK769" s="2525"/>
      <c r="AL769" s="2525"/>
      <c r="AM769" s="613"/>
      <c r="AN769" s="684"/>
      <c r="AO769" s="550" t="s">
        <v>591</v>
      </c>
      <c r="AP769" s="673">
        <v>0</v>
      </c>
    </row>
    <row r="770" spans="1:81" s="570" customFormat="1" ht="13.7"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1695</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1350</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9" t="s">
        <v>591</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25" t="s">
        <v>2030</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1350</v>
      </c>
      <c r="AG785" s="2525"/>
      <c r="AH785" s="2525"/>
      <c r="AI785" s="2525"/>
      <c r="AJ785" s="2525"/>
      <c r="AK785" s="2525"/>
      <c r="AL785" s="2525"/>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9" t="s">
        <v>591</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1566</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1567</v>
      </c>
      <c r="U802" s="2520"/>
      <c r="V802" s="2520"/>
      <c r="W802" s="2520"/>
      <c r="X802" s="2520"/>
      <c r="Y802" s="2521"/>
      <c r="Z802" s="2519" t="s">
        <v>1568</v>
      </c>
      <c r="AA802" s="2520"/>
      <c r="AB802" s="2520"/>
      <c r="AC802" s="2520"/>
      <c r="AD802" s="2520"/>
      <c r="AE802" s="2521"/>
      <c r="AF802" s="2519" t="s">
        <v>1569</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756</v>
      </c>
      <c r="B804" s="2476" t="s">
        <v>1302</v>
      </c>
      <c r="C804" s="2476"/>
      <c r="D804" s="2476"/>
      <c r="E804" s="2476"/>
      <c r="F804" s="2476"/>
      <c r="G804" s="2476"/>
      <c r="H804" s="2476"/>
      <c r="I804" s="2476"/>
      <c r="J804" s="2476"/>
      <c r="K804" s="2476"/>
      <c r="L804" s="2476"/>
      <c r="M804" s="2476"/>
      <c r="N804" s="2476"/>
      <c r="O804" s="2476"/>
      <c r="P804" s="2476"/>
      <c r="Q804" s="2476"/>
      <c r="R804" s="2476"/>
      <c r="S804" s="2477"/>
      <c r="T804" s="2504">
        <f>AK62</f>
        <v>14</v>
      </c>
      <c r="U804" s="2480"/>
      <c r="V804" s="2480"/>
      <c r="W804" s="2480"/>
      <c r="X804" s="2480"/>
      <c r="Y804" s="2481"/>
      <c r="Z804" s="2479">
        <v>20</v>
      </c>
      <c r="AA804" s="2480"/>
      <c r="AB804" s="2480"/>
      <c r="AC804" s="2480"/>
      <c r="AD804" s="2480"/>
      <c r="AE804" s="2481"/>
      <c r="AF804" s="2444">
        <f>IF(T804&gt;Z804,Z804,T804)</f>
        <v>14</v>
      </c>
      <c r="AG804" s="2444"/>
      <c r="AH804" s="2444"/>
      <c r="AI804" s="2444"/>
      <c r="AJ804" s="2444"/>
      <c r="AK804" s="2444"/>
      <c r="AL804" s="818"/>
      <c r="AM804" s="596"/>
      <c r="AO804" s="816"/>
      <c r="AP804" s="816"/>
      <c r="AQ804" s="816"/>
    </row>
    <row r="805" spans="1:81">
      <c r="A805" s="819" t="s">
        <v>1539</v>
      </c>
      <c r="B805" s="2476" t="s">
        <v>1311</v>
      </c>
      <c r="C805" s="2476"/>
      <c r="D805" s="2476"/>
      <c r="E805" s="2476"/>
      <c r="F805" s="2476"/>
      <c r="G805" s="2476"/>
      <c r="H805" s="2476"/>
      <c r="I805" s="2476"/>
      <c r="J805" s="2476"/>
      <c r="K805" s="2476"/>
      <c r="L805" s="2476"/>
      <c r="M805" s="2476"/>
      <c r="N805" s="2476"/>
      <c r="O805" s="2476"/>
      <c r="P805" s="2476"/>
      <c r="Q805" s="2476"/>
      <c r="R805" s="2476"/>
      <c r="S805" s="2477"/>
      <c r="T805" s="2504">
        <f>AK84</f>
        <v>0</v>
      </c>
      <c r="U805" s="2480"/>
      <c r="V805" s="2480"/>
      <c r="W805" s="2480"/>
      <c r="X805" s="2480"/>
      <c r="Y805" s="2481"/>
      <c r="Z805" s="2479">
        <v>10</v>
      </c>
      <c r="AA805" s="2480"/>
      <c r="AB805" s="2480"/>
      <c r="AC805" s="2480"/>
      <c r="AD805" s="2480"/>
      <c r="AE805" s="2481"/>
      <c r="AF805" s="2444">
        <f>IF(T805&gt;Z805,Z805,T805)</f>
        <v>0</v>
      </c>
      <c r="AG805" s="2444"/>
      <c r="AH805" s="2444"/>
      <c r="AI805" s="2444"/>
      <c r="AJ805" s="2444"/>
      <c r="AK805" s="2444"/>
      <c r="AL805" s="818"/>
      <c r="AM805" s="596"/>
      <c r="AO805" s="816"/>
      <c r="AP805" s="816"/>
      <c r="AQ805" s="816"/>
    </row>
    <row r="806" spans="1:81">
      <c r="A806" s="819" t="s">
        <v>1548</v>
      </c>
      <c r="B806" s="2476" t="s">
        <v>1321</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1570</v>
      </c>
      <c r="B807" s="2476" t="s">
        <v>1331</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1571</v>
      </c>
      <c r="B808" s="2476" t="s">
        <v>1572</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1573</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1574</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1359</v>
      </c>
      <c r="B811" s="2476" t="s">
        <v>1575</v>
      </c>
      <c r="C811" s="2476"/>
      <c r="D811" s="2476"/>
      <c r="E811" s="2476"/>
      <c r="F811" s="2476"/>
      <c r="G811" s="2476"/>
      <c r="H811" s="2476"/>
      <c r="I811" s="2476"/>
      <c r="J811" s="2476"/>
      <c r="K811" s="2476"/>
      <c r="L811" s="2476"/>
      <c r="M811" s="2476"/>
      <c r="N811" s="2476"/>
      <c r="O811" s="2476"/>
      <c r="P811" s="2476"/>
      <c r="Q811" s="2476"/>
      <c r="R811" s="2476"/>
      <c r="S811" s="2477"/>
      <c r="T811" s="2478">
        <f>AK191</f>
        <v>0</v>
      </c>
      <c r="U811" s="2478"/>
      <c r="V811" s="2478"/>
      <c r="W811" s="2478"/>
      <c r="X811" s="2478"/>
      <c r="Y811" s="2478"/>
      <c r="Z811" s="2444">
        <v>10</v>
      </c>
      <c r="AA811" s="2444"/>
      <c r="AB811" s="2444"/>
      <c r="AC811" s="2444"/>
      <c r="AD811" s="2444"/>
      <c r="AE811" s="2444"/>
      <c r="AF811" s="2444">
        <f>IF(T811&gt;Z811,Z811,T811)</f>
        <v>0</v>
      </c>
      <c r="AG811" s="2444"/>
      <c r="AH811" s="2444"/>
      <c r="AI811" s="2444"/>
      <c r="AJ811" s="2444"/>
      <c r="AK811" s="2444"/>
      <c r="AL811" s="818"/>
      <c r="AM811" s="596"/>
    </row>
    <row r="812" spans="1:81">
      <c r="A812" s="819" t="s">
        <v>1368</v>
      </c>
      <c r="B812" s="2476" t="s">
        <v>1369</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589</v>
      </c>
      <c r="B813" s="2476" t="s">
        <v>1576</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6" t="s">
        <v>1577</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6" t="s">
        <v>1379</v>
      </c>
      <c r="C815" s="2476"/>
      <c r="D815" s="2476"/>
      <c r="E815" s="2476"/>
      <c r="F815" s="2476"/>
      <c r="G815" s="2476"/>
      <c r="H815" s="2476"/>
      <c r="I815" s="2476"/>
      <c r="J815" s="2476"/>
      <c r="K815" s="2476"/>
      <c r="L815" s="2476"/>
      <c r="M815" s="2476"/>
      <c r="N815" s="2476"/>
      <c r="O815" s="2476"/>
      <c r="P815" s="2476"/>
      <c r="Q815" s="2476"/>
      <c r="R815" s="2476"/>
      <c r="S815" s="2477"/>
      <c r="T815" s="2478">
        <f>AK338</f>
        <v>0</v>
      </c>
      <c r="U815" s="2478"/>
      <c r="V815" s="2478"/>
      <c r="W815" s="2478"/>
      <c r="X815" s="2478"/>
      <c r="Y815" s="2478"/>
      <c r="Z815" s="2487">
        <v>10</v>
      </c>
      <c r="AA815" s="2488"/>
      <c r="AB815" s="2488"/>
      <c r="AC815" s="2488"/>
      <c r="AD815" s="2488"/>
      <c r="AE815" s="2489"/>
      <c r="AF815" s="2487">
        <f>IF(T815&gt;Z815,Z815,T815)</f>
        <v>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4">
        <f>AK338</f>
        <v>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6" t="s">
        <v>844</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6" t="s">
        <v>1557</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6" t="s">
        <v>1579</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1580</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1581</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2" t="s">
        <v>1582</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104</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Kylie Gelormini</cp:lastModifiedBy>
  <cp:lastPrinted>2025-09-02T22:09:36Z</cp:lastPrinted>
  <dcterms:created xsi:type="dcterms:W3CDTF">2007-12-27T18:26:28Z</dcterms:created>
  <dcterms:modified xsi:type="dcterms:W3CDTF">2025-09-09T11:51:38Z</dcterms:modified>
</cp:coreProperties>
</file>