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Shiloh Arms - Sacramento - OAHS\3.3 CDLAC\Shiloh Arms CDLAC R3 2025\Ready For Review\"/>
    </mc:Choice>
  </mc:AlternateContent>
  <xr:revisionPtr revIDLastSave="0" documentId="13_ncr:1_{81993250-2C15-47AC-88C6-1872B0273985}" xr6:coauthVersionLast="47" xr6:coauthVersionMax="47" xr10:uidLastSave="{00000000-0000-0000-0000-000000000000}"/>
  <bookViews>
    <workbookView xWindow="-14490" yWindow="60" windowWidth="14550" windowHeight="15525" tabRatio="815" firstSheet="6"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AM562" i="3" s="1"/>
  <c r="S45" i="4"/>
  <c r="AD199" i="20" l="1"/>
  <c r="T9" i="4"/>
  <c r="S10" i="4"/>
  <c r="S14" i="4"/>
  <c r="S13" i="4"/>
  <c r="S37" i="4"/>
  <c r="S36" i="4"/>
  <c r="S35" i="4"/>
  <c r="S34" i="4"/>
  <c r="S33" i="4"/>
  <c r="S32" i="4"/>
  <c r="S31" i="4"/>
  <c r="S30" i="4"/>
  <c r="S29" i="4"/>
  <c r="S87" i="4"/>
  <c r="S86" i="4"/>
  <c r="S85" i="4"/>
  <c r="S84" i="4"/>
  <c r="S103" i="4"/>
  <c r="S102" i="4"/>
  <c r="S101" i="4"/>
  <c r="S100" i="4"/>
  <c r="S99" i="4"/>
  <c r="S95" i="4"/>
  <c r="S93" i="4"/>
  <c r="S92" i="4"/>
  <c r="S91" i="4"/>
  <c r="S90" i="4"/>
  <c r="S89" i="4"/>
  <c r="S80" i="4"/>
  <c r="S79" i="4"/>
  <c r="S68" i="4"/>
  <c r="S67" i="4"/>
  <c r="S66" i="4"/>
  <c r="S53" i="4"/>
  <c r="S52" i="4"/>
  <c r="S51" i="4"/>
  <c r="S48" i="4"/>
  <c r="S47" i="4"/>
  <c r="S43" i="4"/>
  <c r="S41" i="4"/>
  <c r="S40" i="4"/>
  <c r="S25" i="4"/>
  <c r="S24" i="4"/>
  <c r="S23" i="4"/>
  <c r="S22" i="4"/>
  <c r="S21" i="4"/>
  <c r="S20" i="4"/>
  <c r="S19" i="4"/>
  <c r="S18" i="4"/>
  <c r="S17"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7" i="4"/>
  <c r="E15" i="4"/>
  <c r="E14" i="4"/>
  <c r="E13" i="4"/>
  <c r="E10" i="4"/>
  <c r="E7" i="4"/>
  <c r="E6" i="4"/>
  <c r="E5" i="4"/>
  <c r="E4" i="4"/>
  <c r="AA920" i="3"/>
  <c r="AA919" i="3"/>
  <c r="AA918" i="3"/>
  <c r="AO631" i="3"/>
  <c r="AO630" i="3"/>
  <c r="AO629" i="3"/>
  <c r="T627" i="3"/>
  <c r="AF627" i="3"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S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DE725" i="3"/>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DJ727" i="3"/>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8" i="3"/>
  <c r="X728" i="3"/>
  <c r="AB245" i="20"/>
  <c r="AB247" i="20" s="1"/>
  <c r="AB233" i="20"/>
  <c r="AB232" i="20"/>
  <c r="AB231" i="20"/>
  <c r="AB230" i="20"/>
  <c r="AB229"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AD210" i="20" s="1"/>
  <c r="B17" i="4"/>
  <c r="B18" i="4"/>
  <c r="B19" i="4"/>
  <c r="B20" i="4"/>
  <c r="B21" i="4"/>
  <c r="B22" i="4"/>
  <c r="B23" i="4"/>
  <c r="B25"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F9" i="4" s="1"/>
  <c r="E9" i="4" s="1"/>
  <c r="E11" i="4" s="1"/>
  <c r="G108" i="4"/>
  <c r="G18" i="4" s="1"/>
  <c r="G26" i="4" s="1"/>
  <c r="H108" i="4"/>
  <c r="H18" i="4" s="1"/>
  <c r="H26" i="4" s="1"/>
  <c r="I108" i="4"/>
  <c r="I18" i="4" s="1"/>
  <c r="I26" i="4" s="1"/>
  <c r="J108" i="4"/>
  <c r="J18" i="4" s="1"/>
  <c r="J26"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AO632" i="3" s="1"/>
  <c r="AO639" i="3" s="1"/>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N225" i="20" l="1"/>
  <c r="AB225" i="20" s="1"/>
  <c r="N227" i="20"/>
  <c r="AB227" i="20" s="1"/>
  <c r="N226" i="20"/>
  <c r="AB226" i="20" s="1"/>
  <c r="N228" i="20"/>
  <c r="AB228" i="20" s="1"/>
  <c r="N224" i="20"/>
  <c r="AB224" i="20" s="1"/>
  <c r="BE23" i="3"/>
  <c r="R9" i="4"/>
  <c r="R11" i="4" s="1"/>
  <c r="B26" i="4"/>
  <c r="K108" i="4"/>
  <c r="K99" i="4" s="1"/>
  <c r="F11" i="4"/>
  <c r="F12" i="4" s="1"/>
  <c r="E18" i="4"/>
  <c r="T727" i="3"/>
  <c r="T726" i="3"/>
  <c r="O726" i="3" s="1"/>
  <c r="T725" i="3"/>
  <c r="T724" i="3"/>
  <c r="T723" i="3"/>
  <c r="O723" i="3" s="1"/>
  <c r="T722" i="3"/>
  <c r="T721" i="3"/>
  <c r="O721" i="3" s="1"/>
  <c r="T720" i="3"/>
  <c r="O720" i="3" s="1"/>
  <c r="FE720" i="3" s="1"/>
  <c r="T719" i="3"/>
  <c r="O719" i="3" s="1"/>
  <c r="T718"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S63" i="4"/>
  <c r="E104" i="13"/>
  <c r="CI753" i="3"/>
  <c r="X1048" i="3" s="1"/>
  <c r="BG243" i="3"/>
  <c r="BO245" i="3" s="1"/>
  <c r="T26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FE718" i="3"/>
  <c r="Y7" i="15"/>
  <c r="AI7" i="15"/>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B234" i="20" l="1"/>
  <c r="AB250" i="20" s="1"/>
  <c r="AB252" i="20" s="1"/>
  <c r="AB254" i="20" s="1"/>
  <c r="AB260" i="20" s="1"/>
  <c r="AD209" i="20" s="1"/>
  <c r="AD211" i="20" s="1"/>
  <c r="O724" i="3"/>
  <c r="FO724" i="3" s="1"/>
  <c r="O725" i="3"/>
  <c r="AQ119" i="20" s="1"/>
  <c r="O718" i="3"/>
  <c r="D4" i="8" s="1"/>
  <c r="I4" i="8" s="1"/>
  <c r="J4" i="8" s="1"/>
  <c r="O727" i="3"/>
  <c r="FT727" i="3" s="1"/>
  <c r="ER644" i="3" s="1"/>
  <c r="FE721" i="3"/>
  <c r="O722" i="3"/>
  <c r="X722" i="3" s="1"/>
  <c r="AH722" i="3" s="1"/>
  <c r="D105" i="11"/>
  <c r="F63" i="4"/>
  <c r="F97" i="4" s="1"/>
  <c r="F105" i="4" s="1"/>
  <c r="R18" i="4"/>
  <c r="R26" i="4" s="1"/>
  <c r="R63" i="4" s="1"/>
  <c r="R97" i="4" s="1"/>
  <c r="E26" i="4"/>
  <c r="E63" i="4" s="1"/>
  <c r="E97" i="4" s="1"/>
  <c r="E99" i="4"/>
  <c r="K104" i="4"/>
  <c r="K105" i="4" s="1"/>
  <c r="X720" i="3"/>
  <c r="AH720" i="3" s="1"/>
  <c r="D6" i="8"/>
  <c r="I6" i="8" s="1"/>
  <c r="J6" i="8" s="1"/>
  <c r="AQ114" i="20"/>
  <c r="D12" i="8"/>
  <c r="I12" i="8" s="1"/>
  <c r="J12" i="8" s="1"/>
  <c r="AQ120" i="20"/>
  <c r="X726" i="3"/>
  <c r="AH726" i="3" s="1"/>
  <c r="AQ118" i="20"/>
  <c r="D10" i="8"/>
  <c r="I10" i="8" s="1"/>
  <c r="J10" i="8" s="1"/>
  <c r="X724" i="3"/>
  <c r="AH724" i="3" s="1"/>
  <c r="X719" i="3"/>
  <c r="AH719" i="3" s="1"/>
  <c r="D5" i="8"/>
  <c r="I5" i="8" s="1"/>
  <c r="J5" i="8" s="1"/>
  <c r="AQ113" i="20"/>
  <c r="EZ719" i="3"/>
  <c r="AQ117" i="20"/>
  <c r="D9" i="8"/>
  <c r="I9" i="8" s="1"/>
  <c r="J9" i="8" s="1"/>
  <c r="X723" i="3"/>
  <c r="AH723" i="3" s="1"/>
  <c r="FT726" i="3"/>
  <c r="ER643" i="3" s="1"/>
  <c r="FJ723" i="3"/>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BG752" i="3"/>
  <c r="BH752" i="3" s="1"/>
  <c r="BG751" i="3"/>
  <c r="BH751" i="3" s="1"/>
  <c r="BT719" i="3"/>
  <c r="BT727" i="3"/>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EC639" i="3"/>
  <c r="AC885" i="3"/>
  <c r="EC652" i="3"/>
  <c r="I1052" i="3"/>
  <c r="AY1006" i="3" s="1"/>
  <c r="T815" i="20"/>
  <c r="AF815" i="20" s="1"/>
  <c r="BE79" i="3" s="1"/>
  <c r="Y27" i="15"/>
  <c r="AI27" i="15"/>
  <c r="T27" i="15"/>
  <c r="G22" i="7"/>
  <c r="G35" i="7" s="1"/>
  <c r="EC645" i="3"/>
  <c r="EC647" i="3"/>
  <c r="EC637" i="3"/>
  <c r="EC653" i="3"/>
  <c r="EC649" i="3"/>
  <c r="DX646"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35" i="3"/>
  <c r="EH647" i="3"/>
  <c r="EH645" i="3"/>
  <c r="EH649" i="3"/>
  <c r="EH650" i="3"/>
  <c r="EH669" i="3"/>
  <c r="EH638" i="3"/>
  <c r="EH652" i="3"/>
  <c r="EH648" i="3"/>
  <c r="EH636" i="3"/>
  <c r="DD755" i="3"/>
  <c r="EH642"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R650" i="3"/>
  <c r="AW119" i="20"/>
  <c r="DX645" i="3"/>
  <c r="CU802" i="3"/>
  <c r="AB987" i="3" s="1"/>
  <c r="AJ987" i="3" s="1"/>
  <c r="ER668" i="3"/>
  <c r="CT798" i="3"/>
  <c r="DU800" i="3" s="1"/>
  <c r="DU799" i="3"/>
  <c r="DE802" i="3"/>
  <c r="AB989" i="3" s="1"/>
  <c r="AJ989" i="3" s="1"/>
  <c r="EM650" i="3"/>
  <c r="EM646" i="3"/>
  <c r="EM653" i="3"/>
  <c r="EM654" i="3"/>
  <c r="DI755" i="3"/>
  <c r="EM669" i="3"/>
  <c r="EM637" i="3"/>
  <c r="EM657" i="3"/>
  <c r="EM655" i="3"/>
  <c r="EM668" i="3"/>
  <c r="EM640" i="3"/>
  <c r="EM645" i="3"/>
  <c r="EM647" i="3"/>
  <c r="EM639" i="3"/>
  <c r="EM649" i="3"/>
  <c r="EM656" i="3"/>
  <c r="EM644" i="3"/>
  <c r="EM638" i="3"/>
  <c r="EM648" i="3"/>
  <c r="EH637" i="3"/>
  <c r="ET799" i="3"/>
  <c r="EM635" i="3"/>
  <c r="EM643" i="3"/>
  <c r="K15" i="7"/>
  <c r="I22" i="7"/>
  <c r="I35" i="7" s="1"/>
  <c r="E29" i="21"/>
  <c r="G24" i="21"/>
  <c r="D7" i="8" l="1"/>
  <c r="I7" i="8" s="1"/>
  <c r="J7" i="8" s="1"/>
  <c r="X721" i="3"/>
  <c r="AH721" i="3" s="1"/>
  <c r="X727" i="3"/>
  <c r="AH727" i="3" s="1"/>
  <c r="BU727" i="3"/>
  <c r="D13" i="8"/>
  <c r="I13" i="8" s="1"/>
  <c r="J13" i="8" s="1"/>
  <c r="AQ121" i="20"/>
  <c r="FE753" i="3"/>
  <c r="EC638" i="3"/>
  <c r="EC670" i="3" s="1"/>
  <c r="J130" i="20" s="1"/>
  <c r="J133" i="20" s="1"/>
  <c r="J136" i="20" s="1"/>
  <c r="EM641" i="3"/>
  <c r="O753" i="3"/>
  <c r="D40" i="8" s="1"/>
  <c r="AQ116" i="20"/>
  <c r="D8" i="8"/>
  <c r="I8" i="8" s="1"/>
  <c r="J8" i="8" s="1"/>
  <c r="FT753" i="3"/>
  <c r="FJ722" i="3"/>
  <c r="EH639" i="3" s="1"/>
  <c r="EZ718" i="3"/>
  <c r="DX635" i="3" s="1"/>
  <c r="AQ115" i="20"/>
  <c r="FO725" i="3"/>
  <c r="EM642" i="3" s="1"/>
  <c r="EM670" i="3" s="1"/>
  <c r="T130" i="20" s="1"/>
  <c r="T133" i="20" s="1"/>
  <c r="T136" i="20" s="1"/>
  <c r="D11" i="8"/>
  <c r="I11" i="8" s="1"/>
  <c r="J11" i="8" s="1"/>
  <c r="AQ112" i="20"/>
  <c r="X725" i="3"/>
  <c r="AH725" i="3" s="1"/>
  <c r="BU725" i="3" s="1"/>
  <c r="X718" i="3"/>
  <c r="AH718" i="3" s="1"/>
  <c r="BU718" i="3" s="1"/>
  <c r="EH640" i="3"/>
  <c r="BU720" i="3"/>
  <c r="AC455" i="3"/>
  <c r="AZ1048" i="3"/>
  <c r="R99" i="4"/>
  <c r="R104" i="4" s="1"/>
  <c r="R105" i="4" s="1"/>
  <c r="E104" i="4"/>
  <c r="E105" i="4" s="1"/>
  <c r="BU722" i="3"/>
  <c r="BU719" i="3"/>
  <c r="BU726" i="3"/>
  <c r="DX636" i="3"/>
  <c r="BU721" i="3"/>
  <c r="BU724" i="3"/>
  <c r="BU723" i="3"/>
  <c r="O20" i="21"/>
  <c r="P20" i="21" s="1" a="1"/>
  <c r="P20" i="21" s="1"/>
  <c r="S20" i="21" s="1"/>
  <c r="O21" i="21"/>
  <c r="P21" i="21" s="1" a="1"/>
  <c r="P21" i="21" s="1"/>
  <c r="S21" i="21" s="1"/>
  <c r="O29" i="21"/>
  <c r="P29" i="21" s="1" a="1"/>
  <c r="P29" i="21" s="1"/>
  <c r="S29" i="21" s="1"/>
  <c r="O25" i="21"/>
  <c r="P25" i="21" s="1" a="1"/>
  <c r="P25" i="21" s="1"/>
  <c r="S25" i="21" s="1"/>
  <c r="O24" i="21"/>
  <c r="P24" i="21" s="1" a="1"/>
  <c r="P24" i="21" s="1"/>
  <c r="S24" i="21" s="1"/>
  <c r="O22" i="21"/>
  <c r="P22" i="21" s="1" a="1"/>
  <c r="P22" i="21" s="1"/>
  <c r="S22" i="21" s="1"/>
  <c r="O28" i="21"/>
  <c r="P28" i="21" s="1" a="1"/>
  <c r="P28" i="21" s="1"/>
  <c r="S28" i="21" s="1"/>
  <c r="O23" i="21"/>
  <c r="P23" i="21" s="1" a="1"/>
  <c r="P23" i="21" s="1"/>
  <c r="S23" i="21" s="1"/>
  <c r="O26" i="21"/>
  <c r="P26" i="21" s="1" a="1"/>
  <c r="P26" i="21" s="1"/>
  <c r="S26"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7" i="21" a="1"/>
  <c r="P27" i="21" s="1"/>
  <c r="S27" i="21" s="1"/>
  <c r="DU755" i="3"/>
  <c r="O756" i="3" s="1"/>
  <c r="BG753" i="3"/>
  <c r="E35" i="7"/>
  <c r="BT753" i="3"/>
  <c r="AX695" i="20"/>
  <c r="AO695" i="20" s="1"/>
  <c r="BH718" i="3"/>
  <c r="AW122" i="20"/>
  <c r="K8" i="7"/>
  <c r="M8" i="7" s="1"/>
  <c r="D98" i="11"/>
  <c r="C106" i="11"/>
  <c r="D106" i="11" s="1"/>
  <c r="EW670" i="3"/>
  <c r="AD130" i="20" s="1"/>
  <c r="AD133" i="20" s="1"/>
  <c r="AD136" i="20" s="1"/>
  <c r="ER670" i="3"/>
  <c r="Y130" i="20" s="1"/>
  <c r="Y133" i="20" s="1"/>
  <c r="Y136" i="20" s="1"/>
  <c r="AJ986" i="3"/>
  <c r="AB990" i="3"/>
  <c r="AJ990" i="3" s="1"/>
  <c r="M15" i="7"/>
  <c r="K22" i="7"/>
  <c r="K35" i="7" s="1"/>
  <c r="F27" i="21"/>
  <c r="G61" i="21"/>
  <c r="G63" i="21" s="1"/>
  <c r="G65" i="21" s="1"/>
  <c r="E13" i="21" s="1"/>
  <c r="F28" i="21"/>
  <c r="G28" i="21" s="1"/>
  <c r="G52" i="21"/>
  <c r="G54" i="21" s="1"/>
  <c r="G56" i="21" s="1"/>
  <c r="E12" i="21" s="1"/>
  <c r="Y801" i="3" l="1"/>
  <c r="E4" i="7" s="1"/>
  <c r="G4" i="7" s="1"/>
  <c r="G5" i="7" s="1"/>
  <c r="EH670" i="3"/>
  <c r="O130" i="20" s="1"/>
  <c r="O133" i="20" s="1"/>
  <c r="O136" i="20" s="1"/>
  <c r="J40" i="8"/>
  <c r="Z809" i="3" s="1"/>
  <c r="E6" i="7" s="1"/>
  <c r="E7" i="7" s="1"/>
  <c r="DX670" i="3"/>
  <c r="E130" i="20" s="1"/>
  <c r="E133" i="20" s="1"/>
  <c r="E136" i="20" s="1"/>
  <c r="EZ753" i="3"/>
  <c r="FO753" i="3"/>
  <c r="Y800" i="3"/>
  <c r="FJ753" i="3"/>
  <c r="BU753" i="3"/>
  <c r="AH753" i="3" s="1"/>
  <c r="BE43" i="3" s="1"/>
  <c r="AB266" i="20"/>
  <c r="AG268" i="20" s="1"/>
  <c r="AG270" i="20" s="1"/>
  <c r="AK273" i="20" s="1"/>
  <c r="T812" i="20" s="1"/>
  <c r="AF812" i="20" s="1"/>
  <c r="BE77" i="3" s="1"/>
  <c r="AC454" i="3"/>
  <c r="AB47" i="15"/>
  <c r="AB49"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K9" i="7"/>
  <c r="AJ992" i="3"/>
  <c r="AB991" i="3"/>
  <c r="DU802" i="3"/>
  <c r="U373" i="20" s="1"/>
  <c r="P421" i="3"/>
  <c r="M22" i="7"/>
  <c r="M35" i="7" s="1"/>
  <c r="O15" i="7"/>
  <c r="M9" i="7"/>
  <c r="O8" i="7"/>
  <c r="G27" i="21"/>
  <c r="F26" i="21"/>
  <c r="E5" i="7" l="1"/>
  <c r="I4" i="7"/>
  <c r="I5" i="7" s="1"/>
  <c r="E138" i="20"/>
  <c r="E139" i="20" s="1"/>
  <c r="AK143" i="20" s="1"/>
  <c r="T807" i="20" s="1"/>
  <c r="AF807" i="20" s="1"/>
  <c r="BE74" i="3" s="1"/>
  <c r="Z818" i="3"/>
  <c r="E11" i="7"/>
  <c r="E37" i="7" s="1"/>
  <c r="E49" i="7" s="1"/>
  <c r="G6" i="7"/>
  <c r="AD11" i="15"/>
  <c r="AD23" i="15" s="1"/>
  <c r="AD26" i="15" s="1"/>
  <c r="AD28" i="15" s="1"/>
  <c r="AI11" i="15"/>
  <c r="AI23" i="15" s="1"/>
  <c r="AI26" i="15" s="1"/>
  <c r="AI28" i="15" s="1"/>
  <c r="AE699" i="3"/>
  <c r="AC456" i="3"/>
  <c r="BE44" i="3"/>
  <c r="F457" i="3"/>
  <c r="BA1055" i="3"/>
  <c r="BA1059" i="3" s="1"/>
  <c r="N196" i="23"/>
  <c r="N186" i="23"/>
  <c r="S58" i="7"/>
  <c r="U53" i="7"/>
  <c r="AA1056" i="3"/>
  <c r="AF551" i="20"/>
  <c r="E107" i="13"/>
  <c r="AJ1045" i="3"/>
  <c r="AJ1049" i="3"/>
  <c r="AP553" i="20" s="1"/>
  <c r="AP550" i="20"/>
  <c r="K4" i="7"/>
  <c r="M4" i="7" s="1"/>
  <c r="G26" i="21"/>
  <c r="F29" i="21"/>
  <c r="G29" i="21"/>
  <c r="O22" i="7"/>
  <c r="O35" i="7" s="1"/>
  <c r="Q15" i="7"/>
  <c r="O9" i="7"/>
  <c r="Q8" i="7"/>
  <c r="E45" i="7" l="1"/>
  <c r="E48" i="7" s="1"/>
  <c r="I6" i="7"/>
  <c r="G7" i="7"/>
  <c r="G11" i="7" s="1"/>
  <c r="G37" i="7" s="1"/>
  <c r="T11" i="15"/>
  <c r="T23" i="15" s="1"/>
  <c r="T26" i="15" s="1"/>
  <c r="T28" i="15" s="1"/>
  <c r="Y11" i="15"/>
  <c r="Y23" i="15" s="1"/>
  <c r="Y26" i="15" s="1"/>
  <c r="Y28" i="15" s="1"/>
  <c r="Y64" i="15" s="1"/>
  <c r="Y68" i="15" s="1"/>
  <c r="U58" i="7"/>
  <c r="W53" i="7"/>
  <c r="AJ1053" i="3"/>
  <c r="AA1057" i="3" s="1"/>
  <c r="G1058" i="3" s="1"/>
  <c r="AP552" i="20"/>
  <c r="AP554" i="20" s="1"/>
  <c r="Y69" i="15"/>
  <c r="K5" i="7"/>
  <c r="E47" i="7"/>
  <c r="E60" i="7"/>
  <c r="E62" i="7" s="1"/>
  <c r="O4" i="7"/>
  <c r="M5" i="7"/>
  <c r="Q22" i="7"/>
  <c r="Q35" i="7" s="1"/>
  <c r="S15" i="7"/>
  <c r="G79" i="21"/>
  <c r="G31" i="21"/>
  <c r="G33" i="21" s="1"/>
  <c r="E9" i="21" s="1"/>
  <c r="G88" i="21"/>
  <c r="G90" i="21" s="1"/>
  <c r="E16" i="21" s="1"/>
  <c r="G111" i="21"/>
  <c r="G96" i="21"/>
  <c r="Q9" i="7"/>
  <c r="S8" i="7"/>
  <c r="G45" i="7" l="1"/>
  <c r="G49" i="7"/>
  <c r="I7" i="7"/>
  <c r="I11" i="7" s="1"/>
  <c r="I37" i="7" s="1"/>
  <c r="K6" i="7"/>
  <c r="T29" i="15"/>
  <c r="G80" i="21"/>
  <c r="E15" i="21" s="1"/>
  <c r="W58" i="7"/>
  <c r="Y53" i="7"/>
  <c r="T24" i="15"/>
  <c r="Y38" i="15" s="1"/>
  <c r="Y40" i="15" s="1"/>
  <c r="AP557" i="20"/>
  <c r="AP556" i="20" s="1"/>
  <c r="AP559" i="20" s="1"/>
  <c r="AF552" i="20" s="1"/>
  <c r="AF553" i="20" s="1"/>
  <c r="AK559" i="20" s="1"/>
  <c r="T818" i="20" s="1"/>
  <c r="AF818" i="20" s="1"/>
  <c r="BE81" i="3" s="1"/>
  <c r="E66" i="7"/>
  <c r="O5" i="7"/>
  <c r="Q4" i="7"/>
  <c r="G101" i="21"/>
  <c r="G113" i="21"/>
  <c r="G97" i="21"/>
  <c r="S22" i="7"/>
  <c r="S35" i="7" s="1"/>
  <c r="U15" i="7"/>
  <c r="U8" i="7"/>
  <c r="S9" i="7"/>
  <c r="M6" i="7" l="1"/>
  <c r="K7" i="7"/>
  <c r="K11" i="7" s="1"/>
  <c r="K37" i="7" s="1"/>
  <c r="K45" i="7" s="1"/>
  <c r="K60" i="7" s="1"/>
  <c r="I45" i="7"/>
  <c r="I49" i="7"/>
  <c r="G60" i="7"/>
  <c r="G47" i="7"/>
  <c r="G48" i="7"/>
  <c r="AA53" i="7"/>
  <c r="Y58" i="7"/>
  <c r="AD38" i="15"/>
  <c r="AD40" i="15" s="1"/>
  <c r="Y41" i="15" s="1"/>
  <c r="G115" i="21"/>
  <c r="E17" i="21" s="1"/>
  <c r="E14" i="21" s="1"/>
  <c r="E18" i="21" s="1"/>
  <c r="K49" i="7"/>
  <c r="E70" i="7"/>
  <c r="E72" i="7" s="1"/>
  <c r="S4" i="7"/>
  <c r="Q5" i="7"/>
  <c r="K47" i="7"/>
  <c r="U22" i="7"/>
  <c r="U35" i="7" s="1"/>
  <c r="W15" i="7"/>
  <c r="U9" i="7"/>
  <c r="W8" i="7"/>
  <c r="K48" i="7" l="1"/>
  <c r="G62" i="7"/>
  <c r="G66" i="7"/>
  <c r="G70" i="7" s="1"/>
  <c r="I48" i="7"/>
  <c r="I60" i="7"/>
  <c r="I47" i="7"/>
  <c r="O6" i="7"/>
  <c r="M7" i="7"/>
  <c r="M11" i="7" s="1"/>
  <c r="M37" i="7" s="1"/>
  <c r="AB50" i="15"/>
  <c r="AC53" i="7"/>
  <c r="AA58" i="7"/>
  <c r="U4" i="7"/>
  <c r="S5" i="7"/>
  <c r="K66" i="7"/>
  <c r="K62" i="7"/>
  <c r="W22" i="7"/>
  <c r="W35" i="7" s="1"/>
  <c r="Y15" i="7"/>
  <c r="W9" i="7"/>
  <c r="Y8" i="7"/>
  <c r="G72" i="7" l="1"/>
  <c r="M45" i="7"/>
  <c r="M49" i="7"/>
  <c r="O7" i="7"/>
  <c r="O11" i="7" s="1"/>
  <c r="O37" i="7" s="1"/>
  <c r="Q6" i="7"/>
  <c r="I66" i="7"/>
  <c r="I70" i="7" s="1"/>
  <c r="I62" i="7"/>
  <c r="BE62" i="3"/>
  <c r="AB54" i="15"/>
  <c r="AB55" i="15" s="1"/>
  <c r="AB56" i="15" s="1"/>
  <c r="M26" i="3" s="1"/>
  <c r="BE19" i="3" s="1"/>
  <c r="AE53" i="7"/>
  <c r="AC58" i="7"/>
  <c r="U5" i="7"/>
  <c r="W4" i="7"/>
  <c r="K70" i="7"/>
  <c r="K72" i="7" s="1"/>
  <c r="Y22" i="7"/>
  <c r="Y35" i="7" s="1"/>
  <c r="AA15" i="7"/>
  <c r="Y9" i="7"/>
  <c r="AA8" i="7"/>
  <c r="I72" i="7" l="1"/>
  <c r="Q7" i="7"/>
  <c r="Q11" i="7" s="1"/>
  <c r="Q37" i="7" s="1"/>
  <c r="S6" i="7"/>
  <c r="O49" i="7"/>
  <c r="O45" i="7"/>
  <c r="M47" i="7"/>
  <c r="M48" i="7"/>
  <c r="M60" i="7"/>
  <c r="P204" i="3"/>
  <c r="AB57" i="15"/>
  <c r="AB59" i="15" s="1"/>
  <c r="AB77" i="15" s="1"/>
  <c r="AG53" i="7"/>
  <c r="AG58" i="7" s="1"/>
  <c r="AE58" i="7"/>
  <c r="W5" i="7"/>
  <c r="Y4" i="7"/>
  <c r="AC15" i="7"/>
  <c r="AA22" i="7"/>
  <c r="AA35" i="7" s="1"/>
  <c r="AC8" i="7"/>
  <c r="AA9" i="7"/>
  <c r="M62" i="7" l="1"/>
  <c r="M66" i="7"/>
  <c r="M70" i="7" s="1"/>
  <c r="O47" i="7"/>
  <c r="O48" i="7"/>
  <c r="O60" i="7"/>
  <c r="O66" i="7" s="1"/>
  <c r="S7" i="7"/>
  <c r="S11" i="7" s="1"/>
  <c r="S37" i="7" s="1"/>
  <c r="U6" i="7"/>
  <c r="Q45" i="7"/>
  <c r="Q49" i="7"/>
  <c r="AB78" i="15"/>
  <c r="AB79" i="15" s="1"/>
  <c r="AB81" i="15" s="1"/>
  <c r="J82" i="15" s="1"/>
  <c r="AA4" i="7"/>
  <c r="Y5" i="7"/>
  <c r="O70" i="7"/>
  <c r="O72" i="7" s="1"/>
  <c r="AE15" i="7"/>
  <c r="AC22" i="7"/>
  <c r="AC35" i="7" s="1"/>
  <c r="AC9" i="7"/>
  <c r="AE8" i="7"/>
  <c r="M72" i="7" l="1"/>
  <c r="Q60" i="7"/>
  <c r="Q66" i="7" s="1"/>
  <c r="Q48" i="7"/>
  <c r="Q47" i="7"/>
  <c r="S49" i="7"/>
  <c r="S45" i="7"/>
  <c r="U7" i="7"/>
  <c r="U11" i="7" s="1"/>
  <c r="U37" i="7" s="1"/>
  <c r="W6" i="7"/>
  <c r="M27" i="3"/>
  <c r="BE20" i="3" s="1"/>
  <c r="I10" i="21"/>
  <c r="I11" i="21" s="1"/>
  <c r="AA5" i="7"/>
  <c r="AC4" i="7"/>
  <c r="Q70" i="7"/>
  <c r="Q72" i="7" s="1"/>
  <c r="AE22" i="7"/>
  <c r="AE35" i="7" s="1"/>
  <c r="AG15" i="7"/>
  <c r="AG22" i="7" s="1"/>
  <c r="AG35" i="7" s="1"/>
  <c r="AE9" i="7"/>
  <c r="AG8" i="7"/>
  <c r="AG9" i="7" s="1"/>
  <c r="Y6" i="7" l="1"/>
  <c r="W7" i="7"/>
  <c r="W11" i="7" s="1"/>
  <c r="W37" i="7" s="1"/>
  <c r="U45" i="7"/>
  <c r="U49" i="7"/>
  <c r="S48" i="7"/>
  <c r="S47" i="7"/>
  <c r="S60" i="7"/>
  <c r="S66" i="7" s="1"/>
  <c r="S70" i="7" s="1"/>
  <c r="S72" i="7" s="1"/>
  <c r="I18" i="21"/>
  <c r="H4" i="21" s="1"/>
  <c r="P205" i="3"/>
  <c r="AC5" i="7"/>
  <c r="AE4" i="7"/>
  <c r="U48" i="7" l="1"/>
  <c r="U47" i="7"/>
  <c r="U60" i="7"/>
  <c r="U66" i="7" s="1"/>
  <c r="W49" i="7"/>
  <c r="W45" i="7"/>
  <c r="Y7" i="7"/>
  <c r="Y11" i="7" s="1"/>
  <c r="Y37" i="7" s="1"/>
  <c r="AA6" i="7"/>
  <c r="AE5" i="7"/>
  <c r="AG4" i="7"/>
  <c r="U70" i="7"/>
  <c r="U72" i="7" s="1"/>
  <c r="AA7" i="7" l="1"/>
  <c r="AA11" i="7" s="1"/>
  <c r="AA37" i="7" s="1"/>
  <c r="AC6" i="7"/>
  <c r="Y45" i="7"/>
  <c r="Y49" i="7"/>
  <c r="W60" i="7"/>
  <c r="W66" i="7" s="1"/>
  <c r="W70" i="7" s="1"/>
  <c r="W72" i="7" s="1"/>
  <c r="W47" i="7"/>
  <c r="W48" i="7"/>
  <c r="AG5" i="7"/>
  <c r="Y60" i="7" l="1"/>
  <c r="Y66" i="7" s="1"/>
  <c r="Y47" i="7"/>
  <c r="Y48" i="7"/>
  <c r="AE6" i="7"/>
  <c r="AC7" i="7"/>
  <c r="AC11" i="7" s="1"/>
  <c r="AC37" i="7" s="1"/>
  <c r="AA45" i="7"/>
  <c r="AA49" i="7"/>
  <c r="Y70" i="7"/>
  <c r="Y72" i="7" s="1"/>
  <c r="AA47" i="7" l="1"/>
  <c r="AA60" i="7"/>
  <c r="AA48" i="7"/>
  <c r="AC49" i="7"/>
  <c r="AC45" i="7"/>
  <c r="AE7" i="7"/>
  <c r="AE11" i="7" s="1"/>
  <c r="AE37" i="7" s="1"/>
  <c r="AG6" i="7"/>
  <c r="AG7" i="7" s="1"/>
  <c r="AG11" i="7" s="1"/>
  <c r="AG37" i="7" s="1"/>
  <c r="AG49" i="7" s="1"/>
  <c r="AA70" i="7"/>
  <c r="AA72" i="7" s="1"/>
  <c r="AG45" i="7" l="1"/>
  <c r="AE49" i="7"/>
  <c r="AE45" i="7"/>
  <c r="AC60" i="7"/>
  <c r="AC47" i="7"/>
  <c r="AC48" i="7"/>
  <c r="AG48" i="7"/>
  <c r="AG60" i="7"/>
  <c r="AG47" i="7"/>
  <c r="AC70" i="7"/>
  <c r="AC72" i="7" s="1"/>
  <c r="AE47" i="7" l="1"/>
  <c r="AE60" i="7"/>
  <c r="AE48"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14A41FF0-78B5-474E-969B-1A6B6DEC55B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<sst xmlns="http://schemas.openxmlformats.org/spreadsheetml/2006/main" count="5040" uniqueCount="2745">
  <si>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</si>
  <si>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</si>
  <si>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</si>
  <si>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</si>
  <si>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</si>
  <si>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</si>
  <si>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</si>
  <si>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</si>
  <si>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</si>
  <si>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</si>
  <si>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</si>
  <si>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</si>
  <si>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</si>
  <si>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</si>
  <si>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</si>
  <si>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</si>
  <si>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</si>
  <si>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</si>
  <si>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</si>
  <si>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</si>
  <si>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</si>
  <si>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</si>
  <si>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</si>
  <si>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</si>
  <si>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</si>
  <si>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</si>
  <si>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</si>
  <si>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</si>
  <si>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</si>
  <si>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</si>
  <si>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</si>
  <si>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</si>
  <si>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</si>
  <si>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</si>
  <si>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</si>
  <si>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</si>
  <si>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</si>
  <si>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</si>
  <si>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</si>
  <si>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</si>
  <si>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</si>
  <si>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</si>
  <si>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</si>
  <si>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</si>
  <si>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</si>
  <si>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</si>
  <si>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</si>
  <si>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</si>
  <si>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</si>
  <si>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</si>
  <si>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</si>
  <si>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</si>
  <si>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</si>
  <si>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</si>
  <si>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</si>
  <si>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</si>
  <si>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</si>
  <si>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</si>
  <si>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</si>
  <si>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</si>
  <si>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</si>
  <si>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</si>
  <si>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</si>
  <si>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</si>
  <si>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</si>
  <si>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</si>
  <si>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</si>
  <si>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</si>
  <si>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</si>
  <si>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</si>
  <si>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</si>
  <si>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</si>
  <si>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</si>
  <si>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</si>
  <si>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</si>
  <si>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</si>
  <si>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</si>
  <si>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</si>
  <si>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</si>
  <si>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</si>
  <si>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</si>
  <si>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</si>
  <si>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</si>
  <si>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</si>
  <si>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</si>
  <si>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</si>
  <si>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</si>
  <si>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</si>
  <si>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</si>
  <si>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</si>
  <si>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</si>
  <si>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</si>
  <si>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</si>
  <si>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</si>
  <si>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</si>
  <si>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</si>
  <si>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</si>
  <si>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</si>
  <si>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</si>
  <si>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</si>
  <si>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</si>
  <si>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</si>
  <si>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</si>
  <si>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</si>
  <si>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</si>
  <si>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</si>
  <si>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</si>
  <si>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</si>
  <si>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</si>
  <si>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</si>
  <si>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</si>
  <si>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</si>
  <si>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</si>
  <si>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</si>
  <si>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</si>
  <si>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</si>
  <si>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</si>
  <si>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</si>
  <si>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</si>
  <si>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</si>
  <si>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</si>
  <si>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</si>
  <si>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</si>
  <si>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</si>
  <si>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</si>
  <si>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</si>
  <si>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</si>
  <si>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</si>
  <si>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</si>
  <si>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</si>
  <si>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</si>
  <si>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</si>
  <si>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</si>
  <si>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</si>
  <si>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</si>
  <si>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</si>
  <si>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</si>
  <si>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</si>
  <si>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</si>
  <si>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</si>
  <si>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</si>
  <si>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</si>
  <si>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</si>
  <si>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</si>
  <si>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</si>
  <si>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</si>
  <si>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</si>
  <si>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</si>
  <si>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</si>
  <si>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</si>
  <si>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</si>
  <si>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</si>
  <si>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</si>
  <si>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</si>
  <si>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</si>
  <si>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</si>
  <si>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</si>
  <si>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</si>
  <si>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</si>
  <si>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</si>
  <si>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</si>
  <si>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</si>
  <si>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</si>
  <si>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</si>
  <si>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</si>
  <si>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</si>
  <si>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</si>
  <si>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</si>
  <si>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</si>
  <si>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</si>
  <si>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</si>
  <si>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</si>
  <si>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</si>
  <si>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</si>
  <si>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</si>
  <si>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</si>
  <si>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</si>
  <si>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</si>
  <si>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</si>
  <si>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</si>
  <si>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</si>
  <si>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</si>
  <si>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</si>
  <si>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</si>
  <si>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</si>
  <si>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</si>
  <si>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</si>
  <si>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</si>
  <si>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</si>
  <si>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</si>
  <si>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</si>
  <si>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</si>
  <si>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</si>
  <si>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</si>
  <si>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</si>
  <si>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</si>
  <si>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</si>
  <si>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</si>
  <si>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</si>
  <si>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</si>
  <si>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</si>
  <si>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</si>
  <si>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</si>
  <si>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</si>
  <si>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</si>
  <si>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</si>
  <si>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</si>
  <si>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</si>
  <si>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</si>
  <si>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</si>
  <si>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</si>
  <si>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</si>
  <si>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</si>
  <si>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</si>
  <si>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</si>
  <si>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</si>
  <si>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</si>
  <si>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</si>
  <si>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</si>
  <si>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</si>
  <si>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</si>
  <si>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</si>
  <si>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</si>
  <si>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</si>
  <si>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</si>
  <si>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</si>
  <si>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</si>
  <si>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</si>
  <si>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</si>
  <si>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</si>
  <si>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</si>
  <si>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</si>
  <si>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</si>
  <si>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</si>
  <si>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</si>
  <si>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</si>
  <si>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</si>
  <si>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</si>
  <si>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</si>
  <si>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</si>
  <si>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</si>
  <si>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</si>
  <si>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</si>
  <si>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</si>
  <si>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</si>
  <si>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</si>
  <si>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</si>
  <si>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</si>
  <si>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</si>
  <si>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</si>
  <si>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</si>
  <si>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</si>
  <si>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</si>
  <si>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</si>
  <si>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</si>
  <si>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</si>
  <si>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</si>
  <si>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</si>
  <si>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</si>
  <si>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</si>
  <si>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</si>
  <si>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</si>
  <si>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</si>
  <si>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</si>
  <si>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</si>
  <si>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</si>
  <si>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</si>
  <si>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</si>
  <si>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</si>
  <si>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</si>
  <si>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</si>
  <si>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</si>
  <si>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</si>
  <si>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</si>
  <si>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</si>
  <si>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</si>
  <si>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</si>
  <si>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</si>
  <si>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</si>
  <si>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</si>
  <si>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</si>
  <si>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</si>
  <si>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</si>
  <si>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</si>
  <si>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</si>
  <si>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</si>
  <si>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</si>
  <si>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</si>
  <si>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</si>
  <si>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</si>
  <si>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</si>
  <si>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</si>
  <si>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</si>
  <si>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</si>
  <si>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</si>
  <si>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</si>
  <si>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</si>
  <si>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</si>
  <si>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</si>
  <si>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</si>
  <si>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</si>
  <si>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</si>
  <si>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</si>
  <si>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</si>
  <si>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</si>
  <si>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</si>
  <si>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</si>
  <si>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</si>
  <si>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</si>
  <si>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</si>
  <si>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</si>
  <si>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</si>
  <si>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</si>
  <si>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</si>
  <si>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</si>
  <si>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</si>
  <si>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</si>
  <si>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</si>
  <si>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</si>
  <si>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</si>
  <si>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</si>
  <si>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</si>
  <si>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</si>
  <si>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</si>
  <si>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</si>
  <si>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</si>
  <si>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</si>
  <si>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</si>
  <si>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</si>
  <si>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</si>
  <si>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</si>
  <si>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</si>
  <si>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</si>
  <si>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</si>
  <si>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</si>
  <si>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</si>
  <si>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</si>
  <si>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</si>
  <si>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</si>
  <si>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</si>
  <si>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</si>
  <si>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</si>
  <si>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</si>
  <si>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</si>
  <si>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</si>
  <si>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</si>
  <si>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</si>
  <si>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</si>
  <si>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</si>
  <si>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</si>
  <si>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</si>
  <si>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</si>
  <si>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</si>
  <si>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</si>
  <si>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</si>
  <si>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</si>
  <si>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</si>
  <si>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</si>
  <si>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</si>
  <si>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</si>
  <si>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</si>
  <si>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</si>
  <si>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</si>
  <si>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</si>
  <si>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</si>
  <si>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</si>
  <si>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</si>
  <si>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</si>
  <si>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</si>
  <si>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</si>
  <si>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</si>
  <si>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</si>
  <si>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</si>
  <si>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</si>
  <si>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</si>
  <si>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</si>
  <si>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</si>
  <si>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</si>
  <si>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</si>
  <si>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</si>
  <si>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</si>
  <si>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</si>
  <si>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</si>
  <si>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</si>
  <si>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</si>
  <si>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</si>
  <si>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</si>
  <si>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</si>
  <si>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</si>
  <si>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</si>
  <si>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</si>
  <si>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</si>
  <si>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</si>
  <si>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</si>
  <si>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</si>
  <si>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</si>
  <si>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</si>
  <si>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</si>
  <si>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</si>
  <si>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</si>
  <si>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</si>
  <si>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</si>
  <si>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</si>
  <si>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</si>
  <si>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</si>
  <si>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</si>
  <si>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</si>
  <si>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</si>
  <si>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</si>
  <si>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</si>
  <si>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</si>
  <si>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</si>
  <si>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</si>
  <si>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</si>
  <si>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</si>
  <si>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</si>
  <si>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</si>
  <si>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</si>
  <si>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</si>
  <si>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</si>
  <si>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</si>
  <si>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</si>
  <si>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</si>
  <si>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</si>
  <si>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</si>
  <si>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</si>
  <si>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</si>
  <si>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</si>
  <si>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</si>
  <si>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</si>
  <si>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</si>
  <si>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</si>
  <si>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</si>
  <si>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</si>
  <si>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</si>
  <si>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</si>
  <si>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</si>
  <si>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</si>
  <si>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</si>
  <si>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</si>
  <si>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</si>
  <si>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</si>
  <si>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</si>
  <si>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</si>
  <si>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</si>
  <si>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</si>
  <si>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</si>
  <si>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</si>
  <si>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</si>
  <si>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</si>
  <si>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</si>
  <si>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</si>
  <si>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</si>
  <si>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</si>
  <si>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</si>
  <si>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</si>
  <si>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</si>
  <si>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</si>
  <si>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</si>
  <si>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</si>
  <si>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</si>
  <si>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</si>
  <si>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</si>
  <si>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</si>
  <si>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</si>
  <si>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</si>
  <si>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</si>
  <si>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</si>
  <si>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</si>
  <si>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</si>
  <si>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</si>
  <si>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</si>
  <si>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</si>
  <si>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</si>
  <si>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</si>
  <si>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</si>
  <si>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</si>
  <si>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</si>
  <si>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</si>
  <si>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</si>
  <si>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</si>
  <si>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</si>
  <si>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</si>
  <si>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</si>
  <si>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</si>
  <si>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</si>
  <si>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</si>
  <si>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</si>
  <si>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</si>
  <si>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</si>
  <si>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</si>
  <si>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</si>
  <si>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</si>
  <si>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</si>
  <si>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</si>
  <si>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</si>
  <si>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</si>
  <si>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</si>
  <si>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</si>
  <si>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</si>
  <si>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</si>
  <si>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</si>
  <si>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</si>
  <si>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</si>
  <si>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</si>
  <si>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</si>
  <si>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</si>
  <si>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</si>
  <si>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</si>
  <si>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</si>
  <si>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</si>
  <si>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</si>
  <si>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</si>
  <si>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</si>
  <si>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</si>
  <si>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</si>
  <si>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</si>
  <si>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</si>
  <si>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</si>
  <si>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</si>
  <si>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</si>
  <si>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</si>
  <si>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</si>
  <si>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</si>
  <si>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</si>
  <si>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</si>
  <si>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</si>
  <si>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</si>
  <si>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</si>
  <si>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</si>
  <si>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</si>
  <si>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</si>
  <si>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</si>
  <si>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</si>
  <si>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</si>
  <si>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</si>
  <si>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</si>
  <si>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</si>
  <si>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</si>
  <si>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</si>
  <si>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</si>
  <si>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</si>
  <si>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</si>
  <si>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</si>
  <si>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</si>
  <si>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</si>
  <si>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</si>
  <si>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</si>
  <si>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</si>
  <si>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</si>
  <si>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</si>
  <si>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</si>
  <si>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</si>
  <si>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</si>
  <si>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</si>
  <si>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</si>
  <si>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</si>
  <si>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</si>
  <si>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</si>
  <si>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</si>
  <si>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</si>
  <si>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</si>
  <si>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</si>
  <si>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</si>
  <si>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</si>
  <si>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</si>
  <si>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</si>
  <si>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</si>
  <si>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</si>
  <si>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</si>
  <si>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</si>
  <si>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</si>
  <si>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</si>
  <si>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</si>
  <si>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</si>
  <si>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</si>
  <si>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</si>
  <si>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</si>
  <si>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</si>
  <si>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</si>
  <si>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</si>
  <si>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</si>
  <si>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</si>
  <si>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</si>
  <si>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</si>
  <si>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</si>
  <si>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</si>
  <si>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</si>
  <si>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</si>
  <si>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</si>
  <si>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</si>
  <si>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</si>
  <si>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</si>
  <si>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</si>
  <si>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</si>
  <si>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</si>
  <si>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</si>
  <si>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</si>
  <si>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</si>
  <si>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</si>
  <si>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</si>
  <si>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</si>
  <si>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</si>
  <si>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</si>
  <si>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</si>
  <si>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</si>
  <si>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</si>
  <si>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</si>
  <si>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</si>
  <si>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</si>
  <si>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</si>
  <si>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</si>
  <si>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</si>
  <si>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</si>
  <si>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</si>
  <si>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</si>
  <si>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</si>
  <si>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</si>
  <si>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</si>
  <si>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</si>
  <si>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</si>
  <si>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</si>
  <si>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</si>
  <si>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</si>
  <si>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</si>
  <si>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</si>
  <si>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</si>
  <si>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</si>
  <si>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</si>
  <si>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</si>
  <si>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</si>
  <si>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</si>
  <si>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</si>
  <si>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</si>
  <si>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</si>
  <si>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</si>
  <si>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</si>
  <si>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</si>
  <si>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</si>
  <si>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</si>
  <si>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</si>
  <si>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</si>
  <si>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</si>
  <si>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</si>
  <si>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</si>
  <si>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</si>
  <si>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</si>
  <si>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</si>
  <si>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</si>
  <si>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</si>
  <si>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</si>
  <si>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</si>
  <si>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</si>
  <si>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</si>
  <si>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</si>
  <si>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</si>
  <si>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</si>
  <si>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</si>
  <si>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</si>
  <si>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</si>
  <si>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</si>
  <si>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</si>
  <si>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</si>
  <si>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</si>
  <si>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</si>
  <si>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</si>
  <si>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</si>
  <si>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</si>
  <si>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</si>
  <si>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</si>
  <si>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</si>
  <si>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</si>
  <si>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</si>
  <si>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</si>
  <si>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</si>
  <si>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</si>
  <si>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</si>
  <si>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</si>
  <si>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</si>
  <si>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</si>
  <si>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</si>
  <si>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</si>
  <si>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</si>
  <si>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</si>
  <si>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</si>
  <si>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</si>
  <si>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</si>
  <si>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</si>
  <si>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</si>
  <si>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</si>
  <si>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</si>
  <si>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</si>
  <si>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</si>
  <si>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</si>
  <si>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</si>
  <si>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</si>
  <si>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</si>
  <si>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</si>
  <si>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</si>
  <si>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</si>
  <si>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</si>
  <si>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</si>
  <si>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</si>
  <si>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</si>
  <si>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</si>
  <si>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</si>
  <si>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</si>
  <si>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</si>
  <si>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</si>
  <si>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</si>
  <si>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</si>
  <si>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</si>
  <si>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</si>
  <si>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</si>
  <si>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</si>
  <si>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</si>
  <si>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</si>
  <si>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</si>
  <si>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</si>
  <si>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</si>
  <si>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</si>
  <si>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</si>
  <si>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</si>
  <si>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</si>
  <si>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</si>
  <si>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</si>
  <si>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</si>
  <si>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</si>
  <si>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</si>
  <si>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</si>
  <si>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</si>
  <si>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</si>
  <si>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</si>
  <si>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</si>
  <si>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</si>
  <si>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</si>
  <si>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</si>
  <si>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</si>
  <si>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</si>
  <si>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</si>
  <si>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</si>
  <si>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</si>
  <si>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</si>
  <si>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</si>
  <si>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</si>
  <si>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</si>
  <si>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</si>
  <si>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</si>
  <si>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</si>
  <si>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</si>
  <si>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</si>
  <si>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</si>
  <si>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</si>
  <si>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</si>
  <si>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</si>
  <si>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</si>
  <si>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</si>
  <si>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</si>
  <si>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</si>
  <si>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</si>
  <si>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</si>
  <si>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</si>
  <si>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</si>
  <si>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</si>
  <si>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</si>
  <si>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</si>
  <si>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</si>
  <si>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</si>
  <si>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</si>
  <si>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</si>
  <si>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</si>
  <si>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</si>
  <si>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</si>
  <si>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</si>
  <si>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</si>
  <si>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</si>
  <si>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</si>
  <si>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</si>
  <si>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</si>
  <si>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</si>
  <si>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</si>
  <si>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</si>
  <si>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</si>
  <si>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</si>
  <si>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</si>
  <si>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</si>
  <si>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</si>
  <si>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</si>
  <si>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</si>
  <si>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</si>
  <si>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</si>
  <si>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</si>
  <si>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</si>
  <si>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</si>
  <si>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</si>
  <si>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</si>
  <si>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</si>
  <si>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</si>
  <si>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</si>
  <si>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</si>
  <si>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</si>
  <si>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</si>
  <si>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</si>
  <si>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</si>
  <si>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</si>
  <si>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</si>
  <si>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</si>
  <si>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</si>
  <si>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</si>
  <si>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</si>
  <si>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</si>
  <si>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</si>
  <si>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</si>
  <si>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</si>
  <si>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</si>
  <si>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</si>
  <si>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</si>
  <si>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</si>
  <si>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</si>
  <si>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</si>
  <si>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</si>
  <si>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</si>
  <si>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</si>
  <si>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</si>
  <si>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</si>
  <si>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</si>
  <si>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</si>
  <si>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</si>
  <si>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</si>
  <si>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</si>
  <si>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</si>
  <si>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</si>
  <si>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</si>
  <si>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</si>
  <si>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</si>
  <si>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</si>
  <si>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</si>
  <si>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</si>
  <si>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</si>
  <si>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</si>
  <si>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</si>
  <si>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</si>
  <si>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</si>
  <si>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</si>
  <si>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</si>
  <si>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</si>
  <si>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</si>
  <si>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</si>
  <si>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</si>
  <si>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</si>
  <si>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</si>
  <si>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</si>
  <si>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</si>
  <si>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</si>
  <si>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</si>
  <si>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</si>
  <si>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</si>
  <si>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</si>
  <si>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</si>
  <si>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</si>
  <si>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</si>
  <si>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</si>
  <si>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</si>
  <si>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</si>
  <si>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</si>
  <si>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</si>
  <si>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</si>
  <si>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</si>
  <si>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</si>
  <si>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</si>
  <si>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</si>
  <si>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</si>
  <si>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</si>
  <si>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</si>
  <si>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</si>
  <si>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</si>
  <si>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</si>
  <si>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</si>
  <si>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</si>
  <si>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</si>
  <si>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</si>
  <si>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</si>
  <si>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</si>
  <si>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</si>
  <si>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</si>
  <si>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</si>
  <si>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</si>
  <si>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</si>
  <si>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</si>
  <si>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</si>
  <si>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</si>
  <si>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</si>
  <si>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</si>
  <si>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</si>
  <si>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</si>
  <si>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</si>
  <si>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</si>
  <si>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</si>
  <si>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</si>
  <si>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</si>
  <si>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</si>
  <si>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</si>
  <si>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</si>
  <si>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</si>
  <si>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</si>
  <si>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</si>
  <si>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</si>
  <si>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</si>
  <si>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</si>
  <si>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</si>
  <si>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</si>
  <si>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</si>
  <si>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</si>
  <si>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</si>
  <si>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</si>
  <si>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</si>
  <si>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</si>
  <si>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</si>
  <si>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</si>
  <si>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</si>
  <si>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</si>
  <si>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</si>
  <si>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</si>
  <si>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</si>
  <si>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</si>
  <si>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</si>
  <si>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</si>
  <si>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</si>
  <si>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</si>
  <si>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</si>
  <si>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</si>
  <si>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</si>
  <si>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</si>
  <si>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</si>
  <si>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</si>
  <si>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</si>
  <si>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</si>
  <si>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</si>
  <si>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</si>
  <si>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</si>
  <si>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</si>
  <si>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</si>
  <si>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</si>
  <si>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</si>
  <si>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</si>
  <si>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</si>
  <si>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</si>
  <si>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</si>
  <si>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</si>
  <si>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</si>
  <si>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</si>
  <si>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</si>
  <si>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</si>
  <si>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</si>
  <si>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</si>
  <si>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</si>
  <si>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</si>
  <si>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</si>
  <si>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</si>
  <si>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</si>
  <si>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</si>
  <si>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</si>
  <si>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</si>
  <si>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</si>
  <si>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</si>
  <si>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</si>
  <si>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</si>
  <si>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</si>
  <si>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</si>
  <si>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</si>
  <si>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</si>
  <si>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</si>
  <si>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</si>
  <si>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</si>
  <si>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</si>
  <si>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</si>
  <si>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</si>
  <si>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</si>
  <si>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</si>
  <si>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</si>
  <si>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</si>
  <si>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</si>
  <si>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</si>
  <si>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</si>
  <si>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</si>
  <si>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</si>
  <si>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</si>
  <si>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</si>
  <si>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</si>
  <si>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</si>
  <si>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</si>
  <si>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</si>
  <si>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</si>
  <si>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</si>
  <si>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</si>
  <si>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</si>
  <si>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</si>
  <si>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</si>
  <si>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</si>
  <si>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</si>
  <si>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</si>
  <si>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</si>
  <si>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</si>
  <si>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</si>
  <si>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</si>
  <si>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</si>
  <si>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</si>
  <si>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</si>
  <si>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</si>
  <si>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</si>
  <si>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</si>
  <si>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</si>
  <si>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</si>
  <si>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</si>
  <si>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</si>
  <si>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</si>
  <si>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</si>
  <si>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</si>
  <si>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</si>
  <si>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</si>
  <si>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</si>
  <si>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</si>
  <si>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</si>
  <si>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</si>
  <si>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</si>
  <si>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</si>
  <si>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</si>
  <si>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</si>
  <si>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</si>
  <si>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</si>
  <si>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</si>
  <si>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</si>
  <si>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</si>
  <si>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</si>
  <si>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</si>
  <si>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</si>
  <si>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</si>
  <si>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</si>
  <si>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</si>
  <si>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</si>
  <si>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</si>
  <si>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</si>
  <si>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</si>
  <si>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</si>
  <si>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</si>
  <si>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</si>
  <si>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</si>
  <si>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</si>
  <si>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</si>
  <si>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</si>
  <si>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</si>
  <si>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</si>
  <si>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</si>
  <si>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</si>
  <si>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</si>
  <si>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</si>
  <si>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</si>
  <si>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</si>
  <si>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</si>
  <si>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</si>
  <si>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</si>
  <si>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</si>
  <si>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</si>
  <si>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</si>
  <si>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</si>
  <si>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</si>
  <si>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</si>
  <si>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</si>
  <si>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</si>
  <si>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</si>
  <si>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</si>
  <si>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</si>
  <si>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</si>
  <si>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</si>
  <si>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</si>
  <si>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</si>
  <si>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</si>
  <si>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</si>
  <si>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</si>
  <si>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</si>
  <si>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</si>
  <si>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</si>
  <si>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</si>
  <si>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</si>
  <si>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</si>
  <si>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</si>
  <si>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</si>
  <si>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</si>
  <si>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</si>
  <si>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</si>
  <si>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</si>
  <si>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</si>
  <si>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</si>
  <si>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</si>
  <si>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</si>
  <si>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</si>
  <si>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</si>
  <si>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</si>
  <si>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</si>
  <si>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</si>
  <si>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</si>
  <si>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</si>
  <si>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</si>
  <si>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</si>
  <si>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</si>
  <si>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</si>
  <si>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</si>
  <si>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</si>
  <si>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</si>
  <si>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</si>
  <si>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</si>
  <si>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</si>
  <si>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</si>
  <si>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</si>
  <si>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</si>
  <si>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</si>
  <si>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</si>
  <si>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</si>
  <si>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</si>
  <si>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</si>
  <si>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</si>
  <si>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</si>
  <si>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</si>
  <si>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</si>
  <si>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</si>
  <si>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</si>
  <si>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</si>
  <si>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</si>
  <si>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</si>
  <si>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</si>
  <si>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</si>
  <si>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</si>
  <si>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</si>
  <si>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</si>
  <si>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</si>
  <si>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</si>
  <si>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</si>
  <si>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</si>
  <si>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</si>
  <si>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</si>
  <si>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</si>
  <si>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</si>
  <si>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</si>
  <si>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</si>
  <si>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</si>
  <si>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</si>
  <si>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</si>
  <si>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</si>
  <si>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</si>
  <si>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</si>
  <si>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</si>
  <si>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</si>
  <si>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</si>
  <si>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</si>
  <si>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</si>
  <si>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</si>
  <si>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</si>
  <si>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</si>
  <si>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</si>
  <si>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</si>
  <si>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</si>
  <si>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</si>
  <si>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</si>
  <si>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</si>
  <si>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</si>
  <si>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</si>
  <si>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</si>
  <si>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</si>
  <si>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</si>
  <si>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</si>
  <si>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</si>
  <si>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</si>
  <si>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</si>
  <si>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</si>
  <si>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</si>
  <si>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</si>
  <si>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</si>
  <si>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</si>
  <si>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</si>
  <si>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</si>
  <si>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</si>
  <si>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</si>
  <si>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</si>
  <si>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</si>
  <si>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</si>
  <si>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</si>
  <si>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</si>
  <si>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</si>
  <si>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</si>
  <si>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</si>
  <si>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</si>
  <si>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</si>
  <si>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</si>
  <si>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</si>
  <si>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</si>
  <si>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</si>
  <si>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</si>
  <si>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</si>
  <si>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</si>
  <si>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</si>
  <si>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</si>
  <si>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</si>
  <si>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</si>
  <si>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</si>
  <si>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</si>
  <si>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</si>
  <si>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</si>
  <si>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</si>
  <si>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</si>
  <si>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</si>
  <si>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</si>
  <si>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</si>
  <si>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</si>
  <si>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</si>
  <si>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</si>
  <si>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</si>
  <si>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</si>
  <si>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</si>
  <si>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</si>
  <si>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</si>
  <si>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</si>
  <si>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</si>
  <si>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</si>
  <si>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</si>
  <si>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</si>
  <si>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</si>
  <si>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</si>
  <si>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</si>
  <si>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</si>
  <si>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</si>
  <si>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</si>
  <si>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</si>
  <si>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</si>
  <si>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</si>
  <si>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</si>
  <si>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</si>
  <si>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</si>
  <si>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</si>
  <si>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</si>
  <si>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</si>
  <si>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</si>
  <si>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</si>
  <si>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</si>
  <si>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</si>
  <si>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</si>
  <si>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</si>
  <si>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</si>
  <si>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</si>
  <si>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</si>
  <si>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</si>
  <si>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</si>
  <si>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</si>
  <si>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</si>
  <si>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</si>
  <si>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</si>
  <si>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</si>
  <si>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</si>
  <si>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</si>
  <si>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</si>
  <si>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</si>
  <si>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</si>
  <si>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</si>
  <si>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</si>
  <si>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</si>
  <si>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</si>
  <si>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</si>
  <si>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</si>
  <si>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</si>
  <si>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</si>
  <si>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</si>
  <si>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</si>
  <si>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</si>
  <si>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</si>
  <si>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</si>
  <si>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</si>
  <si>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</si>
  <si>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</si>
  <si>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</si>
  <si>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</si>
  <si>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</si>
  <si>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</si>
  <si>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</si>
  <si>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</si>
  <si>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</si>
  <si>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</si>
  <si>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</si>
  <si>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</si>
  <si>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</si>
  <si>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</si>
  <si>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</si>
  <si>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</si>
  <si>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</si>
  <si>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</si>
  <si>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</si>
  <si>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</si>
  <si>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</si>
  <si>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</si>
  <si>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</si>
  <si>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</si>
  <si>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</si>
  <si>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</si>
  <si>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</si>
  <si>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</si>
  <si>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</si>
  <si>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</si>
  <si>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</si>
  <si>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</si>
  <si>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</si>
  <si>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</si>
  <si>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</si>
  <si>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</si>
  <si>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</si>
  <si>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</si>
  <si>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</si>
  <si>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</si>
  <si>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</si>
  <si>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</si>
  <si>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</si>
  <si>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</si>
  <si>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</si>
  <si>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</si>
  <si>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</si>
  <si>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</si>
  <si>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</si>
  <si>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</si>
  <si>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</si>
  <si>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</si>
  <si>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</si>
  <si>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</si>
  <si>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</si>
  <si>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</si>
  <si>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</si>
  <si>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</si>
  <si>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</si>
  <si>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</si>
  <si>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</si>
  <si>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</si>
  <si>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</si>
  <si>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</si>
  <si>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</si>
  <si>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</si>
  <si>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</si>
  <si>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</si>
  <si>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</si>
  <si>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</si>
  <si>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</si>
  <si>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</si>
  <si>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</si>
  <si>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</si>
  <si>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</si>
  <si>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</si>
  <si>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</si>
  <si>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</si>
  <si>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</si>
  <si>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</si>
  <si>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</si>
  <si>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</si>
  <si>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</si>
  <si>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</si>
  <si>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</si>
  <si>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</si>
  <si>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</si>
  <si>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</si>
  <si>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</si>
  <si>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</si>
  <si>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</si>
  <si>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</si>
  <si>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</si>
  <si>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</si>
  <si>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</si>
  <si>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</si>
  <si>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</si>
  <si>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</si>
  <si>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</si>
  <si>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</si>
  <si>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</si>
  <si>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</si>
  <si>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</si>
  <si>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</si>
  <si>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</si>
  <si>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</si>
  <si>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</si>
  <si>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</si>
  <si>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</si>
  <si>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</si>
  <si>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</si>
  <si>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</si>
  <si>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</si>
  <si>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</si>
  <si>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</si>
  <si>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</si>
  <si>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</si>
  <si>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</si>
  <si>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</si>
  <si>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</si>
  <si>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</si>
  <si>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</si>
  <si>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</si>
  <si>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</si>
  <si>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</si>
  <si>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</si>
  <si>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</si>
  <si>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</si>
  <si>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</si>
  <si>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</si>
  <si>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</si>
  <si>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</si>
  <si>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</si>
  <si>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</si>
  <si>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</si>
  <si>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</si>
  <si>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</si>
  <si>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</si>
  <si>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</si>
  <si>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</si>
  <si>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</si>
  <si>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</si>
  <si>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</si>
  <si>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</si>
  <si>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</si>
  <si>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</si>
  <si>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</si>
  <si>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</si>
  <si>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</si>
  <si>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</si>
  <si>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</si>
  <si>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</si>
  <si>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</si>
  <si>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</si>
  <si>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</si>
  <si>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</si>
  <si>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</si>
  <si>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</si>
  <si>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</si>
  <si>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</si>
  <si>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</si>
  <si>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</si>
  <si>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</si>
  <si>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</si>
  <si>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</si>
  <si>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</si>
  <si>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</si>
  <si>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</si>
  <si>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</si>
  <si>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</si>
  <si>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</si>
  <si>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</si>
  <si>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</si>
  <si>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</si>
  <si>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</si>
  <si>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</si>
  <si>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</si>
  <si>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</si>
  <si>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</si>
  <si>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</si>
  <si>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</si>
  <si>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</si>
  <si>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</si>
  <si>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</si>
  <si>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</si>
  <si>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</si>
  <si>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</si>
  <si>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</si>
  <si>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</si>
  <si>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</si>
  <si>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</si>
  <si>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</si>
  <si>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</si>
  <si>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</si>
  <si>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</si>
  <si>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</si>
  <si>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</si>
  <si>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</si>
  <si>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</si>
  <si>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</si>
  <si>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</si>
  <si>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</si>
  <si>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</si>
  <si>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</si>
  <si>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</si>
  <si>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</si>
  <si>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</si>
  <si>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</si>
  <si>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</si>
  <si>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</si>
  <si>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</si>
  <si>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</si>
  <si>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</si>
  <si>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</si>
  <si>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</si>
  <si>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</si>
  <si>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</si>
  <si>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</si>
  <si>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</si>
  <si>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</si>
  <si>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</si>
  <si>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</si>
  <si>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</si>
  <si>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</si>
  <si>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</si>
  <si>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</si>
  <si>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</si>
  <si>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</si>
  <si>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</si>
  <si>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</si>
  <si>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</si>
  <si>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</si>
  <si>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</si>
  <si>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</si>
  <si>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</si>
  <si>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</si>
  <si>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</si>
  <si>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</si>
  <si>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</si>
  <si>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</si>
  <si>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</si>
  <si>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</si>
  <si>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</si>
  <si>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</si>
  <si>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</si>
  <si>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</si>
  <si>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</si>
  <si>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</si>
  <si>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</si>
  <si>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</si>
  <si>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</si>
  <si>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</si>
  <si>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</si>
  <si>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</si>
  <si>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</si>
  <si>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</si>
  <si>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</si>
  <si>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</si>
  <si>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</si>
  <si>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</si>
  <si>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</si>
  <si>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</si>
  <si>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</si>
  <si>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</si>
  <si>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</si>
  <si>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</si>
  <si>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</si>
  <si>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</si>
  <si>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</si>
  <si>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</si>
  <si>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</si>
  <si>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</si>
  <si>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</si>
  <si>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</si>
  <si>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</si>
  <si>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</si>
  <si>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</si>
  <si>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</si>
  <si>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</si>
  <si>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</si>
  <si>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</si>
  <si>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</si>
  <si>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</si>
  <si>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</si>
  <si>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</si>
  <si>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</si>
  <si>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</si>
  <si>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</si>
  <si>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</si>
  <si>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</si>
  <si>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</si>
  <si>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</si>
  <si>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</si>
  <si>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</si>
  <si>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</si>
  <si>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</si>
  <si>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</si>
  <si>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</si>
  <si>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</si>
  <si>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</si>
  <si>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</si>
  <si>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</si>
  <si>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</si>
  <si>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</si>
  <si>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</si>
  <si>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</si>
  <si>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</si>
  <si>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</si>
  <si>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</si>
  <si>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</si>
  <si>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</si>
  <si>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</si>
  <si>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</si>
  <si>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</si>
  <si>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</si>
  <si>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</si>
  <si>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</si>
  <si>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</si>
  <si>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</si>
  <si>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</si>
  <si>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</si>
  <si>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</si>
  <si>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</si>
  <si>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</si>
  <si>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</si>
  <si>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</si>
  <si>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</si>
  <si>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</si>
  <si>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</si>
  <si>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</si>
  <si>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</si>
  <si>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</si>
  <si>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</si>
  <si>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</si>
  <si>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</si>
  <si>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</si>
  <si>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</si>
  <si>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</si>
  <si>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</si>
  <si>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</si>
  <si>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</si>
  <si>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</si>
  <si>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</si>
  <si>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</si>
  <si>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</si>
  <si>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</si>
  <si>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</si>
  <si>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</si>
  <si>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</si>
  <si>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</si>
  <si>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</si>
  <si>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</si>
  <si>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</si>
  <si>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</si>
  <si>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</si>
  <si>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</si>
  <si>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</si>
  <si>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</si>
  <si>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</si>
  <si>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</si>
  <si>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</si>
  <si>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</si>
  <si>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</si>
  <si>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</si>
  <si>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</si>
  <si>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</si>
  <si>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</si>
  <si>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</si>
  <si>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</si>
  <si>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</si>
  <si>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</si>
  <si>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</si>
  <si>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</si>
  <si>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</si>
  <si>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</si>
  <si>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</si>
  <si>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</si>
  <si>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</si>
  <si>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</si>
  <si>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</si>
  <si>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</si>
  <si>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</si>
  <si>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</si>
  <si>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</si>
  <si>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</si>
  <si>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</si>
  <si>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</si>
  <si>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</si>
  <si>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</si>
  <si>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</si>
  <si>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</si>
  <si>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</si>
  <si>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</si>
  <si>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</si>
  <si>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</si>
  <si>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</si>
  <si>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</si>
  <si>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</si>
  <si>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</si>
  <si>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</si>
  <si>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</si>
  <si>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</si>
  <si>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</si>
  <si>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</si>
  <si>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</si>
  <si>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</si>
  <si>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</si>
  <si>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</si>
  <si>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</si>
  <si>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</si>
  <si>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</si>
  <si>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</si>
  <si>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</si>
  <si>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</si>
  <si>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</si>
  <si>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</si>
  <si>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</si>
  <si>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</si>
  <si>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</si>
  <si>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</si>
  <si>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</si>
  <si>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</si>
  <si>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</si>
  <si>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</si>
  <si>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</si>
  <si>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</si>
  <si>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</si>
  <si>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</si>
  <si>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</si>
  <si>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</si>
  <si>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</si>
  <si>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</si>
  <si>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</si>
  <si>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</si>
  <si>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</si>
  <si>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</si>
  <si>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</si>
  <si>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</si>
  <si>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</si>
  <si>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</si>
  <si>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</si>
  <si>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</si>
  <si>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</si>
  <si>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</si>
  <si>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</si>
  <si>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</si>
  <si>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</si>
  <si>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</si>
  <si>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</si>
  <si>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</si>
  <si>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</si>
  <si>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</si>
  <si>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</si>
  <si>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</si>
  <si>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</si>
  <si>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</si>
  <si>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</si>
  <si>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</si>
  <si>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</si>
  <si>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</si>
  <si>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</si>
  <si>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</si>
  <si>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</si>
  <si>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</si>
  <si>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</si>
  <si>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</si>
  <si>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</si>
  <si>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</si>
  <si>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</si>
  <si>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</si>
  <si>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</si>
  <si>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</si>
  <si>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</si>
  <si>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</si>
  <si>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</si>
  <si>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</si>
  <si>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</si>
  <si>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</si>
  <si>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</si>
  <si>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</si>
  <si>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</si>
  <si>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</si>
  <si>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</si>
  <si>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</si>
  <si>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</si>
  <si>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</si>
  <si>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</si>
  <si>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</si>
  <si>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</si>
  <si>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</si>
  <si>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</si>
  <si>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</si>
  <si>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</si>
  <si>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</si>
  <si>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</si>
  <si>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</si>
  <si>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</si>
  <si>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</si>
  <si>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</si>
  <si>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</si>
  <si>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</si>
  <si>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</si>
  <si>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</si>
  <si>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</si>
  <si>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</si>
  <si>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</si>
  <si>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</si>
  <si>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</si>
  <si>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</si>
  <si>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</si>
  <si>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</si>
  <si>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</si>
  <si>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</si>
  <si>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</si>
  <si>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</si>
  <si>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</si>
  <si>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</si>
  <si>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</si>
  <si>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</si>
  <si>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</si>
  <si>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</si>
  <si>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</si>
  <si>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</si>
  <si>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</si>
  <si>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</si>
  <si>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</si>
  <si>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</si>
  <si>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</si>
  <si>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</si>
  <si>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</si>
  <si>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</si>
  <si>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</si>
  <si>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</si>
  <si>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</si>
  <si>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</si>
  <si>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</si>
  <si>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</si>
  <si>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</si>
  <si>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</si>
  <si>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</si>
  <si>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</si>
  <si>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</si>
  <si>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</si>
  <si>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</si>
  <si>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</si>
  <si>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</si>
  <si>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</si>
  <si>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</si>
  <si>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</si>
  <si>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</si>
  <si>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</si>
  <si>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</si>
  <si>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</si>
  <si>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</si>
  <si>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</si>
  <si>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</si>
  <si>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</si>
  <si>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</si>
  <si>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</si>
  <si>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</si>
  <si>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</si>
  <si>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</si>
  <si>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</si>
  <si>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</si>
  <si>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</si>
  <si>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</si>
  <si>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</si>
  <si>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</si>
  <si>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</si>
  <si>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</si>
  <si>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</si>
  <si>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</si>
  <si>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</si>
  <si>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</si>
  <si>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</si>
  <si>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</si>
  <si>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</si>
  <si>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</si>
  <si>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</si>
  <si>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</si>
  <si>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</si>
  <si>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</si>
  <si>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</si>
  <si>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</si>
  <si>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</si>
  <si>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</si>
  <si>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</si>
  <si>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</si>
  <si>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</si>
  <si>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</si>
  <si>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</si>
  <si>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</si>
  <si>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</si>
  <si>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</si>
  <si>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</si>
  <si>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</si>
  <si>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</si>
  <si>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</si>
  <si>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</si>
  <si>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</si>
  <si>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</si>
  <si>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</si>
  <si>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</si>
  <si>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</si>
  <si>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</si>
  <si>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</si>
  <si>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</si>
  <si>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</si>
  <si>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</si>
  <si>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</si>
  <si>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</si>
  <si>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</si>
  <si>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</si>
  <si>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</si>
  <si>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</si>
  <si>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</si>
  <si>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</si>
  <si>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</si>
  <si>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</si>
  <si>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</si>
  <si>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</si>
  <si>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</si>
  <si>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</si>
  <si>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</si>
  <si>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</si>
  <si>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</si>
  <si>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</si>
  <si>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</si>
  <si>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</si>
  <si>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</si>
  <si>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</si>
  <si>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</si>
  <si>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</si>
  <si>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</si>
  <si>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</si>
  <si>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</si>
  <si>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</si>
  <si>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</si>
  <si>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</si>
  <si>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</si>
  <si>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</si>
  <si>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</si>
  <si>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</si>
  <si>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</si>
  <si>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</si>
  <si>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</si>
  <si>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</si>
  <si>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</si>
  <si>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</si>
  <si>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</si>
  <si>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</si>
  <si>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</si>
  <si>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</si>
  <si>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</si>
  <si>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</si>
  <si>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</si>
  <si>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</si>
  <si>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</si>
  <si>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</si>
  <si>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</si>
  <si>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</si>
  <si>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</si>
  <si>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</si>
  <si>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</si>
  <si>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</si>
  <si>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</si>
  <si>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</si>
  <si>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</si>
  <si>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</si>
  <si>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</si>
  <si>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</si>
  <si>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</si>
  <si>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</si>
  <si>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</si>
  <si>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</si>
  <si>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</si>
  <si>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</si>
  <si>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</si>
  <si>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</si>
  <si>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</si>
  <si>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</si>
  <si>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</si>
  <si>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</si>
  <si>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</si>
  <si>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</si>
  <si>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</si>
  <si>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</si>
  <si>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</si>
  <si>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</si>
  <si>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</si>
  <si>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</si>
  <si>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</si>
  <si>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</si>
  <si>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</si>
  <si>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</si>
  <si>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</si>
  <si>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</si>
  <si>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</si>
  <si>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</si>
  <si>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</si>
  <si>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</si>
  <si>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</si>
  <si>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</si>
  <si>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</si>
  <si>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</si>
  <si>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</si>
  <si>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</si>
  <si>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</si>
  <si>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</si>
  <si>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</si>
  <si>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</si>
  <si>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</si>
  <si>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</si>
  <si>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</si>
  <si>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</si>
  <si>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</si>
  <si>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</si>
  <si>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</si>
  <si>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</si>
  <si>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</si>
  <si>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</si>
  <si>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</si>
  <si>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</si>
  <si>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</si>
  <si>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</si>
  <si>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</si>
  <si>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</si>
  <si>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</si>
  <si>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</si>
  <si>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</si>
  <si>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</si>
  <si>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</si>
  <si>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</si>
  <si>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</si>
  <si>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</si>
  <si>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</si>
  <si>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</si>
  <si>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</si>
  <si>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</si>
  <si>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</si>
  <si>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</si>
  <si>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</si>
  <si>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</si>
  <si>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</si>
  <si>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</si>
  <si>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</si>
  <si>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</si>
  <si>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</si>
  <si>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</si>
  <si>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</si>
  <si>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</si>
  <si>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</si>
  <si>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</si>
  <si>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</si>
  <si>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</si>
  <si>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</si>
  <si>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</si>
  <si>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</si>
  <si>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</si>
  <si>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</si>
  <si>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</si>
  <si>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</si>
  <si>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</si>
  <si>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</si>
  <si>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</si>
  <si>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</si>
  <si>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</si>
  <si>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</si>
  <si>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</si>
  <si>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</si>
  <si>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</si>
  <si>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</si>
  <si>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</si>
  <si>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</si>
  <si>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</si>
  <si>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</si>
  <si>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</si>
  <si>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</si>
  <si>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</si>
  <si>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</si>
  <si>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</si>
  <si>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</si>
  <si>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</si>
  <si>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</si>
  <si>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</si>
  <si>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</si>
  <si>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</si>
  <si>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</si>
  <si>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</si>
  <si>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</si>
  <si>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</si>
  <si>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</si>
  <si>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</si>
  <si>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</si>
  <si>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</si>
  <si>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</si>
  <si>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</si>
  <si>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</si>
  <si>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</si>
  <si>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</si>
  <si>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</si>
  <si>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</si>
  <si>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</si>
  <si>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</si>
  <si>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</si>
  <si>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</si>
  <si>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</si>
  <si>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</si>
  <si>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</si>
  <si>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</si>
  <si>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</si>
  <si>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</si>
  <si>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</si>
  <si>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</si>
  <si>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</si>
  <si>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</si>
  <si>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</si>
  <si>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</si>
  <si>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</si>
  <si>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</si>
  <si>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</si>
  <si>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</si>
  <si>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</si>
  <si>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</si>
  <si>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</si>
  <si>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</si>
  <si>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</si>
  <si>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</si>
  <si>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</si>
  <si>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</si>
  <si>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</si>
  <si>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</si>
  <si>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</si>
  <si>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</si>
  <si>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</si>
  <si>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</si>
  <si>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</si>
  <si>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</si>
  <si>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</si>
  <si>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</si>
  <si>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</si>
  <si>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</si>
  <si>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</si>
  <si>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</si>
  <si>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</si>
  <si>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</si>
  <si>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</si>
  <si>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</si>
  <si>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</si>
  <si>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</si>
  <si>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</si>
  <si>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</si>
  <si>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</si>
  <si>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</si>
  <si>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</si>
  <si>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</si>
  <si>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</si>
  <si>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</si>
  <si>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</si>
  <si>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</si>
  <si>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</si>
  <si>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</si>
  <si>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</si>
  <si>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</si>
  <si>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</si>
  <si>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</si>
  <si>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</si>
  <si>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</si>
  <si>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</si>
  <si>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</si>
  <si>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</si>
  <si>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</si>
  <si>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</si>
  <si>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</si>
  <si>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</si>
  <si>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</si>
  <si>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</si>
  <si>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</si>
  <si>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</si>
  <si>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</si>
  <si>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</si>
  <si>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</si>
  <si>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</si>
  <si>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</si>
  <si>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</si>
  <si>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</si>
  <si>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</si>
  <si>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</si>
  <si>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</si>
  <si>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</si>
  <si>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</si>
  <si>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</si>
  <si>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</si>
  <si>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</si>
  <si>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</si>
  <si>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</si>
  <si>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</si>
  <si>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</si>
  <si>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</si>
  <si>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</si>
  <si>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</si>
  <si>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</si>
  <si>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</si>
  <si>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</si>
  <si>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</si>
  <si>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</si>
  <si>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</si>
  <si>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</si>
  <si>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</si>
  <si>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</si>
  <si>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</si>
  <si>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</si>
  <si>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</si>
  <si>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</si>
  <si>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</si>
  <si>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</si>
  <si>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</si>
  <si>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</si>
  <si>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</si>
  <si>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</si>
  <si>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</si>
  <si>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</si>
  <si>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</si>
  <si>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</si>
  <si>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</si>
  <si>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</si>
  <si>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</si>
  <si>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</si>
  <si>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</si>
  <si>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</si>
  <si>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</si>
  <si>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</si>
  <si>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</si>
  <si>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</si>
  <si>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</si>
  <si>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</si>
  <si>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</si>
  <si>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</si>
  <si>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</si>
  <si>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</si>
  <si>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</si>
  <si>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</si>
  <si>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</si>
  <si>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</si>
  <si>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</si>
  <si>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</si>
  <si>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</si>
  <si>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</si>
  <si>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</si>
  <si>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</si>
  <si>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</si>
  <si>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</si>
  <si>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</si>
  <si>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</si>
  <si>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</si>
  <si>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</si>
  <si>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</si>
  <si>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</si>
  <si>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</si>
  <si>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</si>
  <si>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</si>
  <si>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</si>
  <si>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</si>
  <si>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</si>
  <si>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</si>
  <si>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</si>
  <si>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</si>
  <si>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</si>
  <si>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</si>
  <si>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</si>
  <si>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</si>
  <si>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</si>
  <si>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</si>
  <si>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</si>
  <si>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</si>
  <si>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</si>
  <si>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</si>
  <si>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</si>
  <si>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</si>
  <si>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</si>
  <si>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</si>
  <si>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</si>
  <si>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</si>
  <si>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</si>
  <si>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</si>
  <si>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</si>
  <si>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</si>
  <si>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</si>
  <si>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</si>
  <si>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</si>
  <si>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</si>
  <si>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</si>
  <si>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</si>
  <si>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</si>
  <si>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</si>
  <si>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</si>
  <si>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</si>
  <si>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</si>
  <si>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</si>
  <si>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</si>
  <si>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</si>
  <si>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</si>
  <si>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</si>
  <si>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</si>
  <si>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</si>
  <si>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</si>
  <si>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</si>
  <si>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</si>
  <si>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</si>
  <si>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</si>
  <si>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</si>
  <si>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</si>
  <si>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</si>
  <si>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</si>
  <si>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</si>
  <si>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</si>
  <si>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</si>
  <si>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</si>
  <si>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</si>
  <si>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</si>
  <si>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</si>
  <si>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</si>
  <si>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</si>
  <si>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</si>
  <si>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</si>
  <si>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</si>
  <si>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</si>
  <si>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</si>
  <si>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</si>
  <si>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</si>
  <si>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</si>
  <si>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</si>
  <si>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</si>
  <si>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</si>
  <si>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</si>
  <si>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</si>
  <si>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</si>
  <si>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</si>
  <si>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</si>
  <si>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</si>
  <si>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</si>
  <si>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</si>
  <si>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</si>
  <si>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</si>
  <si>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</si>
  <si>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</si>
  <si>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</si>
  <si>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</si>
  <si>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</si>
  <si>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</si>
  <si>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</si>
  <si>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</si>
  <si>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</si>
  <si>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</si>
  <si>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</si>
  <si>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</si>
  <si>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</si>
  <si>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</si>
  <si>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</si>
  <si>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</si>
  <si>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</si>
  <si>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</si>
  <si>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</si>
  <si>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</si>
  <si>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</si>
  <si>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</si>
  <si>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</si>
  <si>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</si>
  <si>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</si>
  <si>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</si>
  <si>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</si>
  <si>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</si>
  <si>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</si>
  <si>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</si>
  <si>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</si>
  <si>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</si>
  <si>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</si>
  <si>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</si>
  <si>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</si>
  <si>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</si>
  <si>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</si>
  <si>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</si>
  <si>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</si>
  <si>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</si>
  <si>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</si>
  <si>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</si>
  <si>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</si>
  <si>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</si>
  <si>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</si>
  <si>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</si>
  <si>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</si>
  <si>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</si>
  <si>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</si>
  <si>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</si>
  <si>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</si>
  <si>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</si>
  <si>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</si>
  <si>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</si>
  <si>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</si>
  <si>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</si>
  <si>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</si>
  <si>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</si>
  <si>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</si>
  <si>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</si>
  <si>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</si>
  <si>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</si>
  <si>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</si>
  <si>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</si>
  <si>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</si>
  <si>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</si>
  <si>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</si>
  <si>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</si>
  <si>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</si>
  <si>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</si>
  <si>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</si>
  <si>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</si>
  <si>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</si>
  <si>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</si>
  <si>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</si>
  <si>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</si>
  <si>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</si>
  <si>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</si>
  <si>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</si>
  <si>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</si>
  <si>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</si>
  <si>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</si>
  <si>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</si>
  <si>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</si>
  <si>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</si>
  <si>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</si>
  <si>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</si>
  <si>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</si>
  <si>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</si>
  <si>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</si>
  <si>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</si>
  <si>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</si>
  <si>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</si>
  <si>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</si>
  <si>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</si>
  <si>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</si>
  <si>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</si>
  <si>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</si>
  <si>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</si>
  <si>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</si>
  <si>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</si>
  <si>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</si>
  <si>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</si>
  <si>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</si>
  <si>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</si>
  <si>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</si>
  <si>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</si>
  <si>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</si>
  <si>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</si>
  <si>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</si>
  <si>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</si>
  <si>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</si>
  <si>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</si>
  <si>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</si>
  <si>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</si>
  <si>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</si>
  <si>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</si>
  <si>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</si>
  <si>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</si>
  <si>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</si>
  <si>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</si>
  <si>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</si>
  <si>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</si>
  <si>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</si>
  <si>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</si>
  <si>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</si>
  <si>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</si>
  <si>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</si>
  <si>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</si>
  <si>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</si>
  <si>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</si>
  <si>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</si>
  <si>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</si>
  <si>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</si>
  <si>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</si>
  <si>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</si>
  <si>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</si>
  <si>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</si>
  <si>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</si>
  <si>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</si>
  <si>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</si>
  <si>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</si>
  <si>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</si>
  <si>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</si>
  <si>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</si>
  <si>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</si>
  <si>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</si>
  <si>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</si>
  <si>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</si>
  <si>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</si>
  <si>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</si>
  <si>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</si>
  <si>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</si>
  <si>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</si>
  <si>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</si>
  <si>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</si>
  <si>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</si>
  <si>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</si>
  <si>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</si>
  <si>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</si>
  <si>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</si>
  <si>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</si>
  <si>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</si>
  <si>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</si>
  <si>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</si>
  <si>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</si>
  <si>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</si>
  <si>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</si>
  <si>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</si>
  <si>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</si>
  <si>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</si>
  <si>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</si>
  <si>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</si>
  <si>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</si>
  <si>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</si>
  <si>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</si>
  <si>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</si>
  <si>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</si>
  <si>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</si>
  <si>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</si>
  <si>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</si>
  <si>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</si>
  <si>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</si>
  <si>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</si>
  <si>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</si>
  <si>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</si>
  <si>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</si>
  <si>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</si>
  <si>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</si>
  <si>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</si>
  <si>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</si>
  <si>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</si>
  <si>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</si>
  <si>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</si>
  <si>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</si>
  <si>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</si>
  <si>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</si>
  <si>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</si>
  <si>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</si>
  <si>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</si>
  <si>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</si>
  <si>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</si>
  <si>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</si>
  <si>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</si>
  <si>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</si>
  <si>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</si>
  <si>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</si>
  <si>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</si>
  <si>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</si>
  <si>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</si>
  <si>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</si>
  <si>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</si>
  <si>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</si>
  <si>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</si>
  <si>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</si>
  <si>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</si>
  <si>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</si>
  <si>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</si>
  <si>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</si>
  <si>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</si>
  <si>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</si>
  <si>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</si>
  <si>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</si>
  <si>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</si>
  <si>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</si>
  <si>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</si>
  <si>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</si>
  <si>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</si>
  <si>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</si>
  <si>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</si>
  <si>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</si>
  <si>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</si>
  <si>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</si>
  <si>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</si>
  <si>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</si>
  <si>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</si>
  <si>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</si>
  <si>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</si>
  <si>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</si>
  <si>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</si>
  <si>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</si>
  <si>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</si>
  <si>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</si>
  <si>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</si>
  <si>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</si>
  <si>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</si>
  <si>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</si>
  <si>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</si>
  <si>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</si>
  <si>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</si>
  <si>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</si>
  <si>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</si>
  <si>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</si>
  <si>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</si>
  <si>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</si>
  <si>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</si>
  <si>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</si>
  <si>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</si>
  <si>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</si>
  <si>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</si>
  <si>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</si>
  <si>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</si>
  <si>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</si>
  <si>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</si>
  <si>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</si>
  <si>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</si>
  <si>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</si>
  <si>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</si>
  <si>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</si>
  <si>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</si>
  <si>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</si>
  <si>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</si>
  <si>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</si>
  <si>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</si>
  <si>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</si>
  <si>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</si>
  <si>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</si>
  <si>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</si>
  <si>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</si>
  <si>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</si>
  <si>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</si>
  <si>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</si>
  <si>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</si>
  <si>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</si>
  <si>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</si>
  <si>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</si>
  <si>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</si>
  <si>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</si>
  <si>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</si>
  <si>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</si>
  <si>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</si>
  <si>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</si>
  <si>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</si>
  <si>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</si>
  <si>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Need to Provide</t>
  </si>
  <si>
    <t>Not Applicable</t>
  </si>
  <si>
    <t>OAHS Shiloh TC LP</t>
  </si>
  <si>
    <t>Shiloh Arms</t>
  </si>
  <si>
    <t>Jay Reinhard</t>
  </si>
  <si>
    <t>President of the Sole Member of the AGP</t>
  </si>
  <si>
    <t xml:space="preserve">      Riverside</t>
  </si>
  <si>
    <t>Sacramento Housing and Redevelopment Agency</t>
  </si>
  <si>
    <t>Christine Weichert</t>
  </si>
  <si>
    <t>801 12th Street, 4th Floor</t>
  </si>
  <si>
    <t>cweichert@shra.org</t>
  </si>
  <si>
    <t>4009 23rd Avenue</t>
  </si>
  <si>
    <t>06067004402</t>
  </si>
  <si>
    <t>020-0283-020-0000</t>
  </si>
  <si>
    <t>40%/60%</t>
  </si>
  <si>
    <t>980 Sylvan Ave.</t>
  </si>
  <si>
    <t>Englewood Cliffs</t>
  </si>
  <si>
    <t>David Baruch</t>
  </si>
  <si>
    <t>davidb@OAHSaffordable.com</t>
  </si>
  <si>
    <t>NJ</t>
  </si>
  <si>
    <t>william@kingdomdevelopment.net</t>
  </si>
  <si>
    <t>Kingdom Vivante, LLC</t>
  </si>
  <si>
    <t>Managing GP</t>
  </si>
  <si>
    <t>6451 Box Springs Blvd.</t>
  </si>
  <si>
    <t>CA</t>
  </si>
  <si>
    <t>William Leach</t>
  </si>
  <si>
    <t>Kingdom Development, Inc.</t>
  </si>
  <si>
    <t>OAHS Shiloh AGP LLC</t>
  </si>
  <si>
    <t>Administrative GP</t>
  </si>
  <si>
    <t>07632</t>
  </si>
  <si>
    <t>Orbach Affordable Housing Solutions, LLC</t>
  </si>
  <si>
    <t>General Partner, Consultant</t>
  </si>
  <si>
    <t>Orbach Affordable Housing Solutions LLC</t>
  </si>
  <si>
    <t xml:space="preserve">980 Sylvan Avenue </t>
  </si>
  <si>
    <t>Englewood Ciffs, New Jersey, 07632</t>
  </si>
  <si>
    <t>mpence@ipaoc.com</t>
  </si>
  <si>
    <t xml:space="preserve">Irwin Partners Architects </t>
  </si>
  <si>
    <t>245 Fischer Avenue, Suite B2</t>
  </si>
  <si>
    <t xml:space="preserve">Costa Mesa, CA 92626 </t>
  </si>
  <si>
    <t>Melisa Pence</t>
  </si>
  <si>
    <t>ayowell@nixonpeabody.com</t>
  </si>
  <si>
    <t>kyle.weaver@paragonconstructionco.com</t>
  </si>
  <si>
    <t>Nixon Peabody</t>
  </si>
  <si>
    <t xml:space="preserve">Tower 46, 55 West 46th Street </t>
  </si>
  <si>
    <t>New York, NY 10036-4120</t>
  </si>
  <si>
    <t>Aaron Yowell</t>
  </si>
  <si>
    <t xml:space="preserve">Paragon Construction Company </t>
  </si>
  <si>
    <t>2124 East Geneva Driver</t>
  </si>
  <si>
    <t>Tempe, AZ 85282</t>
  </si>
  <si>
    <t xml:space="preserve">Kyle Weaver </t>
  </si>
  <si>
    <t>Cohn Reznick</t>
  </si>
  <si>
    <t>1301 6th Avenue</t>
  </si>
  <si>
    <t>New York, NY 10019</t>
  </si>
  <si>
    <t>Mike Bisson</t>
  </si>
  <si>
    <t>PNC Bank</t>
  </si>
  <si>
    <t>Costas Paleologos</t>
  </si>
  <si>
    <t xml:space="preserve">6451 Box Springs Blvd </t>
  </si>
  <si>
    <t>Riverside CA 92507</t>
  </si>
  <si>
    <t xml:space="preserve">William Leach </t>
  </si>
  <si>
    <t>Gill Group</t>
  </si>
  <si>
    <t>512 N. One Mile Road</t>
  </si>
  <si>
    <t>Dexter, MO 63841</t>
  </si>
  <si>
    <t xml:space="preserve">Todd Gill </t>
  </si>
  <si>
    <t xml:space="preserve">Nova Group, GBC </t>
  </si>
  <si>
    <t>5320 W, 23rd Street</t>
  </si>
  <si>
    <t>St.Louis Park, NM 55416</t>
  </si>
  <si>
    <t xml:space="preserve">Kristin Tate </t>
  </si>
  <si>
    <t xml:space="preserve">Sacramento Housing &amp; Redevelopment Agency </t>
  </si>
  <si>
    <t>801 12th Street</t>
  </si>
  <si>
    <t>Sacramento, CA, 95814</t>
  </si>
  <si>
    <t>Whitney Hinton</t>
  </si>
  <si>
    <t>Orbach Affordable Management, LLC</t>
  </si>
  <si>
    <t>mike.bisson@cohnreznick.com</t>
  </si>
  <si>
    <t>todd.gill@gillgroup.com</t>
  </si>
  <si>
    <t>kristin.tate@novagroupgbc.com</t>
  </si>
  <si>
    <t>wbonner@shra.org</t>
  </si>
  <si>
    <t>Appraisal</t>
  </si>
  <si>
    <t>53 years</t>
  </si>
  <si>
    <t>The subject property is an existing LIHTC residential project that consists of a one-story garden-style and 17 two-story walk-up or townhouse style buildings containing 106 units and an accessory building.</t>
  </si>
  <si>
    <t>OAHS Shiloh Apartments LP</t>
  </si>
  <si>
    <t>Meyer Orbach</t>
  </si>
  <si>
    <t>co-general partner</t>
  </si>
  <si>
    <t>980 Sylvan Ave</t>
  </si>
  <si>
    <t>Englewood Cliffs, NJ 07632</t>
  </si>
  <si>
    <t xml:space="preserve">N/A </t>
  </si>
  <si>
    <t>RR - 1600000</t>
  </si>
  <si>
    <t>One or Two Story Garden</t>
  </si>
  <si>
    <t xml:space="preserve">one-story garden-style and 17 two-story walk-up or townhouse buildings containing 
106 units and an accessory building.  </t>
  </si>
  <si>
    <t>High Density Multifamily Residential</t>
  </si>
  <si>
    <t>RD-20, Density 20 units per acre</t>
  </si>
  <si>
    <t>SHRA (Home Funds)</t>
  </si>
  <si>
    <t>Short Term Work Credit</t>
  </si>
  <si>
    <t>SHRA (HOME Funds)</t>
  </si>
  <si>
    <t>Deferred Costs and Fees</t>
  </si>
  <si>
    <t>Fixed</t>
  </si>
  <si>
    <t>2115 J Street, Suite 201</t>
  </si>
  <si>
    <t>Sacramento, CA 95816</t>
  </si>
  <si>
    <t>Sacramento, CA 95814</t>
  </si>
  <si>
    <t>Englewood Cliffs, NJ 0732</t>
  </si>
  <si>
    <t>Equity, LIHTC</t>
  </si>
  <si>
    <t>Loan, Seller Carryback</t>
  </si>
  <si>
    <t xml:space="preserve">Net operating income </t>
  </si>
  <si>
    <t>Loan, Bridge</t>
  </si>
  <si>
    <t>Deferred Fee</t>
  </si>
  <si>
    <t>HUD Rent Schedule</t>
  </si>
  <si>
    <t>HUD Section 8</t>
  </si>
  <si>
    <t>(office expenses)</t>
  </si>
  <si>
    <t>(Benefits and taxes)</t>
  </si>
  <si>
    <t>Other (Bond Issuer Fee):</t>
  </si>
  <si>
    <t>Project-based vouchers (PBVs)</t>
  </si>
  <si>
    <t>Other: (PNA)</t>
  </si>
  <si>
    <t>Other: (Escrow)</t>
  </si>
  <si>
    <t>Other: (Prepaid Insurance)</t>
  </si>
  <si>
    <t>Other: (Admin Fees)</t>
  </si>
  <si>
    <t>Other: (Equity Bridge Loan)</t>
  </si>
  <si>
    <t>SHRA Home Funds</t>
  </si>
  <si>
    <t>1 bedroom</t>
  </si>
  <si>
    <t>2 bedroom</t>
  </si>
  <si>
    <t>3 bedroom</t>
  </si>
  <si>
    <t>4 bedroom</t>
  </si>
  <si>
    <t>Other: (Additional Reserves)</t>
  </si>
  <si>
    <t>August</t>
  </si>
  <si>
    <t>Seller Carryback Note (Reserves)</t>
  </si>
  <si>
    <t>Deferred Costs</t>
  </si>
  <si>
    <t xml:space="preserve">PNC Bank </t>
  </si>
  <si>
    <t>Secured by Leasehold Interest</t>
  </si>
  <si>
    <t>Above residual receipts line for cash flow</t>
  </si>
  <si>
    <t>costas.paleologos@pnc.com</t>
  </si>
  <si>
    <t>2 International Place, Floor 29</t>
  </si>
  <si>
    <t>Boston, MA 02110</t>
  </si>
  <si>
    <t>2 International Place, 29th Floor</t>
  </si>
  <si>
    <t>Boston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</si>
</sst>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6" xfId="0" quotePrefix="1" applyFont="1" applyFill="1" applyBorder="1" applyAlignment="1" applyProtection="1">
      <alignment horizontal="left"/>
      <protection locked="0"/>
    </xf>
    <xf numFmtId="0" fontId="0" fillId="5" borderId="0" xfId="0" quotePrefix="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67" workbookViewId="0">
      <selection activeCell="F386" sqref="F386:AK38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108" sqref="H10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1586</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48309548</v>
      </c>
      <c r="I3" s="1105"/>
    </row>
    <row r="4" spans="1:13" s="1051" customFormat="1" ht="20.100000000000001" customHeight="1">
      <c r="B4" s="1094"/>
      <c r="D4" s="1108"/>
      <c r="F4" s="1092" t="s">
        <v>1992</v>
      </c>
      <c r="G4" s="1091" t="s">
        <v>1991</v>
      </c>
      <c r="H4" s="1093">
        <f>I18</f>
        <v>9824448.9767156858</v>
      </c>
      <c r="I4" s="1095"/>
      <c r="K4" s="1055"/>
    </row>
    <row r="5" spans="1:13" s="1051" customFormat="1" ht="20.100000000000001" customHeight="1" thickBot="1">
      <c r="B5" s="1096"/>
      <c r="C5" s="1097"/>
      <c r="D5" s="1109"/>
      <c r="E5" s="1098"/>
      <c r="F5" s="1109" t="s">
        <v>1942</v>
      </c>
      <c r="G5" s="1110"/>
      <c r="H5" s="1106">
        <f>IFERROR(H3/H4,0)</f>
        <v>4.9172781205842124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1940</v>
      </c>
      <c r="C8" s="2660"/>
      <c r="D8" s="2660"/>
      <c r="E8" s="2661"/>
      <c r="G8" s="2662" t="s">
        <v>1941</v>
      </c>
      <c r="H8" s="2663"/>
      <c r="I8" s="2664"/>
      <c r="K8" s="1057"/>
    </row>
    <row r="9" spans="1:13" ht="15" customHeight="1">
      <c r="A9" s="1046"/>
      <c r="B9" s="2657" t="s">
        <v>1974</v>
      </c>
      <c r="C9" s="2657"/>
      <c r="D9" s="2657"/>
      <c r="E9" s="1059">
        <f>G33</f>
        <v>6750000</v>
      </c>
      <c r="G9" s="2665" t="s">
        <v>1972</v>
      </c>
      <c r="H9" s="2665"/>
      <c r="I9" s="1060">
        <f>SUMIF(Application!M554:M565,"Loan, Tax-Exempt",Application!AM554:AM565)</f>
        <v>9685965</v>
      </c>
      <c r="K9" s="1061"/>
      <c r="M9" s="1062"/>
    </row>
    <row r="10" spans="1:13" ht="15" customHeight="1" thickBot="1">
      <c r="A10" s="1046"/>
      <c r="B10" s="2657" t="s">
        <v>1975</v>
      </c>
      <c r="C10" s="2657"/>
      <c r="D10" s="2657"/>
      <c r="E10" s="1060">
        <f>G47</f>
        <v>30124548</v>
      </c>
      <c r="G10" s="2669" t="s">
        <v>1943</v>
      </c>
      <c r="H10" s="2669"/>
      <c r="I10" s="1140">
        <f>'Basis &amp; Credits'!AB78</f>
        <v>0</v>
      </c>
      <c r="M10" s="1062"/>
    </row>
    <row r="11" spans="1:13" ht="15" customHeight="1">
      <c r="A11" s="1046"/>
      <c r="B11" s="2673" t="s">
        <v>2263</v>
      </c>
      <c r="C11" s="2674"/>
      <c r="D11" s="2675"/>
      <c r="E11" s="1060">
        <f>SUM(E12,E13)</f>
        <v>1040000</v>
      </c>
      <c r="G11" s="2672" t="s">
        <v>1983</v>
      </c>
      <c r="H11" s="2672"/>
      <c r="I11" s="1139">
        <f>I9+I10</f>
        <v>9685965</v>
      </c>
      <c r="M11" s="1062"/>
    </row>
    <row r="12" spans="1:13" ht="15" customHeight="1">
      <c r="A12" s="1063"/>
      <c r="B12" s="2658" t="s">
        <v>2265</v>
      </c>
      <c r="C12" s="2658"/>
      <c r="D12" s="2658"/>
      <c r="E12" s="1165">
        <f>G56</f>
        <v>0</v>
      </c>
      <c r="M12" s="1062"/>
    </row>
    <row r="13" spans="1:13" ht="15" customHeight="1">
      <c r="A13" s="1049"/>
      <c r="B13" s="2658" t="s">
        <v>2266</v>
      </c>
      <c r="C13" s="2658"/>
      <c r="D13" s="2658"/>
      <c r="E13" s="1165">
        <f>G65</f>
        <v>1040000</v>
      </c>
      <c r="G13" s="2662" t="s">
        <v>2006</v>
      </c>
      <c r="H13" s="2663"/>
      <c r="I13" s="2664"/>
      <c r="M13" s="1062"/>
    </row>
    <row r="14" spans="1:13" ht="15" customHeight="1">
      <c r="A14" s="1049"/>
      <c r="B14" s="2673" t="s">
        <v>2264</v>
      </c>
      <c r="C14" s="2674"/>
      <c r="D14" s="2675"/>
      <c r="E14" s="1167">
        <f>MAX(E15,E16)+E17</f>
        <v>10395000</v>
      </c>
      <c r="G14" s="2665" t="s">
        <v>139</v>
      </c>
      <c r="H14" s="2665"/>
      <c r="I14" s="1064">
        <f>15%*(AND(G120="Yes",G122&lt;&gt;""))</f>
        <v>0</v>
      </c>
      <c r="M14" s="1062"/>
    </row>
    <row r="15" spans="1:13" ht="15" customHeight="1">
      <c r="A15" s="1049"/>
      <c r="B15" s="2676" t="s">
        <v>2270</v>
      </c>
      <c r="C15" s="2677"/>
      <c r="D15" s="2678"/>
      <c r="E15" s="1165">
        <f>G80</f>
        <v>0</v>
      </c>
      <c r="G15" s="1137" t="s">
        <v>1984</v>
      </c>
      <c r="H15" s="1137"/>
      <c r="I15" s="1064">
        <f>IF(Application!AJ1032&gt;0,10%,IF(Application!AJ1036&gt;0,5%,0))</f>
        <v>0</v>
      </c>
      <c r="M15" s="1062"/>
    </row>
    <row r="16" spans="1:13" ht="15" customHeight="1">
      <c r="A16" s="1049"/>
      <c r="B16" s="2676" t="s">
        <v>2269</v>
      </c>
      <c r="C16" s="2677"/>
      <c r="D16" s="2678"/>
      <c r="E16" s="1165">
        <f>G90</f>
        <v>2700000</v>
      </c>
      <c r="G16" s="2665" t="s">
        <v>1985</v>
      </c>
      <c r="H16" s="2665"/>
      <c r="I16" s="1064">
        <f>G132</f>
        <v>-1.4297385620915032E-2</v>
      </c>
    </row>
    <row r="17" spans="1:21" ht="15" customHeight="1" thickBot="1">
      <c r="A17" s="1049"/>
      <c r="B17" s="2676" t="s">
        <v>2268</v>
      </c>
      <c r="C17" s="2677"/>
      <c r="D17" s="2678"/>
      <c r="E17" s="1165">
        <f>G115</f>
        <v>7695000</v>
      </c>
      <c r="G17" s="2665" t="s">
        <v>2278</v>
      </c>
      <c r="H17" s="2665"/>
      <c r="I17" s="1064">
        <f>IF(AND(G139="Yes",OR(G136,G137)),IF(G143&gt;15%,15%,G143),0)</f>
        <v>0</v>
      </c>
    </row>
    <row r="18" spans="1:21" ht="15" customHeight="1">
      <c r="A18" s="1046"/>
      <c r="B18" s="2668" t="s">
        <v>1939</v>
      </c>
      <c r="C18" s="2668"/>
      <c r="D18" s="2668"/>
      <c r="E18" s="1111">
        <f>SUM(E9:E11,E14)</f>
        <v>48309548</v>
      </c>
      <c r="G18" s="1138" t="s">
        <v>1973</v>
      </c>
      <c r="H18" s="1138"/>
      <c r="I18" s="1112">
        <f>I11-((I11*I14)+(I11*I15)+(I11*I16)+(I11*I17))</f>
        <v>9824448.9767156858</v>
      </c>
      <c r="M18" s="1065">
        <f>SUM(Cdlac[Quantity])</f>
        <v>105</v>
      </c>
      <c r="O18" s="1084" t="s">
        <v>583</v>
      </c>
      <c r="P18" s="1044">
        <f>MATCH(Application!T189,Application!CB160:CB217,0)</f>
        <v>34</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675.6</v>
      </c>
      <c r="Q20" s="1164"/>
      <c r="R20" s="1065" cm="1">
        <f t="array" ref="R20">IF(Cdlac[[#This Row],[Quantity]]&gt;0,INDEX(HudFmrs,$P$18,Cdlac[[#This Row],[Bedrooms]]+1),"")</f>
        <v>1679</v>
      </c>
      <c r="S20" s="1065">
        <f>IF(Cdlac[[#This Row],[Quantity]]&gt;0,MAX(0,Cdlac[[#This Row],[Fair Market Rent]]-IF(AND($G$37,$G$38,$G$38&lt;&gt;"",NOT(Cdlac[[#This Row],[Federal]]),Cdlac[[#This Row],[Preservation Rent]]&lt;&gt;""),Cdlac[[#This Row],[Preservation Rent]],Cdlac[[#This Row],[Restricted Rent]])),"")</f>
        <v>1003.4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5</v>
      </c>
      <c r="N21" s="1071">
        <f>Application!AC719</f>
        <v>0.6</v>
      </c>
      <c r="O21" s="1071">
        <f>IF(Cdlac[[#This Row],[Quantity]]&gt;0,IF(Cdlac[[#This Row],[Federal]],30%,IF(AND(OR(NOT($G$38),$G$38=""),$G$43),40%,Cdlac[[#This Row],[iAMI]])),"")</f>
        <v>0.3</v>
      </c>
      <c r="P21" s="1065" cm="1">
        <f t="array" ref="P21">IF(Cdlac[[#This Row],[Quantity]]&gt;0,INDEX(TcacRents,$P$18,Cdlac[[#This Row],[Bedrooms]]+1)*Cdlac[[#This Row],[AMI]],"")</f>
        <v>675.6</v>
      </c>
      <c r="Q21" s="1164"/>
      <c r="R21" s="1065" cm="1">
        <f t="array" ref="R21">IF(Cdlac[[#This Row],[Quantity]]&gt;0,INDEX(HudFmrs,$P$18,Cdlac[[#This Row],[Bedrooms]]+1),"")</f>
        <v>1679</v>
      </c>
      <c r="S21" s="1065">
        <f>IF(Cdlac[[#This Row],[Quantity]]&gt;0,MAX(0,Cdlac[[#This Row],[Fair Market Rent]]-IF(AND($G$37,$G$38,$G$38&lt;&gt;"",NOT(Cdlac[[#This Row],[Federal]]),Cdlac[[#This Row],[Preservation Rent]]&lt;&gt;""),Cdlac[[#This Row],[Preservation Rent]],Cdlac[[#This Row],[Restricted Rent]])),"")</f>
        <v>1003.4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6" t="s">
        <v>1987</v>
      </c>
      <c r="D22" s="2666" t="s">
        <v>1988</v>
      </c>
      <c r="E22" s="2666" t="s">
        <v>1989</v>
      </c>
      <c r="F22" s="2666" t="s">
        <v>2609</v>
      </c>
      <c r="G22" s="2666" t="s">
        <v>1986</v>
      </c>
      <c r="H22" s="1070"/>
      <c r="I22" s="1069"/>
      <c r="L22" s="1044">
        <f>IFERROR(MIN(4,MATCH(Application!B720,UnitSizes,0)-1),"")</f>
        <v>1</v>
      </c>
      <c r="M22" s="1065">
        <f>Application!G720</f>
        <v>9</v>
      </c>
      <c r="N22" s="1071">
        <f>Application!AC720</f>
        <v>0.3</v>
      </c>
      <c r="O22" s="1071">
        <f>IF(Cdlac[[#This Row],[Quantity]]&gt;0,IF(Cdlac[[#This Row],[Federal]],30%,IF(AND(OR(NOT($G$38),$G$38=""),$G$43),40%,Cdlac[[#This Row],[iAMI]])),"")</f>
        <v>0.3</v>
      </c>
      <c r="P22" s="1065" cm="1">
        <f t="array" ref="P22">IF(Cdlac[[#This Row],[Quantity]]&gt;0,INDEX(TcacRents,$P$18,Cdlac[[#This Row],[Bedrooms]]+1)*Cdlac[[#This Row],[AMI]],"")</f>
        <v>723.6</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1053.4000000000001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7"/>
      <c r="D23" s="2667"/>
      <c r="E23" s="2667"/>
      <c r="F23" s="2667"/>
      <c r="G23" s="2667"/>
      <c r="H23" s="1070"/>
      <c r="I23" s="1069"/>
      <c r="L23" s="1044">
        <f>IFERROR(MIN(4,MATCH(Application!B721,UnitSizes,0)-1),"")</f>
        <v>1</v>
      </c>
      <c r="M23" s="1065">
        <f>Application!G721</f>
        <v>9</v>
      </c>
      <c r="N23" s="1071">
        <f>Application!AC721</f>
        <v>0.6</v>
      </c>
      <c r="O23" s="1071">
        <f>IF(Cdlac[[#This Row],[Quantity]]&gt;0,IF(Cdlac[[#This Row],[Federal]],30%,IF(AND(OR(NOT($G$38),$G$38=""),$G$43),40%,Cdlac[[#This Row],[iAMI]])),"")</f>
        <v>0.3</v>
      </c>
      <c r="P23" s="1065" cm="1">
        <f t="array" ref="P23">IF(Cdlac[[#This Row],[Quantity]]&gt;0,INDEX(TcacRents,$P$18,Cdlac[[#This Row],[Bedrooms]]+1)*Cdlac[[#This Row],[AMI]],"")</f>
        <v>723.6</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1053.4000000000001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10</v>
      </c>
      <c r="F24" s="1072">
        <f>E24</f>
        <v>10</v>
      </c>
      <c r="G24" s="1072">
        <f>D24*F24</f>
        <v>9</v>
      </c>
      <c r="L24" s="1044">
        <f>IFERROR(MIN(4,MATCH(Application!B722,UnitSizes,0)-1),"")</f>
        <v>2</v>
      </c>
      <c r="M24" s="1065">
        <f>Application!G722</f>
        <v>14</v>
      </c>
      <c r="N24" s="1071">
        <f>Application!AC722</f>
        <v>0.3</v>
      </c>
      <c r="O24" s="1071">
        <f>IF(Cdlac[[#This Row],[Quantity]]&gt;0,IF(Cdlac[[#This Row],[Federal]],30%,IF(AND(OR(NOT($G$38),$G$38=""),$G$43),40%,Cdlac[[#This Row],[iAMI]])),"")</f>
        <v>0.3</v>
      </c>
      <c r="P24" s="1065" cm="1">
        <f t="array" ref="P24">IF(Cdlac[[#This Row],[Quantity]]&gt;0,INDEX(TcacRents,$P$18,Cdlac[[#This Row],[Bedrooms]]+1)*Cdlac[[#This Row],[AMI]],"")</f>
        <v>868.19999999999993</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1337.8000000000002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18</v>
      </c>
      <c r="F25" s="1072">
        <f>E25</f>
        <v>18</v>
      </c>
      <c r="G25" s="1072">
        <f>D25*F25</f>
        <v>18</v>
      </c>
      <c r="L25" s="1044">
        <f>IFERROR(MIN(4,MATCH(Application!B723,UnitSizes,0)-1),"")</f>
        <v>2</v>
      </c>
      <c r="M25" s="1065">
        <f>Application!G723</f>
        <v>13</v>
      </c>
      <c r="N25" s="1071">
        <f>Application!AC723</f>
        <v>0.6</v>
      </c>
      <c r="O25" s="1071">
        <f>IF(Cdlac[[#This Row],[Quantity]]&gt;0,IF(Cdlac[[#This Row],[Federal]],30%,IF(AND(OR(NOT($G$38),$G$38=""),$G$43),40%,Cdlac[[#This Row],[iAMI]])),"")</f>
        <v>0.3</v>
      </c>
      <c r="P25" s="1065" cm="1">
        <f t="array" ref="P25">IF(Cdlac[[#This Row],[Quantity]]&gt;0,INDEX(TcacRents,$P$18,Cdlac[[#This Row],[Bedrooms]]+1)*Cdlac[[#This Row],[AMI]],"")</f>
        <v>868.19999999999993</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1337.8000000000002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27</v>
      </c>
      <c r="F26" s="1075">
        <f>SUM(E26:E28)-SUM(F27:F28)</f>
        <v>38</v>
      </c>
      <c r="G26" s="1072">
        <f>D26*F26</f>
        <v>47.5</v>
      </c>
      <c r="H26" s="1074"/>
      <c r="I26" s="1074"/>
      <c r="L26" s="1044">
        <f>IFERROR(MIN(4,MATCH(Application!B724,UnitSizes,0)-1),"")</f>
        <v>3</v>
      </c>
      <c r="M26" s="1065">
        <f>Application!G724</f>
        <v>21</v>
      </c>
      <c r="N26" s="1071">
        <f>Application!AC724</f>
        <v>0.3</v>
      </c>
      <c r="O26" s="1071">
        <f>IF(Cdlac[[#This Row],[Quantity]]&gt;0,IF(Cdlac[[#This Row],[Federal]],30%,IF(AND(OR(NOT($G$38),$G$38=""),$G$43),40%,Cdlac[[#This Row],[iAMI]])),"")</f>
        <v>0.3</v>
      </c>
      <c r="P26" s="1065" cm="1">
        <f t="array" ref="P26">IF(Cdlac[[#This Row],[Quantity]]&gt;0,INDEX(TcacRents,$P$18,Cdlac[[#This Row],[Bedrooms]]+1)*Cdlac[[#This Row],[AMI]],"")</f>
        <v>1002.5999999999999</v>
      </c>
      <c r="Q26" s="1164"/>
      <c r="R26" s="1065" cm="1">
        <f t="array" ref="R26">IF(Cdlac[[#This Row],[Quantity]]&gt;0,INDEX(HudFmrs,$P$18,Cdlac[[#This Row],[Bedrooms]]+1),"")</f>
        <v>2992</v>
      </c>
      <c r="S26" s="1065">
        <f>IF(Cdlac[[#This Row],[Quantity]]&gt;0,MAX(0,Cdlac[[#This Row],[Fair Market Rent]]-IF(AND($G$37,$G$38,$G$38&lt;&gt;"",NOT(Cdlac[[#This Row],[Federal]]),Cdlac[[#This Row],[Preservation Rent]]&lt;&gt;""),Cdlac[[#This Row],[Preservation Rent]],Cdlac[[#This Row],[Restricted Rent]])),"")</f>
        <v>1989.4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42</v>
      </c>
      <c r="F27" s="1075">
        <f>MIN(E27,ROUNDDOWN(E29*30%,0))</f>
        <v>31</v>
      </c>
      <c r="G27" s="1072">
        <f>D27*F27</f>
        <v>46.5</v>
      </c>
      <c r="H27" s="1074"/>
      <c r="I27" s="1074"/>
      <c r="L27" s="1044">
        <f>IFERROR(MIN(4,MATCH(Application!B725,UnitSizes,0)-1),"")</f>
        <v>3</v>
      </c>
      <c r="M27" s="1065">
        <f>Application!G725</f>
        <v>21</v>
      </c>
      <c r="N27" s="1071">
        <f>Application!AC725</f>
        <v>0.6</v>
      </c>
      <c r="O27" s="1071">
        <f>IF(Cdlac[[#This Row],[Quantity]]&gt;0,IF(Cdlac[[#This Row],[Federal]],30%,IF(AND(OR(NOT($G$38),$G$38=""),$G$43),40%,Cdlac[[#This Row],[iAMI]])),"")</f>
        <v>0.3</v>
      </c>
      <c r="P27" s="1065" cm="1">
        <f t="array" ref="P27">IF(Cdlac[[#This Row],[Quantity]]&gt;0,INDEX(TcacRents,$P$18,Cdlac[[#This Row],[Bedrooms]]+1)*Cdlac[[#This Row],[AMI]],"")</f>
        <v>1002.5999999999999</v>
      </c>
      <c r="Q27" s="1164"/>
      <c r="R27" s="1065" cm="1">
        <f t="array" ref="R27">IF(Cdlac[[#This Row],[Quantity]]&gt;0,INDEX(HudFmrs,$P$18,Cdlac[[#This Row],[Bedrooms]]+1),"")</f>
        <v>2992</v>
      </c>
      <c r="S27" s="1065">
        <f>IF(Cdlac[[#This Row],[Quantity]]&gt;0,MAX(0,Cdlac[[#This Row],[Fair Market Rent]]-IF(AND($G$37,$G$38,$G$38&lt;&gt;"",NOT(Cdlac[[#This Row],[Federal]]),Cdlac[[#This Row],[Preservation Rent]]&lt;&gt;""),Cdlac[[#This Row],[Preservation Rent]],Cdlac[[#This Row],[Restricted Rent]])),"")</f>
        <v>1989.4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8</v>
      </c>
      <c r="F28" s="1086">
        <f>MIN(E28,ROUNDDOWN(E29*10%,0))</f>
        <v>8</v>
      </c>
      <c r="G28" s="1088">
        <f>D28*F28</f>
        <v>14</v>
      </c>
      <c r="H28" s="1074"/>
      <c r="I28" s="1074"/>
      <c r="L28" s="1044">
        <f>IFERROR(MIN(4,MATCH(Application!B726,UnitSizes,0)-1),"")</f>
        <v>4</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1119</v>
      </c>
      <c r="Q28" s="1164"/>
      <c r="R28" s="1065" cm="1">
        <f t="array" ref="R28">IF(Cdlac[[#This Row],[Quantity]]&gt;0,INDEX(HudFmrs,$P$18,Cdlac[[#This Row],[Bedrooms]]+1),"")</f>
        <v>3455</v>
      </c>
      <c r="S28" s="1065">
        <f>IF(Cdlac[[#This Row],[Quantity]]&gt;0,MAX(0,Cdlac[[#This Row],[Fair Market Rent]]-IF(AND($G$37,$G$38,$G$38&lt;&gt;"",NOT(Cdlac[[#This Row],[Federal]]),Cdlac[[#This Row],[Preservation Rent]]&lt;&gt;""),Cdlac[[#This Row],[Preservation Rent]],Cdlac[[#This Row],[Restricted Rent]])),"")</f>
        <v>2336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0" t="s">
        <v>1587</v>
      </c>
      <c r="D29" s="2681"/>
      <c r="E29" s="1089">
        <f>SUM(E24:E28)</f>
        <v>105</v>
      </c>
      <c r="F29" s="1089">
        <f>SUM(F24:F28)</f>
        <v>105</v>
      </c>
      <c r="G29" s="1090">
        <f>SUMPRODUCT(D24:D28,F24:F28)</f>
        <v>135</v>
      </c>
      <c r="H29" s="1074"/>
      <c r="I29" s="1074"/>
      <c r="L29" s="1044">
        <f>IFERROR(MIN(4,MATCH(Application!B727,UnitSizes,0)-1),"")</f>
        <v>4</v>
      </c>
      <c r="M29" s="1065">
        <f>Application!G727</f>
        <v>4</v>
      </c>
      <c r="N29" s="1071">
        <f>Application!AC727</f>
        <v>0.6</v>
      </c>
      <c r="O29" s="1071">
        <f>IF(Cdlac[[#This Row],[Quantity]]&gt;0,IF(Cdlac[[#This Row],[Federal]],30%,IF(AND(OR(NOT($G$38),$G$38=""),$G$43),40%,Cdlac[[#This Row],[iAMI]])),"")</f>
        <v>0.3</v>
      </c>
      <c r="P29" s="1065" cm="1">
        <f t="array" ref="P29">IF(Cdlac[[#This Row],[Quantity]]&gt;0,INDEX(TcacRents,$P$18,Cdlac[[#This Row],[Bedrooms]]+1)*Cdlac[[#This Row],[AMI]],"")</f>
        <v>1119</v>
      </c>
      <c r="Q29" s="1164"/>
      <c r="R29" s="1065" cm="1">
        <f t="array" ref="R29">IF(Cdlac[[#This Row],[Quantity]]&gt;0,INDEX(HudFmrs,$P$18,Cdlac[[#This Row],[Bedrooms]]+1),"")</f>
        <v>3455</v>
      </c>
      <c r="S29" s="1065">
        <f>IF(Cdlac[[#This Row],[Quantity]]&gt;0,MAX(0,Cdlac[[#This Row],[Fair Market Rent]]-IF(AND($G$37,$G$38,$G$38&lt;&gt;"",NOT(Cdlac[[#This Row],[Federal]]),Cdlac[[#This Row],[Preservation Rent]]&lt;&gt;""),Cdlac[[#This Row],[Preservation Rent]],Cdlac[[#This Row],[Restricted Rent]])),"")</f>
        <v>2336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6750000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167358.6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30124548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53</v>
      </c>
    </row>
    <row r="61" spans="2:21" ht="15" customHeight="1">
      <c r="E61" s="1117" t="s">
        <v>1995</v>
      </c>
      <c r="G61" s="1079">
        <f>ROUNDDOWN(E29*50%,0)</f>
        <v>52</v>
      </c>
    </row>
    <row r="62" spans="2:21" ht="15" customHeight="1">
      <c r="E62" s="1117"/>
      <c r="G62" s="1079"/>
    </row>
    <row r="63" spans="2:21" ht="15" customHeight="1">
      <c r="E63" s="1117" t="s">
        <v>1955</v>
      </c>
      <c r="G63" s="1114">
        <f>MIN(G60:G61)</f>
        <v>52</v>
      </c>
    </row>
    <row r="64" spans="2:21" ht="15" customHeight="1">
      <c r="E64" s="1117" t="s">
        <v>1945</v>
      </c>
      <c r="F64" s="1113" t="s">
        <v>1993</v>
      </c>
      <c r="G64" s="1124">
        <v>20000</v>
      </c>
    </row>
    <row r="65" spans="2:14" ht="15" customHeight="1">
      <c r="E65" s="1118" t="s">
        <v>1977</v>
      </c>
      <c r="F65" s="1046"/>
      <c r="G65" s="1123">
        <f>G63*G64</f>
        <v>1040000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3" t="s">
        <v>1970</v>
      </c>
      <c r="M72" s="2654"/>
      <c r="N72" s="1131">
        <v>30000</v>
      </c>
    </row>
    <row r="73" spans="2:14" ht="15" customHeight="1">
      <c r="C73" s="2655" t="s">
        <v>2262</v>
      </c>
      <c r="D73" s="2655"/>
      <c r="E73" s="2655"/>
      <c r="F73" s="2655"/>
      <c r="G73" s="1043" t="s">
        <v>670</v>
      </c>
      <c r="L73" s="2670" t="s">
        <v>1938</v>
      </c>
      <c r="M73" s="2671"/>
      <c r="N73" s="1132">
        <v>20000</v>
      </c>
    </row>
    <row r="74" spans="2:14" ht="15" customHeight="1" thickBot="1">
      <c r="C74" s="2655"/>
      <c r="D74" s="2655"/>
      <c r="E74" s="2655"/>
      <c r="F74" s="2655"/>
      <c r="L74" s="2645" t="s">
        <v>1971</v>
      </c>
      <c r="M74" s="2646"/>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135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135</v>
      </c>
    </row>
    <row r="89" spans="2:9" ht="15" customHeight="1">
      <c r="E89" s="1084" t="s">
        <v>1945</v>
      </c>
      <c r="F89" s="1113" t="s">
        <v>1993</v>
      </c>
      <c r="G89" s="1050">
        <v>20000</v>
      </c>
    </row>
    <row r="90" spans="2:9" ht="15" customHeight="1">
      <c r="E90" s="1118" t="s">
        <v>2271</v>
      </c>
      <c r="F90" s="1046"/>
      <c r="G90" s="1123">
        <f>G86*G89*G88</f>
        <v>2700000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135</v>
      </c>
    </row>
    <row r="97" spans="2:14" ht="15" customHeight="1">
      <c r="E97" s="1118" t="s">
        <v>1962</v>
      </c>
      <c r="F97" s="1046"/>
      <c r="G97" s="1123">
        <f>G94*G95*G96</f>
        <v>3240000</v>
      </c>
      <c r="L97" s="1127" t="str">
        <f>'Points System'!H638</f>
        <v>(i)</v>
      </c>
      <c r="M97" s="2651" t="s">
        <v>1406</v>
      </c>
      <c r="N97" s="2652"/>
    </row>
    <row r="98" spans="2:14" ht="15" customHeight="1">
      <c r="C98" s="1077"/>
      <c r="G98" s="1114"/>
      <c r="L98" s="1128" t="str">
        <f>'Points System'!H650</f>
        <v>(ii)</v>
      </c>
      <c r="M98" s="2647" t="s">
        <v>1957</v>
      </c>
      <c r="N98" s="2648"/>
    </row>
    <row r="99" spans="2:14" ht="15" customHeight="1">
      <c r="E99" s="1084" t="s">
        <v>1998</v>
      </c>
      <c r="G99" s="1126">
        <f>COUNTIFS(L97:L104,"(i)")</f>
        <v>2</v>
      </c>
      <c r="L99" s="1128" t="str">
        <f>'Points System'!H685</f>
        <v>(ii)</v>
      </c>
      <c r="M99" s="2647" t="s">
        <v>1958</v>
      </c>
      <c r="N99" s="2648"/>
    </row>
    <row r="100" spans="2:14" ht="15" customHeight="1">
      <c r="E100" s="1084" t="s">
        <v>1945</v>
      </c>
      <c r="F100" s="1113" t="s">
        <v>1993</v>
      </c>
      <c r="G100" s="1124">
        <v>4000</v>
      </c>
      <c r="L100" s="1128" t="str">
        <f>IF(OR('Points System'!H709="(ii)",'Points System'!H709="(i)"),"(i)","N/A")</f>
        <v>(i)</v>
      </c>
      <c r="M100" s="2647" t="s">
        <v>1959</v>
      </c>
      <c r="N100" s="2648"/>
    </row>
    <row r="101" spans="2:14" ht="15" customHeight="1">
      <c r="E101" s="1118" t="s">
        <v>1963</v>
      </c>
      <c r="F101" s="1046"/>
      <c r="G101" s="1123">
        <f>G96*G99*G100</f>
        <v>1080000</v>
      </c>
      <c r="L101" s="1129" t="str">
        <f>'Points System'!H723</f>
        <v>N/A</v>
      </c>
      <c r="M101" s="2647" t="s">
        <v>1432</v>
      </c>
      <c r="N101" s="2648"/>
    </row>
    <row r="102" spans="2:14" ht="15" customHeight="1">
      <c r="L102" s="1128" t="str">
        <f>'Points System'!H735</f>
        <v>N/A</v>
      </c>
      <c r="M102" s="2647" t="s">
        <v>1960</v>
      </c>
      <c r="N102" s="2648"/>
    </row>
    <row r="103" spans="2:14" ht="15" customHeight="1">
      <c r="C103" s="1080" t="s">
        <v>1965</v>
      </c>
      <c r="L103" s="1128" t="str">
        <f>'Points System'!H751</f>
        <v>(ii)</v>
      </c>
      <c r="M103" s="2647" t="s">
        <v>1961</v>
      </c>
      <c r="N103" s="2648"/>
    </row>
    <row r="104" spans="2:14" ht="15" customHeight="1" thickBot="1">
      <c r="C104" s="1077" t="s">
        <v>1966</v>
      </c>
      <c r="G104" s="1043"/>
      <c r="L104" s="1130" t="str">
        <f>'Points System'!H763</f>
        <v>(ii)</v>
      </c>
      <c r="M104" s="2649" t="s">
        <v>1435</v>
      </c>
      <c r="N104" s="265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135</v>
      </c>
    </row>
    <row r="112" spans="2:14" ht="15" customHeight="1">
      <c r="E112" s="1084" t="s">
        <v>1945</v>
      </c>
      <c r="F112" s="1113" t="s">
        <v>1993</v>
      </c>
      <c r="G112" s="1124">
        <v>25000</v>
      </c>
    </row>
    <row r="113" spans="2:9" ht="15" customHeight="1">
      <c r="E113" s="1118" t="s">
        <v>1964</v>
      </c>
      <c r="F113" s="1046"/>
      <c r="G113" s="1123">
        <f>G109*G112*G96</f>
        <v>3375000</v>
      </c>
    </row>
    <row r="114" spans="2:9" ht="15" customHeight="1">
      <c r="C114" s="1077"/>
      <c r="E114" s="1077"/>
    </row>
    <row r="115" spans="2:9" ht="15" customHeight="1">
      <c r="E115" s="1118" t="s">
        <v>2272</v>
      </c>
      <c r="G115" s="1123">
        <f>G113+G101+G97</f>
        <v>7695000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2227</v>
      </c>
      <c r="D119" s="2682"/>
      <c r="E119" s="2682"/>
      <c r="F119" s="2682"/>
    </row>
    <row r="120" spans="2:9" ht="15" customHeight="1">
      <c r="C120" s="2682"/>
      <c r="D120" s="2682"/>
      <c r="E120" s="2682"/>
      <c r="F120" s="2682"/>
      <c r="G120" s="1043"/>
    </row>
    <row r="121" spans="2:9" ht="15" customHeight="1"/>
    <row r="122" spans="2:9" ht="15" customHeight="1">
      <c r="C122" s="1044" t="s">
        <v>2229</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Sacramento</v>
      </c>
    </row>
    <row r="129" spans="2:9">
      <c r="E129" s="1084"/>
      <c r="G129" s="1078"/>
    </row>
    <row r="130" spans="2:9">
      <c r="E130" s="1084" t="str">
        <f>"2-Bedroom "&amp;G128&amp;" County Basis Limit"</f>
        <v>2-Bedroom Sacramento County Basis Limit</v>
      </c>
      <c r="G130" s="1078">
        <f>Application!R988</f>
        <v>461600</v>
      </c>
    </row>
    <row r="131" spans="2:9">
      <c r="E131" s="1084" t="s">
        <v>2001</v>
      </c>
      <c r="G131" s="1078">
        <f>MEDIAN((Application!CU160:CU217))</f>
        <v>489600</v>
      </c>
    </row>
    <row r="132" spans="2:9" ht="15">
      <c r="D132" s="1046"/>
      <c r="E132" s="1118" t="s">
        <v>2003</v>
      </c>
      <c r="F132" s="1134"/>
      <c r="G132" s="1135">
        <f>((G130-G131)/G131)*0.25</f>
        <v>-1.4297385620915032E-2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79" t="s">
        <v>2275</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1452894.75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85" zoomScaleNormal="85"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5</v>
      </c>
      <c r="C4" s="1162" t="s">
        <v>385</v>
      </c>
      <c r="D4" s="428">
        <f>Application!O718</f>
        <v>593.4</v>
      </c>
      <c r="E4" s="429"/>
      <c r="F4" s="1083">
        <v>1435</v>
      </c>
      <c r="G4" s="428">
        <f>F4*B4</f>
        <v>7175</v>
      </c>
      <c r="H4" s="429"/>
      <c r="I4" s="428">
        <f t="shared" ref="I4:I27" si="0">IF(F4=0,"",(F4-D4))</f>
        <v>841.6</v>
      </c>
      <c r="J4" s="428">
        <f t="shared" ref="J4:J27" si="1">IF(F4=0,"",(I4*B4))</f>
        <v>4208</v>
      </c>
      <c r="K4" s="204"/>
      <c r="L4" s="305"/>
    </row>
    <row r="5" spans="1:12">
      <c r="A5" s="428" t="str">
        <f>Application!B719</f>
        <v>SRO/Studio</v>
      </c>
      <c r="B5" s="1082">
        <f>Application!G719</f>
        <v>5</v>
      </c>
      <c r="C5" s="1162" t="s">
        <v>385</v>
      </c>
      <c r="D5" s="428">
        <f>Application!O719</f>
        <v>755</v>
      </c>
      <c r="E5" s="429"/>
      <c r="F5" s="1083">
        <v>1435</v>
      </c>
      <c r="G5" s="428">
        <f t="shared" ref="G5:G38" si="2">F5*B5</f>
        <v>7175</v>
      </c>
      <c r="H5" s="429"/>
      <c r="I5" s="428">
        <f t="shared" si="0"/>
        <v>680</v>
      </c>
      <c r="J5" s="428">
        <f t="shared" si="1"/>
        <v>3400</v>
      </c>
      <c r="K5" s="204"/>
      <c r="L5" s="305"/>
    </row>
    <row r="6" spans="1:12">
      <c r="A6" s="428" t="str">
        <f>Application!B720</f>
        <v>1 Bedroom</v>
      </c>
      <c r="B6" s="1082">
        <f>Application!G720</f>
        <v>9</v>
      </c>
      <c r="C6" s="1162" t="s">
        <v>385</v>
      </c>
      <c r="D6" s="428">
        <f>Application!O720</f>
        <v>654.4</v>
      </c>
      <c r="E6" s="429"/>
      <c r="F6" s="1083">
        <v>1675</v>
      </c>
      <c r="G6" s="428">
        <f t="shared" si="2"/>
        <v>15075</v>
      </c>
      <c r="H6" s="429"/>
      <c r="I6" s="428">
        <f t="shared" si="0"/>
        <v>1020.6</v>
      </c>
      <c r="J6" s="428">
        <f t="shared" si="1"/>
        <v>9185.4</v>
      </c>
      <c r="K6" s="204"/>
      <c r="L6" s="305"/>
    </row>
    <row r="7" spans="1:12">
      <c r="A7" s="428" t="str">
        <f>Application!B721</f>
        <v>1 Bedroom</v>
      </c>
      <c r="B7" s="1082">
        <f>Application!G721</f>
        <v>9</v>
      </c>
      <c r="C7" s="1162" t="s">
        <v>385</v>
      </c>
      <c r="D7" s="428">
        <f>Application!O721</f>
        <v>1280</v>
      </c>
      <c r="E7" s="429"/>
      <c r="F7" s="1083">
        <v>1675</v>
      </c>
      <c r="G7" s="428">
        <f t="shared" si="2"/>
        <v>15075</v>
      </c>
      <c r="H7" s="429"/>
      <c r="I7" s="428">
        <f t="shared" si="0"/>
        <v>395</v>
      </c>
      <c r="J7" s="428">
        <f t="shared" si="1"/>
        <v>3555</v>
      </c>
      <c r="K7" s="204"/>
      <c r="L7" s="305"/>
    </row>
    <row r="8" spans="1:12">
      <c r="A8" s="428" t="str">
        <f>Application!B722</f>
        <v>2 Bedrooms</v>
      </c>
      <c r="B8" s="1082">
        <f>Application!G722</f>
        <v>14</v>
      </c>
      <c r="C8" s="1162" t="s">
        <v>385</v>
      </c>
      <c r="D8" s="428">
        <f>Application!O722</f>
        <v>780.2</v>
      </c>
      <c r="E8" s="429"/>
      <c r="F8" s="1083">
        <v>2015</v>
      </c>
      <c r="G8" s="428">
        <f t="shared" si="2"/>
        <v>28210</v>
      </c>
      <c r="H8" s="429"/>
      <c r="I8" s="428">
        <f t="shared" si="0"/>
        <v>1234.8</v>
      </c>
      <c r="J8" s="428">
        <f t="shared" si="1"/>
        <v>17287.2</v>
      </c>
      <c r="K8" s="204"/>
      <c r="L8" s="305"/>
    </row>
    <row r="9" spans="1:12">
      <c r="A9" s="428" t="str">
        <f>Application!B723</f>
        <v>2 Bedrooms</v>
      </c>
      <c r="B9" s="1082">
        <f>Application!G723</f>
        <v>13</v>
      </c>
      <c r="C9" s="1162" t="s">
        <v>385</v>
      </c>
      <c r="D9" s="428">
        <f>Application!O723</f>
        <v>1648.5</v>
      </c>
      <c r="E9" s="429"/>
      <c r="F9" s="1083">
        <v>2015</v>
      </c>
      <c r="G9" s="428">
        <f t="shared" si="2"/>
        <v>26195</v>
      </c>
      <c r="H9" s="429"/>
      <c r="I9" s="428">
        <f t="shared" si="0"/>
        <v>366.5</v>
      </c>
      <c r="J9" s="428">
        <f t="shared" si="1"/>
        <v>4764.5</v>
      </c>
      <c r="K9" s="204"/>
      <c r="L9" s="305"/>
    </row>
    <row r="10" spans="1:12">
      <c r="A10" s="428" t="str">
        <f>Application!B724</f>
        <v>3 Bedrooms</v>
      </c>
      <c r="B10" s="1082">
        <f>Application!G724</f>
        <v>21</v>
      </c>
      <c r="C10" s="1162" t="s">
        <v>385</v>
      </c>
      <c r="D10" s="428">
        <f>Application!O724</f>
        <v>872.6</v>
      </c>
      <c r="E10" s="429"/>
      <c r="F10" s="1083">
        <v>2410</v>
      </c>
      <c r="G10" s="428">
        <f t="shared" si="2"/>
        <v>50610</v>
      </c>
      <c r="H10" s="429"/>
      <c r="I10" s="428">
        <f t="shared" si="0"/>
        <v>1537.4</v>
      </c>
      <c r="J10" s="428">
        <f t="shared" si="1"/>
        <v>32285.4</v>
      </c>
      <c r="K10" s="204"/>
      <c r="L10" s="305"/>
    </row>
    <row r="11" spans="1:12">
      <c r="A11" s="428" t="str">
        <f>Application!B725</f>
        <v>3 Bedrooms</v>
      </c>
      <c r="B11" s="1082">
        <f>Application!G725</f>
        <v>21</v>
      </c>
      <c r="C11" s="1162" t="s">
        <v>385</v>
      </c>
      <c r="D11" s="428">
        <f>Application!O725</f>
        <v>1875.5</v>
      </c>
      <c r="E11" s="429"/>
      <c r="F11" s="1083">
        <v>2410</v>
      </c>
      <c r="G11" s="428">
        <f t="shared" si="2"/>
        <v>50610</v>
      </c>
      <c r="H11" s="429"/>
      <c r="I11" s="428">
        <f t="shared" si="0"/>
        <v>534.5</v>
      </c>
      <c r="J11" s="428">
        <f t="shared" si="1"/>
        <v>11224.5</v>
      </c>
      <c r="K11" s="204"/>
      <c r="L11" s="305"/>
    </row>
    <row r="12" spans="1:12">
      <c r="A12" s="428" t="str">
        <f>Application!B726</f>
        <v>4 Bedrooms</v>
      </c>
      <c r="B12" s="1082">
        <f>Application!G726</f>
        <v>4</v>
      </c>
      <c r="C12" s="1162" t="s">
        <v>385</v>
      </c>
      <c r="D12" s="428">
        <f>Application!O726</f>
        <v>913</v>
      </c>
      <c r="E12" s="429"/>
      <c r="F12" s="1083">
        <v>2615</v>
      </c>
      <c r="G12" s="428">
        <f t="shared" si="2"/>
        <v>10460</v>
      </c>
      <c r="H12" s="429"/>
      <c r="I12" s="428">
        <f t="shared" si="0"/>
        <v>1702</v>
      </c>
      <c r="J12" s="428">
        <f t="shared" si="1"/>
        <v>6808</v>
      </c>
      <c r="K12" s="204"/>
      <c r="L12" s="305"/>
    </row>
    <row r="13" spans="1:12">
      <c r="A13" s="428" t="str">
        <f>Application!B727</f>
        <v>4 Bedrooms</v>
      </c>
      <c r="B13" s="1082">
        <f>Application!G727</f>
        <v>4</v>
      </c>
      <c r="C13" s="1162" t="s">
        <v>385</v>
      </c>
      <c r="D13" s="428">
        <f>Application!O727</f>
        <v>2032</v>
      </c>
      <c r="E13" s="429"/>
      <c r="F13" s="1083">
        <v>2615</v>
      </c>
      <c r="G13" s="428">
        <f t="shared" si="2"/>
        <v>10460</v>
      </c>
      <c r="H13" s="429"/>
      <c r="I13" s="428">
        <f t="shared" si="0"/>
        <v>583</v>
      </c>
      <c r="J13" s="428">
        <f t="shared" si="1"/>
        <v>2332</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125995</v>
      </c>
      <c r="E40" s="429"/>
      <c r="F40" s="429"/>
      <c r="G40" s="432">
        <f>SUM(G4:G38)*12</f>
        <v>2652540</v>
      </c>
      <c r="H40" s="433"/>
      <c r="I40" s="431"/>
      <c r="J40" s="432">
        <f>SUM(J4:J38)*12</f>
        <v>1140600</v>
      </c>
      <c r="K40" s="204"/>
      <c r="L40" s="306"/>
    </row>
    <row r="41" spans="1:12" ht="15">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I28" sqref="I2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1511940</v>
      </c>
      <c r="G4" s="219">
        <f>E4*$C$4</f>
        <v>1549738.4999999998</v>
      </c>
      <c r="I4" s="219">
        <f>G4*$C$4</f>
        <v>1588481.9624999997</v>
      </c>
      <c r="K4" s="219">
        <f>I4*$C$4</f>
        <v>1628194.0115624995</v>
      </c>
      <c r="M4" s="219">
        <f>K4*$C$4</f>
        <v>1668898.8618515618</v>
      </c>
      <c r="O4" s="219">
        <f>M4*$C$4</f>
        <v>1710621.3333978506</v>
      </c>
      <c r="Q4" s="219">
        <f>O4*$C$4</f>
        <v>1753386.8667327967</v>
      </c>
      <c r="S4" s="219">
        <f>Q4*$C$4</f>
        <v>1797221.5384011164</v>
      </c>
      <c r="U4" s="219">
        <f>S4*$C$4</f>
        <v>1842152.076861144</v>
      </c>
      <c r="W4" s="219">
        <f>U4*$C$4</f>
        <v>1888205.8787826726</v>
      </c>
      <c r="Y4" s="219">
        <f>W4*$C$4</f>
        <v>1935411.0257522392</v>
      </c>
      <c r="AA4" s="219">
        <f>Y4*$C$4</f>
        <v>1983796.3013960449</v>
      </c>
      <c r="AC4" s="219">
        <f>AA4*$C$4</f>
        <v>2033391.208930946</v>
      </c>
      <c r="AE4" s="219">
        <f>AC4*$C$4</f>
        <v>2084225.9891542194</v>
      </c>
      <c r="AG4" s="219">
        <f>AE4*$C$4</f>
        <v>2136331.6388830747</v>
      </c>
    </row>
    <row r="5" spans="1:34" s="210" customFormat="1" ht="14.25">
      <c r="B5" s="210" t="s">
        <v>839</v>
      </c>
      <c r="C5" s="238">
        <f>IF(Application!$D$211="Special Needs",(((0.1*Application!$T$212)+(0.05*(1-Application!$T$212)))),0.05)</f>
        <v>0.05</v>
      </c>
      <c r="E5" s="221">
        <f>-E4*$C$5</f>
        <v>-75597</v>
      </c>
      <c r="F5" s="221"/>
      <c r="G5" s="221">
        <f>-G4*$C$5</f>
        <v>-77486.924999999988</v>
      </c>
      <c r="H5" s="221"/>
      <c r="I5" s="221">
        <f>-I4*$C$5</f>
        <v>-79424.09812499999</v>
      </c>
      <c r="J5" s="221"/>
      <c r="K5" s="221">
        <f>-K4*$C$5</f>
        <v>-81409.700578124975</v>
      </c>
      <c r="L5" s="221"/>
      <c r="M5" s="221">
        <f>-M4*$C$5</f>
        <v>-83444.943092578091</v>
      </c>
      <c r="N5" s="221"/>
      <c r="O5" s="221">
        <f>-O4*$C$5</f>
        <v>-85531.066669892534</v>
      </c>
      <c r="P5" s="221"/>
      <c r="Q5" s="221">
        <f>-Q4*$C$5</f>
        <v>-87669.343336639839</v>
      </c>
      <c r="R5" s="221"/>
      <c r="S5" s="221">
        <f>-S4*$C$5</f>
        <v>-89861.076920055828</v>
      </c>
      <c r="T5" s="221"/>
      <c r="U5" s="221">
        <f>-U4*$C$5</f>
        <v>-92107.603843057208</v>
      </c>
      <c r="V5" s="221"/>
      <c r="W5" s="221">
        <f>-W4*$C$5</f>
        <v>-94410.29393913364</v>
      </c>
      <c r="X5" s="221"/>
      <c r="Y5" s="221">
        <f>-Y4*$C$5</f>
        <v>-96770.551287611961</v>
      </c>
      <c r="Z5" s="221"/>
      <c r="AA5" s="221">
        <f>-AA4*$C$5</f>
        <v>-99189.815069802251</v>
      </c>
      <c r="AB5" s="221"/>
      <c r="AC5" s="221">
        <f>-AC4*$C$5</f>
        <v>-101669.5604465473</v>
      </c>
      <c r="AD5" s="221"/>
      <c r="AE5" s="221">
        <f>-AE4*$C$5</f>
        <v>-104211.29945771098</v>
      </c>
      <c r="AF5" s="221"/>
      <c r="AG5" s="221">
        <f>-AG4*$C$5</f>
        <v>-106816.58194415375</v>
      </c>
    </row>
    <row r="6" spans="1:34" s="210" customFormat="1" ht="14.25">
      <c r="A6" s="210" t="s">
        <v>837</v>
      </c>
      <c r="C6" s="237">
        <v>1.0249999999999999</v>
      </c>
      <c r="E6" s="222">
        <f>Application!Z809</f>
        <v>1140600</v>
      </c>
      <c r="F6" s="222"/>
      <c r="G6" s="222">
        <f>E6*$C$6</f>
        <v>1169115</v>
      </c>
      <c r="H6" s="222"/>
      <c r="I6" s="222">
        <f>G6*$C$6</f>
        <v>1198342.875</v>
      </c>
      <c r="J6" s="222"/>
      <c r="K6" s="222">
        <f>I6*$C$6</f>
        <v>1228301.4468749999</v>
      </c>
      <c r="L6" s="222"/>
      <c r="M6" s="222">
        <f>K6*$C$6</f>
        <v>1259008.9830468749</v>
      </c>
      <c r="N6" s="222"/>
      <c r="O6" s="222">
        <f>M6*$C$6</f>
        <v>1290484.2076230466</v>
      </c>
      <c r="P6" s="222"/>
      <c r="Q6" s="222">
        <f>O6*$C$6</f>
        <v>1322746.3128136226</v>
      </c>
      <c r="R6" s="222"/>
      <c r="S6" s="222">
        <f>Q6*$C$6</f>
        <v>1355814.9706339631</v>
      </c>
      <c r="T6" s="222"/>
      <c r="U6" s="222">
        <f>S6*$C$6</f>
        <v>1389710.344899812</v>
      </c>
      <c r="V6" s="222"/>
      <c r="W6" s="222">
        <f>U6*$C$6</f>
        <v>1424453.1035223072</v>
      </c>
      <c r="X6" s="222"/>
      <c r="Y6" s="222">
        <f>W6*$C$6</f>
        <v>1460064.4311103649</v>
      </c>
      <c r="Z6" s="222"/>
      <c r="AA6" s="222">
        <f>Y6*$C$6</f>
        <v>1496566.0418881238</v>
      </c>
      <c r="AB6" s="222"/>
      <c r="AC6" s="222">
        <f>AA6*$C$6</f>
        <v>1533980.1929353268</v>
      </c>
      <c r="AD6" s="222"/>
      <c r="AE6" s="222">
        <f>AC6*$C$6</f>
        <v>1572329.6977587098</v>
      </c>
      <c r="AF6" s="222"/>
      <c r="AG6" s="222">
        <f>AE6*$C$6</f>
        <v>1611637.9402026774</v>
      </c>
    </row>
    <row r="7" spans="1:34" s="210" customFormat="1" ht="14.25">
      <c r="B7" s="210" t="s">
        <v>839</v>
      </c>
      <c r="C7" s="238">
        <f>IF(Application!$D$211="Special Needs",(((0.1*Application!$T$212)+(0.05*(1-Application!$T$212)))),0.05)</f>
        <v>0.05</v>
      </c>
      <c r="E7" s="221">
        <f>-E6*$C$7</f>
        <v>-57030</v>
      </c>
      <c r="F7" s="221"/>
      <c r="G7" s="221">
        <f>-G6*$C$7</f>
        <v>-58455.75</v>
      </c>
      <c r="H7" s="221"/>
      <c r="I7" s="221">
        <f>-I6*$C$7</f>
        <v>-59917.143750000003</v>
      </c>
      <c r="J7" s="221"/>
      <c r="K7" s="221">
        <f>-K6*$C$7</f>
        <v>-61415.072343749998</v>
      </c>
      <c r="L7" s="221"/>
      <c r="M7" s="221">
        <f>-M6*$C$7</f>
        <v>-62950.449152343746</v>
      </c>
      <c r="N7" s="221"/>
      <c r="O7" s="221">
        <f>-O6*$C$7</f>
        <v>-64524.210381152334</v>
      </c>
      <c r="P7" s="221"/>
      <c r="Q7" s="221">
        <f>-Q6*$C$7</f>
        <v>-66137.315640681132</v>
      </c>
      <c r="R7" s="221"/>
      <c r="S7" s="221">
        <f>-S6*$C$7</f>
        <v>-67790.748531698162</v>
      </c>
      <c r="T7" s="221"/>
      <c r="U7" s="221">
        <f>-U6*$C$7</f>
        <v>-69485.517244990609</v>
      </c>
      <c r="V7" s="221"/>
      <c r="W7" s="221">
        <f>-W6*$C$7</f>
        <v>-71222.655176115368</v>
      </c>
      <c r="X7" s="221"/>
      <c r="Y7" s="221">
        <f>-Y6*$C$7</f>
        <v>-73003.221555518248</v>
      </c>
      <c r="Z7" s="221"/>
      <c r="AA7" s="221">
        <f>-AA6*$C$7</f>
        <v>-74828.302094406201</v>
      </c>
      <c r="AB7" s="221"/>
      <c r="AC7" s="221">
        <f>-AC6*$C$7</f>
        <v>-76699.009646766339</v>
      </c>
      <c r="AD7" s="221"/>
      <c r="AE7" s="221">
        <f>-AE6*$C$7</f>
        <v>-78616.484887935498</v>
      </c>
      <c r="AF7" s="221"/>
      <c r="AG7" s="221">
        <f>-AG6*$C$7</f>
        <v>-80581.897010133878</v>
      </c>
    </row>
    <row r="8" spans="1:34" s="210" customFormat="1" ht="14.25">
      <c r="A8" s="210" t="s">
        <v>288</v>
      </c>
      <c r="C8" s="237">
        <v>1.0249999999999999</v>
      </c>
      <c r="E8" s="222">
        <f>Application!Z817</f>
        <v>3224</v>
      </c>
      <c r="F8" s="222"/>
      <c r="G8" s="222">
        <f>E8*$C$8</f>
        <v>3304.6</v>
      </c>
      <c r="H8" s="222"/>
      <c r="I8" s="222">
        <f>G8*$C$8</f>
        <v>3387.2149999999997</v>
      </c>
      <c r="J8" s="222"/>
      <c r="K8" s="222">
        <f>I8*$C$8</f>
        <v>3471.8953749999996</v>
      </c>
      <c r="L8" s="222"/>
      <c r="M8" s="222">
        <f>K8*$C$8</f>
        <v>3558.6927593749992</v>
      </c>
      <c r="N8" s="222"/>
      <c r="O8" s="222">
        <f>M8*$C$8</f>
        <v>3647.660078359374</v>
      </c>
      <c r="P8" s="222"/>
      <c r="Q8" s="222">
        <f>O8*$C$8</f>
        <v>3738.8515803183582</v>
      </c>
      <c r="R8" s="222"/>
      <c r="S8" s="222">
        <f>Q8*$C$8</f>
        <v>3832.3228698263169</v>
      </c>
      <c r="T8" s="222"/>
      <c r="U8" s="222">
        <f>S8*$C$8</f>
        <v>3928.1309415719747</v>
      </c>
      <c r="V8" s="222"/>
      <c r="W8" s="222">
        <f>U8*$C$8</f>
        <v>4026.3342151112738</v>
      </c>
      <c r="X8" s="222"/>
      <c r="Y8" s="222">
        <f>W8*$C$8</f>
        <v>4126.9925704890557</v>
      </c>
      <c r="Z8" s="222"/>
      <c r="AA8" s="222">
        <f>Y8*$C$8</f>
        <v>4230.167384751282</v>
      </c>
      <c r="AB8" s="222"/>
      <c r="AC8" s="222">
        <f>AA8*$C$8</f>
        <v>4335.9215693700635</v>
      </c>
      <c r="AD8" s="222"/>
      <c r="AE8" s="222">
        <f>AC8*$C$8</f>
        <v>4444.3196086043145</v>
      </c>
      <c r="AF8" s="222"/>
      <c r="AG8" s="222">
        <f>AE8*$C$8</f>
        <v>4555.4275988194222</v>
      </c>
    </row>
    <row r="9" spans="1:34" s="210" customFormat="1" ht="14.25">
      <c r="B9" s="210" t="s">
        <v>839</v>
      </c>
      <c r="C9" s="238">
        <f>IF(Application!$D$211="Special Needs",(((0.1*Application!$T$212)+(0.05*(1-Application!$T$212)))),0.05)</f>
        <v>0.05</v>
      </c>
      <c r="E9" s="221">
        <f>-E8*$C$9</f>
        <v>-161.20000000000002</v>
      </c>
      <c r="F9" s="221"/>
      <c r="G9" s="221">
        <f>-G8*$C$9</f>
        <v>-165.23000000000002</v>
      </c>
      <c r="H9" s="221"/>
      <c r="I9" s="221">
        <f>-I8*$C$9</f>
        <v>-169.36075</v>
      </c>
      <c r="J9" s="221"/>
      <c r="K9" s="221">
        <f>-K8*$C$9</f>
        <v>-173.59476874999999</v>
      </c>
      <c r="L9" s="221"/>
      <c r="M9" s="221">
        <f>-M8*$C$9</f>
        <v>-177.93463796874997</v>
      </c>
      <c r="N9" s="221"/>
      <c r="O9" s="221">
        <f>-O8*$C$9</f>
        <v>-182.38300391796872</v>
      </c>
      <c r="P9" s="221"/>
      <c r="Q9" s="221">
        <f>-Q8*$C$9</f>
        <v>-186.94257901591791</v>
      </c>
      <c r="R9" s="221"/>
      <c r="S9" s="221">
        <f>-S8*$C$9</f>
        <v>-191.61614349131585</v>
      </c>
      <c r="T9" s="221"/>
      <c r="U9" s="221">
        <f>-U8*$C$9</f>
        <v>-196.40654707859875</v>
      </c>
      <c r="V9" s="221"/>
      <c r="W9" s="221">
        <f>-W8*$C$9</f>
        <v>-201.31671075556369</v>
      </c>
      <c r="X9" s="221"/>
      <c r="Y9" s="221">
        <f>-Y8*$C$9</f>
        <v>-206.34962852445278</v>
      </c>
      <c r="Z9" s="221"/>
      <c r="AA9" s="221">
        <f>-AA8*$C$9</f>
        <v>-211.50836923756412</v>
      </c>
      <c r="AB9" s="221"/>
      <c r="AC9" s="221">
        <f>-AC8*$C$9</f>
        <v>-216.7960784685032</v>
      </c>
      <c r="AD9" s="221"/>
      <c r="AE9" s="221">
        <f>-AE8*$C$9</f>
        <v>-222.21598043021572</v>
      </c>
      <c r="AF9" s="221"/>
      <c r="AG9" s="221">
        <f>-AG8*$C$9</f>
        <v>-227.77137994097112</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2522975.7999999998</v>
      </c>
      <c r="G11" s="223">
        <f>SUM(G4:G10)</f>
        <v>2586050.1949999998</v>
      </c>
      <c r="I11" s="223">
        <f>SUM(I4:I10)</f>
        <v>2650701.4498749999</v>
      </c>
      <c r="K11" s="223">
        <f>SUM(K4:K10)</f>
        <v>2716968.9861218743</v>
      </c>
      <c r="M11" s="223">
        <f>SUM(M4:M10)</f>
        <v>2784893.2107749209</v>
      </c>
      <c r="O11" s="223">
        <f>SUM(O4:O10)</f>
        <v>2854515.5410442939</v>
      </c>
      <c r="Q11" s="223">
        <f>SUM(Q4:Q10)</f>
        <v>2925878.4295704011</v>
      </c>
      <c r="S11" s="223">
        <f>SUM(S4:S10)</f>
        <v>2999025.3903096607</v>
      </c>
      <c r="U11" s="223">
        <f>SUM(U4:U10)</f>
        <v>3074001.025067402</v>
      </c>
      <c r="W11" s="223">
        <f>SUM(W4:W10)</f>
        <v>3150851.0506940861</v>
      </c>
      <c r="Y11" s="223">
        <f>SUM(Y4:Y10)</f>
        <v>3229622.3269614386</v>
      </c>
      <c r="AA11" s="223">
        <f>SUM(AA4:AA10)</f>
        <v>3310362.8851354737</v>
      </c>
      <c r="AC11" s="223">
        <f>SUM(AC4:AC10)</f>
        <v>3393121.9572638609</v>
      </c>
      <c r="AE11" s="223">
        <f>SUM(AE4:AE10)</f>
        <v>3477950.0061954572</v>
      </c>
      <c r="AG11" s="223">
        <f>SUM(AG4:AG10)</f>
        <v>3564898.7563503431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94898</v>
      </c>
      <c r="G15" s="219">
        <f>E15*$C$14</f>
        <v>98219.43</v>
      </c>
      <c r="I15" s="219">
        <f>G15*$C$14</f>
        <v>101657.11004999999</v>
      </c>
      <c r="K15" s="219">
        <f>I15*$C$14</f>
        <v>105215.10890174998</v>
      </c>
      <c r="M15" s="219">
        <f>K15*$C$14</f>
        <v>108897.63771331121</v>
      </c>
      <c r="O15" s="219">
        <f>M15*$C$14</f>
        <v>112709.05503327709</v>
      </c>
      <c r="Q15" s="219">
        <f>O15*$C$14</f>
        <v>116653.87195944178</v>
      </c>
      <c r="S15" s="219">
        <f>Q15*$C$14</f>
        <v>120736.75747802223</v>
      </c>
      <c r="U15" s="219">
        <f>S15*$C$14</f>
        <v>124962.543989753</v>
      </c>
      <c r="W15" s="219">
        <f>U15*$C$14</f>
        <v>129336.23302939435</v>
      </c>
      <c r="Y15" s="219">
        <f>W15*$C$14</f>
        <v>133863.00118542314</v>
      </c>
      <c r="AA15" s="219">
        <f>Y15*$C$14</f>
        <v>138548.20622691294</v>
      </c>
      <c r="AC15" s="219">
        <f>AA15*$C$14</f>
        <v>143397.39344485488</v>
      </c>
      <c r="AE15" s="219">
        <f>AC15*$C$14</f>
        <v>148416.3022154248</v>
      </c>
      <c r="AG15" s="219">
        <f>AE15*$C$14</f>
        <v>153610.87279296466</v>
      </c>
    </row>
    <row r="16" spans="1:34" s="210" customFormat="1" ht="14.25">
      <c r="A16" s="210" t="s">
        <v>344</v>
      </c>
      <c r="C16" s="233"/>
      <c r="E16" s="222">
        <f>Application!W849</f>
        <v>87315</v>
      </c>
      <c r="F16" s="222"/>
      <c r="G16" s="222">
        <f t="shared" ref="G16:AG21" si="0">E16*$C$14</f>
        <v>90371.024999999994</v>
      </c>
      <c r="H16" s="222"/>
      <c r="I16" s="222">
        <f t="shared" si="0"/>
        <v>93534.010874999993</v>
      </c>
      <c r="J16" s="222"/>
      <c r="K16" s="222">
        <f t="shared" si="0"/>
        <v>96807.701255624983</v>
      </c>
      <c r="L16" s="222"/>
      <c r="M16" s="222">
        <f t="shared" si="0"/>
        <v>100195.97079957185</v>
      </c>
      <c r="N16" s="222"/>
      <c r="O16" s="222">
        <f t="shared" si="0"/>
        <v>103702.82977755685</v>
      </c>
      <c r="P16" s="222"/>
      <c r="Q16" s="222">
        <f t="shared" si="0"/>
        <v>107332.42881977133</v>
      </c>
      <c r="R16" s="222"/>
      <c r="S16" s="222">
        <f t="shared" si="0"/>
        <v>111089.06382846332</v>
      </c>
      <c r="T16" s="222"/>
      <c r="U16" s="222">
        <f t="shared" si="0"/>
        <v>114977.18106245952</v>
      </c>
      <c r="V16" s="222"/>
      <c r="W16" s="222">
        <f t="shared" si="0"/>
        <v>119001.3823996456</v>
      </c>
      <c r="X16" s="222"/>
      <c r="Y16" s="222">
        <f t="shared" si="0"/>
        <v>123166.43078363319</v>
      </c>
      <c r="Z16" s="222"/>
      <c r="AA16" s="222">
        <f t="shared" si="0"/>
        <v>127477.25586106034</v>
      </c>
      <c r="AB16" s="222"/>
      <c r="AC16" s="222">
        <f t="shared" si="0"/>
        <v>131938.95981619746</v>
      </c>
      <c r="AD16" s="222"/>
      <c r="AE16" s="222">
        <f t="shared" si="0"/>
        <v>136556.82340976436</v>
      </c>
      <c r="AF16" s="222"/>
      <c r="AG16" s="222">
        <f t="shared" si="0"/>
        <v>141336.31222910609</v>
      </c>
    </row>
    <row r="17" spans="1:33" s="210" customFormat="1" ht="14.25">
      <c r="A17" s="210" t="s">
        <v>562</v>
      </c>
      <c r="C17" s="233"/>
      <c r="E17" s="222">
        <f>Application!W855</f>
        <v>139728</v>
      </c>
      <c r="F17" s="222"/>
      <c r="G17" s="222">
        <f t="shared" si="0"/>
        <v>144618.47999999998</v>
      </c>
      <c r="H17" s="222"/>
      <c r="I17" s="222">
        <f t="shared" si="0"/>
        <v>149680.12679999997</v>
      </c>
      <c r="J17" s="222"/>
      <c r="K17" s="222">
        <f t="shared" si="0"/>
        <v>154918.93123799996</v>
      </c>
      <c r="L17" s="222"/>
      <c r="M17" s="222">
        <f t="shared" si="0"/>
        <v>160341.09383132996</v>
      </c>
      <c r="N17" s="222"/>
      <c r="O17" s="222">
        <f t="shared" si="0"/>
        <v>165953.0321154265</v>
      </c>
      <c r="P17" s="222"/>
      <c r="Q17" s="222">
        <f t="shared" si="0"/>
        <v>171761.38823946641</v>
      </c>
      <c r="R17" s="222"/>
      <c r="S17" s="222">
        <f t="shared" si="0"/>
        <v>177773.03682784771</v>
      </c>
      <c r="T17" s="222"/>
      <c r="U17" s="222">
        <f t="shared" si="0"/>
        <v>183995.09311682236</v>
      </c>
      <c r="V17" s="222"/>
      <c r="W17" s="222">
        <f t="shared" si="0"/>
        <v>190434.92137591113</v>
      </c>
      <c r="X17" s="222"/>
      <c r="Y17" s="222">
        <f t="shared" si="0"/>
        <v>197100.14362406801</v>
      </c>
      <c r="Z17" s="222"/>
      <c r="AA17" s="222">
        <f t="shared" si="0"/>
        <v>203998.64865091036</v>
      </c>
      <c r="AB17" s="222"/>
      <c r="AC17" s="222">
        <f t="shared" si="0"/>
        <v>211138.60135369221</v>
      </c>
      <c r="AD17" s="222"/>
      <c r="AE17" s="222">
        <f t="shared" si="0"/>
        <v>218528.45240107141</v>
      </c>
      <c r="AF17" s="222"/>
      <c r="AG17" s="222">
        <f t="shared" si="0"/>
        <v>226176.9482351089</v>
      </c>
    </row>
    <row r="18" spans="1:33" s="210" customFormat="1" ht="14.25">
      <c r="A18" s="210" t="s">
        <v>843</v>
      </c>
      <c r="C18" s="233"/>
      <c r="E18" s="222">
        <f>Application!W862</f>
        <v>327206</v>
      </c>
      <c r="F18" s="222"/>
      <c r="G18" s="222">
        <f t="shared" si="0"/>
        <v>338658.20999999996</v>
      </c>
      <c r="H18" s="222"/>
      <c r="I18" s="222">
        <f t="shared" si="0"/>
        <v>350511.24734999996</v>
      </c>
      <c r="J18" s="222"/>
      <c r="K18" s="222">
        <f t="shared" si="0"/>
        <v>362779.14100724994</v>
      </c>
      <c r="L18" s="222"/>
      <c r="M18" s="222">
        <f t="shared" si="0"/>
        <v>375476.41094250366</v>
      </c>
      <c r="N18" s="222"/>
      <c r="O18" s="222">
        <f t="shared" si="0"/>
        <v>388618.08532549127</v>
      </c>
      <c r="P18" s="222"/>
      <c r="Q18" s="222">
        <f t="shared" si="0"/>
        <v>402219.71831188345</v>
      </c>
      <c r="R18" s="222"/>
      <c r="S18" s="222">
        <f t="shared" si="0"/>
        <v>416297.40845279931</v>
      </c>
      <c r="T18" s="222"/>
      <c r="U18" s="222">
        <f t="shared" si="0"/>
        <v>430867.81774864724</v>
      </c>
      <c r="V18" s="222"/>
      <c r="W18" s="222">
        <f t="shared" si="0"/>
        <v>445948.19136984984</v>
      </c>
      <c r="X18" s="222"/>
      <c r="Y18" s="222">
        <f t="shared" si="0"/>
        <v>461556.37806779455</v>
      </c>
      <c r="Z18" s="222"/>
      <c r="AA18" s="222">
        <f t="shared" si="0"/>
        <v>477710.85130016733</v>
      </c>
      <c r="AB18" s="222"/>
      <c r="AC18" s="222">
        <f t="shared" si="0"/>
        <v>494430.73109567317</v>
      </c>
      <c r="AD18" s="222"/>
      <c r="AE18" s="222">
        <f t="shared" si="0"/>
        <v>511735.80668402166</v>
      </c>
      <c r="AF18" s="222"/>
      <c r="AG18" s="222">
        <f t="shared" si="0"/>
        <v>529646.55991796241</v>
      </c>
    </row>
    <row r="19" spans="1:33" s="210" customFormat="1" ht="14.25">
      <c r="A19" s="210" t="s">
        <v>155</v>
      </c>
      <c r="C19" s="233"/>
      <c r="E19" s="222">
        <f>Application!W863</f>
        <v>62209</v>
      </c>
      <c r="F19" s="222"/>
      <c r="G19" s="222">
        <f t="shared" si="0"/>
        <v>64386.314999999995</v>
      </c>
      <c r="H19" s="222"/>
      <c r="I19" s="222">
        <f t="shared" si="0"/>
        <v>66639.836024999997</v>
      </c>
      <c r="J19" s="222"/>
      <c r="K19" s="222">
        <f t="shared" si="0"/>
        <v>68972.23028587499</v>
      </c>
      <c r="L19" s="222"/>
      <c r="M19" s="222">
        <f t="shared" si="0"/>
        <v>71386.258345880604</v>
      </c>
      <c r="N19" s="222"/>
      <c r="O19" s="222">
        <f t="shared" si="0"/>
        <v>73884.777387986425</v>
      </c>
      <c r="P19" s="222"/>
      <c r="Q19" s="222">
        <f t="shared" si="0"/>
        <v>76470.744596565943</v>
      </c>
      <c r="R19" s="222"/>
      <c r="S19" s="222">
        <f t="shared" si="0"/>
        <v>79147.220657445738</v>
      </c>
      <c r="T19" s="222"/>
      <c r="U19" s="222">
        <f t="shared" si="0"/>
        <v>81917.373380456338</v>
      </c>
      <c r="V19" s="222"/>
      <c r="W19" s="222">
        <f t="shared" si="0"/>
        <v>84784.481448772305</v>
      </c>
      <c r="X19" s="222"/>
      <c r="Y19" s="222">
        <f t="shared" si="0"/>
        <v>87751.938299479327</v>
      </c>
      <c r="Z19" s="222"/>
      <c r="AA19" s="222">
        <f t="shared" si="0"/>
        <v>90823.2561399611</v>
      </c>
      <c r="AB19" s="222"/>
      <c r="AC19" s="222">
        <f t="shared" si="0"/>
        <v>94002.070104859726</v>
      </c>
      <c r="AD19" s="222"/>
      <c r="AE19" s="222">
        <f t="shared" si="0"/>
        <v>97292.142558529813</v>
      </c>
      <c r="AF19" s="222"/>
      <c r="AG19" s="222">
        <f t="shared" si="0"/>
        <v>100697.36754807834</v>
      </c>
    </row>
    <row r="20" spans="1:33" s="210" customFormat="1" ht="14.25">
      <c r="A20" s="210" t="s">
        <v>390</v>
      </c>
      <c r="C20" s="233"/>
      <c r="E20" s="222">
        <f>Application!W872</f>
        <v>90609</v>
      </c>
      <c r="F20" s="222"/>
      <c r="G20" s="222">
        <f t="shared" si="0"/>
        <v>93780.314999999988</v>
      </c>
      <c r="H20" s="222"/>
      <c r="I20" s="222">
        <f t="shared" si="0"/>
        <v>97062.626024999976</v>
      </c>
      <c r="J20" s="222"/>
      <c r="K20" s="222">
        <f t="shared" si="0"/>
        <v>100459.81793587496</v>
      </c>
      <c r="L20" s="222"/>
      <c r="M20" s="222">
        <f t="shared" si="0"/>
        <v>103975.91156363058</v>
      </c>
      <c r="N20" s="222"/>
      <c r="O20" s="222">
        <f t="shared" si="0"/>
        <v>107615.06846835764</v>
      </c>
      <c r="P20" s="222"/>
      <c r="Q20" s="222">
        <f t="shared" si="0"/>
        <v>111381.59586475015</v>
      </c>
      <c r="R20" s="222"/>
      <c r="S20" s="222">
        <f t="shared" si="0"/>
        <v>115279.9517200164</v>
      </c>
      <c r="T20" s="222"/>
      <c r="U20" s="222">
        <f t="shared" si="0"/>
        <v>119314.75003021696</v>
      </c>
      <c r="V20" s="222"/>
      <c r="W20" s="222">
        <f t="shared" si="0"/>
        <v>123490.76628127455</v>
      </c>
      <c r="X20" s="222"/>
      <c r="Y20" s="222">
        <f t="shared" si="0"/>
        <v>127812.94310111915</v>
      </c>
      <c r="Z20" s="222"/>
      <c r="AA20" s="222">
        <f t="shared" si="0"/>
        <v>132286.39610965832</v>
      </c>
      <c r="AB20" s="222"/>
      <c r="AC20" s="222">
        <f t="shared" si="0"/>
        <v>136916.41997349635</v>
      </c>
      <c r="AD20" s="222"/>
      <c r="AE20" s="222">
        <f t="shared" si="0"/>
        <v>141708.49467256872</v>
      </c>
      <c r="AF20" s="222"/>
      <c r="AG20" s="222">
        <f t="shared" si="0"/>
        <v>146668.29198610861</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801965</v>
      </c>
      <c r="G22" s="223">
        <f>SUM(G15:G21)</f>
        <v>830033.77499999979</v>
      </c>
      <c r="I22" s="223">
        <f>SUM(I15:I21)</f>
        <v>859084.95712499996</v>
      </c>
      <c r="K22" s="223">
        <f>SUM(K15:K21)</f>
        <v>889152.93062437477</v>
      </c>
      <c r="M22" s="223">
        <f>SUM(M15:M21)</f>
        <v>920273.28319622774</v>
      </c>
      <c r="O22" s="223">
        <f>SUM(O15:O21)</f>
        <v>952482.84810809582</v>
      </c>
      <c r="Q22" s="223">
        <f>SUM(Q15:Q21)</f>
        <v>985819.74779187911</v>
      </c>
      <c r="S22" s="223">
        <f>SUM(S15:S21)</f>
        <v>1020323.4389645947</v>
      </c>
      <c r="U22" s="223">
        <f>SUM(U15:U21)</f>
        <v>1056034.7593283555</v>
      </c>
      <c r="W22" s="223">
        <f>SUM(W15:W21)</f>
        <v>1092995.975904848</v>
      </c>
      <c r="Y22" s="223">
        <f>SUM(Y15:Y21)</f>
        <v>1131250.8350615173</v>
      </c>
      <c r="AA22" s="223">
        <f>SUM(AA15:AA21)</f>
        <v>1170844.6142886702</v>
      </c>
      <c r="AC22" s="223">
        <f>SUM(AC15:AC21)</f>
        <v>1211824.1757887737</v>
      </c>
      <c r="AE22" s="223">
        <f>SUM(AE15:AE21)</f>
        <v>1254238.0219413808</v>
      </c>
      <c r="AG22" s="223">
        <f>SUM(AG15:AG21)</f>
        <v>1298136.352709329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v>
      </c>
      <c r="E27" s="222">
        <f>Application!AC888</f>
        <v>35000</v>
      </c>
      <c r="F27" s="222"/>
      <c r="G27" s="222">
        <f>E27*$C$27</f>
        <v>36050</v>
      </c>
      <c r="H27" s="222"/>
      <c r="I27" s="222">
        <f>G27*$C$27</f>
        <v>37131.5</v>
      </c>
      <c r="J27" s="222"/>
      <c r="K27" s="222">
        <f>I27*$C$27</f>
        <v>38245.445</v>
      </c>
      <c r="L27" s="222"/>
      <c r="M27" s="222">
        <f>K27*$C$27</f>
        <v>39392.808349999999</v>
      </c>
      <c r="N27" s="222"/>
      <c r="O27" s="222">
        <f>M27*$C$27</f>
        <v>40574.5926005</v>
      </c>
      <c r="P27" s="222"/>
      <c r="Q27" s="222">
        <f>O27*$C$27</f>
        <v>41791.830378514998</v>
      </c>
      <c r="R27" s="222"/>
      <c r="S27" s="222">
        <f>Q27*$C$27</f>
        <v>43045.585289870447</v>
      </c>
      <c r="T27" s="222"/>
      <c r="U27" s="222">
        <f>S27*$C$27</f>
        <v>44336.952848566565</v>
      </c>
      <c r="V27" s="222"/>
      <c r="W27" s="222">
        <f>U27*$C$27</f>
        <v>45667.061434023562</v>
      </c>
      <c r="X27" s="222"/>
      <c r="Y27" s="222">
        <f>W27*$C$27</f>
        <v>47037.07327704427</v>
      </c>
      <c r="Z27" s="222"/>
      <c r="AA27" s="222">
        <f>Y27*$C$27</f>
        <v>48448.185475355596</v>
      </c>
      <c r="AB27" s="222"/>
      <c r="AC27" s="222">
        <f>AA27*$C$27</f>
        <v>49901.631039616266</v>
      </c>
      <c r="AD27" s="222"/>
      <c r="AE27" s="222">
        <f>AC27*$C$27</f>
        <v>51398.679970804755</v>
      </c>
      <c r="AF27" s="222"/>
      <c r="AG27" s="222">
        <f>AE27*$C$27</f>
        <v>52940.6403699289</v>
      </c>
    </row>
    <row r="28" spans="1:33" s="210" customFormat="1" ht="14.25">
      <c r="A28" s="210" t="s">
        <v>847</v>
      </c>
      <c r="C28" s="237"/>
      <c r="E28" s="222">
        <f>Application!AC889</f>
        <v>31800</v>
      </c>
      <c r="F28" s="222"/>
      <c r="G28" s="222">
        <f>$E$28</f>
        <v>31800</v>
      </c>
      <c r="H28" s="222"/>
      <c r="I28" s="222">
        <f>$E$28</f>
        <v>31800</v>
      </c>
      <c r="J28" s="222"/>
      <c r="K28" s="222">
        <f>$E$28</f>
        <v>31800</v>
      </c>
      <c r="L28" s="222"/>
      <c r="M28" s="222">
        <f>$E$28</f>
        <v>31800</v>
      </c>
      <c r="N28" s="222"/>
      <c r="O28" s="222">
        <f>$E$28</f>
        <v>31800</v>
      </c>
      <c r="P28" s="222"/>
      <c r="Q28" s="222">
        <f>$E$28</f>
        <v>31800</v>
      </c>
      <c r="R28" s="222"/>
      <c r="S28" s="222">
        <f>$E$28</f>
        <v>31800</v>
      </c>
      <c r="T28" s="222"/>
      <c r="U28" s="222">
        <f>$E$28</f>
        <v>31800</v>
      </c>
      <c r="V28" s="222"/>
      <c r="W28" s="222">
        <f>$E$28</f>
        <v>31800</v>
      </c>
      <c r="X28" s="222"/>
      <c r="Y28" s="222">
        <f>$E$28</f>
        <v>31800</v>
      </c>
      <c r="Z28" s="222"/>
      <c r="AA28" s="222">
        <f>$E$28</f>
        <v>31800</v>
      </c>
      <c r="AB28" s="222"/>
      <c r="AC28" s="222">
        <f>$E$28</f>
        <v>31800</v>
      </c>
      <c r="AD28" s="222"/>
      <c r="AE28" s="222">
        <f>$E$28</f>
        <v>31800</v>
      </c>
      <c r="AF28" s="222"/>
      <c r="AG28" s="222">
        <f>$E$28</f>
        <v>31800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3312</v>
      </c>
      <c r="F30" s="222"/>
      <c r="G30" s="222">
        <f>E30*$C$30</f>
        <v>3378.2400000000002</v>
      </c>
      <c r="H30" s="222"/>
      <c r="I30" s="222">
        <f>G30*$C$30</f>
        <v>3445.8048000000003</v>
      </c>
      <c r="J30" s="222"/>
      <c r="K30" s="222">
        <f>I30*$C$30</f>
        <v>3514.7208960000003</v>
      </c>
      <c r="L30" s="222"/>
      <c r="M30" s="222">
        <f>K30*$C$30</f>
        <v>3585.0153139200002</v>
      </c>
      <c r="N30" s="222"/>
      <c r="O30" s="222">
        <f>M30*$C$30</f>
        <v>3656.7156201984003</v>
      </c>
      <c r="P30" s="222"/>
      <c r="Q30" s="222">
        <f>O30*$C$30</f>
        <v>3729.8499326023684</v>
      </c>
      <c r="R30" s="222"/>
      <c r="S30" s="222">
        <f>Q30*$C$30</f>
        <v>3804.4469312544161</v>
      </c>
      <c r="T30" s="222"/>
      <c r="U30" s="222">
        <f>S30*$C$30</f>
        <v>3880.5358698795044</v>
      </c>
      <c r="V30" s="222"/>
      <c r="W30" s="222">
        <f>U30*$C$30</f>
        <v>3958.1465872770946</v>
      </c>
      <c r="X30" s="222"/>
      <c r="Y30" s="222">
        <f>W30*$C$30</f>
        <v>4037.3095190226363</v>
      </c>
      <c r="Z30" s="222"/>
      <c r="AA30" s="222">
        <f>Y30*$C$30</f>
        <v>4118.0557094030892</v>
      </c>
      <c r="AB30" s="222"/>
      <c r="AC30" s="222">
        <f>AA30*$C$30</f>
        <v>4200.4168235911511</v>
      </c>
      <c r="AD30" s="222"/>
      <c r="AE30" s="222">
        <f>AC30*$C$30</f>
        <v>4284.4251600629741</v>
      </c>
      <c r="AF30" s="222"/>
      <c r="AG30" s="222">
        <f>AE30*$C$30</f>
        <v>4370.1136632642338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v>
      </c>
      <c r="C32" s="316">
        <v>1</v>
      </c>
      <c r="E32" s="222">
        <f>Application!AC894</f>
        <v>12200</v>
      </c>
      <c r="F32" s="222"/>
      <c r="G32" s="222">
        <f>E32*$C$32</f>
        <v>12200</v>
      </c>
      <c r="H32" s="222"/>
      <c r="I32" s="222">
        <f>G32*$C$32</f>
        <v>12200</v>
      </c>
      <c r="J32" s="222"/>
      <c r="K32" s="222">
        <f>I32*$C$32</f>
        <v>12200</v>
      </c>
      <c r="L32" s="222"/>
      <c r="M32" s="222">
        <f>K32*$C$32</f>
        <v>12200</v>
      </c>
      <c r="N32" s="222"/>
      <c r="O32" s="222">
        <f>M32*$C$32</f>
        <v>12200</v>
      </c>
      <c r="P32" s="222"/>
      <c r="Q32" s="222">
        <f>O32*$C$32</f>
        <v>12200</v>
      </c>
      <c r="R32" s="222"/>
      <c r="S32" s="222">
        <f>Q32*$C$32</f>
        <v>12200</v>
      </c>
      <c r="T32" s="222"/>
      <c r="U32" s="222">
        <f>S32*$C$32</f>
        <v>12200</v>
      </c>
      <c r="V32" s="222"/>
      <c r="W32" s="222">
        <f>U32*$C$32</f>
        <v>12200</v>
      </c>
      <c r="X32" s="222"/>
      <c r="Y32" s="222">
        <f>W32*$C$32</f>
        <v>12200</v>
      </c>
      <c r="Z32" s="222"/>
      <c r="AA32" s="222">
        <f>Y32*$C$32</f>
        <v>12200</v>
      </c>
      <c r="AB32" s="222"/>
      <c r="AC32" s="222">
        <f>AA32*$C$32</f>
        <v>12200</v>
      </c>
      <c r="AD32" s="222"/>
      <c r="AE32" s="222">
        <f>AC32*$C$32</f>
        <v>12200</v>
      </c>
      <c r="AF32" s="222"/>
      <c r="AG32" s="222">
        <f>AE32*$C$32</f>
        <v>12200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884277</v>
      </c>
      <c r="G35" s="223">
        <f>SUM(G22:G33)</f>
        <v>913462.01499999978</v>
      </c>
      <c r="I35" s="223">
        <f>SUM(I22:I33)</f>
        <v>943662.261925</v>
      </c>
      <c r="K35" s="223">
        <f>SUM(K22:K33)</f>
        <v>974913.09652037476</v>
      </c>
      <c r="M35" s="223">
        <f>SUM(M22:M33)</f>
        <v>1007251.1068601477</v>
      </c>
      <c r="O35" s="223">
        <f>SUM(O22:O33)</f>
        <v>1040714.1563287942</v>
      </c>
      <c r="Q35" s="223">
        <f>SUM(Q22:Q33)</f>
        <v>1075341.4281029964</v>
      </c>
      <c r="S35" s="223">
        <f>SUM(S22:S33)</f>
        <v>1111173.4711857196</v>
      </c>
      <c r="U35" s="223">
        <f>SUM(U22:U33)</f>
        <v>1148252.2480468014</v>
      </c>
      <c r="W35" s="223">
        <f>SUM(W22:W33)</f>
        <v>1186621.1839261486</v>
      </c>
      <c r="Y35" s="223">
        <f>SUM(Y22:Y33)</f>
        <v>1226325.2178575844</v>
      </c>
      <c r="AA35" s="223">
        <f>SUM(AA22:AA33)</f>
        <v>1267410.855473429</v>
      </c>
      <c r="AC35" s="223">
        <f>SUM(AC22:AC33)</f>
        <v>1309926.223651981</v>
      </c>
      <c r="AE35" s="223">
        <f>SUM(AE22:AE33)</f>
        <v>1353921.1270722486</v>
      </c>
      <c r="AG35" s="223">
        <f>SUM(AG22:AG33)</f>
        <v>1399447.1067425222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1638698.7999999998</v>
      </c>
      <c r="G37" s="223">
        <f>G11-G35</f>
        <v>1672588.1800000002</v>
      </c>
      <c r="I37" s="223">
        <f>I11-I35</f>
        <v>1707039.1879499999</v>
      </c>
      <c r="K37" s="223">
        <f>K11-K35</f>
        <v>1742055.8896014995</v>
      </c>
      <c r="M37" s="223">
        <f>M11-M35</f>
        <v>1777642.1039147731</v>
      </c>
      <c r="O37" s="223">
        <f>O11-O35</f>
        <v>1813801.3847154998</v>
      </c>
      <c r="Q37" s="223">
        <f>Q11-Q35</f>
        <v>1850537.0014674047</v>
      </c>
      <c r="S37" s="223">
        <f>S11-S35</f>
        <v>1887851.9191239411</v>
      </c>
      <c r="U37" s="223">
        <f>U11-U35</f>
        <v>1925748.7770206006</v>
      </c>
      <c r="W37" s="223">
        <f>W11-W35</f>
        <v>1964229.8667679376</v>
      </c>
      <c r="Y37" s="223">
        <f>Y11-Y35</f>
        <v>2003297.1091038543</v>
      </c>
      <c r="AA37" s="223">
        <f>AA11-AA35</f>
        <v>2042952.0296620447</v>
      </c>
      <c r="AC37" s="223">
        <f>AC11-AC35</f>
        <v>2083195.7336118799</v>
      </c>
      <c r="AE37" s="223">
        <f>AE11-AE35</f>
        <v>2124028.8791232086</v>
      </c>
      <c r="AG37" s="223">
        <f>AG11-AG35</f>
        <v>2165451.6496078209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PNC Bank </v>
      </c>
      <c r="B40" s="226"/>
      <c r="C40" s="220"/>
      <c r="E40" s="222">
        <f>Application!AF627</f>
        <v>1424955.0326643679</v>
      </c>
      <c r="F40" s="222"/>
      <c r="G40" s="222">
        <f>$E$40</f>
        <v>1424955.0326643679</v>
      </c>
      <c r="H40" s="222"/>
      <c r="I40" s="222">
        <f>$E$40</f>
        <v>1424955.0326643679</v>
      </c>
      <c r="J40" s="222"/>
      <c r="K40" s="222">
        <f>$E$40</f>
        <v>1424955.0326643679</v>
      </c>
      <c r="L40" s="222"/>
      <c r="M40" s="222">
        <f>$E$40</f>
        <v>1424955.0326643679</v>
      </c>
      <c r="N40" s="222"/>
      <c r="O40" s="222">
        <f>$E$40</f>
        <v>1424955.0326643679</v>
      </c>
      <c r="P40" s="222"/>
      <c r="Q40" s="222">
        <f>$E$40</f>
        <v>1424955.0326643679</v>
      </c>
      <c r="R40" s="222"/>
      <c r="S40" s="222">
        <f>$E$40</f>
        <v>1424955.0326643679</v>
      </c>
      <c r="T40" s="222"/>
      <c r="U40" s="222">
        <f>$E$40</f>
        <v>1424955.0326643679</v>
      </c>
      <c r="V40" s="222"/>
      <c r="W40" s="222">
        <f>$E$40</f>
        <v>1424955.0326643679</v>
      </c>
      <c r="X40" s="222"/>
      <c r="Y40" s="222">
        <f>$E$40</f>
        <v>1424955.0326643679</v>
      </c>
      <c r="Z40" s="222"/>
      <c r="AA40" s="222">
        <f>$E$40</f>
        <v>1424955.0326643679</v>
      </c>
      <c r="AB40" s="222"/>
      <c r="AC40" s="222">
        <f>$E$40</f>
        <v>1424955.0326643679</v>
      </c>
      <c r="AD40" s="222"/>
      <c r="AE40" s="222">
        <f>$E$40</f>
        <v>1424955.0326643679</v>
      </c>
      <c r="AF40" s="222"/>
      <c r="AG40" s="222">
        <f>$E$40</f>
        <v>1424955.0326643679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1424955.0326643679</v>
      </c>
      <c r="G43" s="223">
        <f>SUM(G40:G42)</f>
        <v>1424955.0326643679</v>
      </c>
      <c r="I43" s="223">
        <f>SUM(I40:I42)</f>
        <v>1424955.0326643679</v>
      </c>
      <c r="K43" s="223">
        <f>SUM(K40:K42)</f>
        <v>1424955.0326643679</v>
      </c>
      <c r="M43" s="223">
        <f>SUM(M40:M42)</f>
        <v>1424955.0326643679</v>
      </c>
      <c r="O43" s="223">
        <f>SUM(O40:O42)</f>
        <v>1424955.0326643679</v>
      </c>
      <c r="Q43" s="223">
        <f>SUM(Q40:Q42)</f>
        <v>1424955.0326643679</v>
      </c>
      <c r="S43" s="223">
        <f>SUM(S40:S42)</f>
        <v>1424955.0326643679</v>
      </c>
      <c r="U43" s="223">
        <f>SUM(U40:U42)</f>
        <v>1424955.0326643679</v>
      </c>
      <c r="W43" s="223">
        <f>SUM(W40:W42)</f>
        <v>1424955.0326643679</v>
      </c>
      <c r="Y43" s="223">
        <f>SUM(Y40:Y42)</f>
        <v>1424955.0326643679</v>
      </c>
      <c r="AA43" s="223">
        <f>SUM(AA40:AA42)</f>
        <v>1424955.0326643679</v>
      </c>
      <c r="AC43" s="223">
        <f>SUM(AC40:AC42)</f>
        <v>1424955.0326643679</v>
      </c>
      <c r="AE43" s="223">
        <f>SUM(AE40:AE42)</f>
        <v>1424955.0326643679</v>
      </c>
      <c r="AG43" s="223">
        <f>SUM(AG40:AG42)</f>
        <v>1424955.0326643679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213743.76733563188</v>
      </c>
      <c r="G45" s="223">
        <f>G37-G43</f>
        <v>247633.14733563224</v>
      </c>
      <c r="I45" s="223">
        <f>I37-I43</f>
        <v>282084.155285632</v>
      </c>
      <c r="K45" s="223">
        <f>K37-K43</f>
        <v>317100.85693713161</v>
      </c>
      <c r="M45" s="223">
        <f>M37-M43</f>
        <v>352687.07125040516</v>
      </c>
      <c r="O45" s="223">
        <f>O37-O43</f>
        <v>388846.35205113189</v>
      </c>
      <c r="Q45" s="223">
        <f>Q37-Q43</f>
        <v>425581.96880303673</v>
      </c>
      <c r="S45" s="223">
        <f>S37-S43</f>
        <v>462896.88645957317</v>
      </c>
      <c r="U45" s="223">
        <f>U37-U43</f>
        <v>500793.7443562327</v>
      </c>
      <c r="W45" s="223">
        <f>W37-W43</f>
        <v>539274.83410356962</v>
      </c>
      <c r="Y45" s="223">
        <f>Y37-Y43</f>
        <v>578342.07643948635</v>
      </c>
      <c r="AA45" s="223">
        <f>AA37-AA43</f>
        <v>617996.99699767679</v>
      </c>
      <c r="AC45" s="223">
        <f>AC37-AC43</f>
        <v>658240.70094751194</v>
      </c>
      <c r="AE45" s="223">
        <f>AE37-AE43</f>
        <v>699073.84645884065</v>
      </c>
      <c r="AG45" s="223">
        <f>AG37-AG43</f>
        <v>740496.61694345297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8.0482967362925276E-2</v>
      </c>
      <c r="G47" s="227">
        <f>G45/(G4+G6+G8)</f>
        <v>9.0969421407093229E-2</v>
      </c>
      <c r="I47" s="227">
        <f>I45/(I4+I6+I8)</f>
        <v>0.10109774812021463</v>
      </c>
      <c r="K47" s="227">
        <f>K45/(K4+K6+K8)</f>
        <v>0.11087569112088573</v>
      </c>
      <c r="M47" s="227">
        <f>M45/(M4+M6+M8)</f>
        <v>0.12031079554201417</v>
      </c>
      <c r="O47" s="227">
        <f>O45/(O4+O6+O8)</f>
        <v>0.1294104127782863</v>
      </c>
      <c r="Q47" s="227">
        <f>Q45/(Q4+Q6+Q8)</f>
        <v>0.13818170511693051</v>
      </c>
      <c r="S47" s="227">
        <f>S45/(S4+S6+S8)</f>
        <v>0.14663165025461439</v>
      </c>
      <c r="U47" s="227">
        <f>U45/(U4+U6+U8)</f>
        <v>0.15476704570324257</v>
      </c>
      <c r="W47" s="227">
        <f>W45/(W4+W6+W8)</f>
        <v>0.16259451308735665</v>
      </c>
      <c r="Y47" s="227">
        <f>Y45/(Y4+Y6+Y8)</f>
        <v>0.17012050233577422</v>
      </c>
      <c r="AA47" s="227">
        <f>AA45/(AA4+AA6+AA8)</f>
        <v>0.1773512957700305</v>
      </c>
      <c r="AC47" s="227">
        <f>AC45/(AC4+AC6+AC8)</f>
        <v>0.18429301209214055</v>
      </c>
      <c r="AE47" s="227">
        <f>AE45/(AE4+AE6+AE8)</f>
        <v>0.19095161027411725</v>
      </c>
      <c r="AG47" s="227">
        <f>AG45/(AG4+AG6+AG8)</f>
        <v>0.19733289335164111</v>
      </c>
    </row>
    <row r="48" spans="1:33" s="227" customFormat="1" ht="14.25">
      <c r="A48" s="227" t="s">
        <v>853</v>
      </c>
      <c r="C48" s="220"/>
      <c r="E48" s="227">
        <f>E45/E43</f>
        <v>0.1500003596155422</v>
      </c>
      <c r="G48" s="227">
        <f>G45/G43</f>
        <v>0.17378313115790753</v>
      </c>
      <c r="I48" s="227">
        <f>I45/I43</f>
        <v>0.19796004001487236</v>
      </c>
      <c r="K48" s="227">
        <f>K45/K43</f>
        <v>0.22253393943542157</v>
      </c>
      <c r="M48" s="227">
        <f>M45/M43</f>
        <v>0.2475075094762493</v>
      </c>
      <c r="O48" s="227">
        <f>O45/O43</f>
        <v>0.27288324412881332</v>
      </c>
      <c r="Q48" s="227">
        <f>Q45/Q43</f>
        <v>0.29866343782602561</v>
      </c>
      <c r="S48" s="227">
        <f>S45/S43</f>
        <v>0.32485017130263599</v>
      </c>
      <c r="U48" s="227">
        <f>U45/U43</f>
        <v>0.35144529678235048</v>
      </c>
      <c r="W48" s="227">
        <f>W45/W43</f>
        <v>0.37845042246367483</v>
      </c>
      <c r="Y48" s="227">
        <f>Y45/Y43</f>
        <v>0.40586689627539163</v>
      </c>
      <c r="AA48" s="227">
        <f>AA45/AA43</f>
        <v>0.43369578887142257</v>
      </c>
      <c r="AC48" s="227">
        <f>AC45/AC43</f>
        <v>0.46193787583369522</v>
      </c>
      <c r="AE48" s="227">
        <f>AE45/AE43</f>
        <v>0.49059361905036314</v>
      </c>
      <c r="AG48" s="227">
        <f>AG45/AG43</f>
        <v>0.51966314723551599</v>
      </c>
    </row>
    <row r="49" spans="1:34" s="228" customFormat="1" ht="14.25">
      <c r="A49" s="228" t="s">
        <v>851</v>
      </c>
      <c r="C49" s="229"/>
      <c r="E49" s="228">
        <f>E37/E43</f>
        <v>1.1500003596155421</v>
      </c>
      <c r="G49" s="228">
        <f>G37/G43</f>
        <v>1.1737831311579074</v>
      </c>
      <c r="I49" s="228">
        <f>I37/I43</f>
        <v>1.1979600400148724</v>
      </c>
      <c r="K49" s="228">
        <f>K37/K43</f>
        <v>1.2225339394354215</v>
      </c>
      <c r="M49" s="228">
        <f>M37/M43</f>
        <v>1.2475075094762493</v>
      </c>
      <c r="O49" s="228">
        <f>O37/O43</f>
        <v>1.2728832441288134</v>
      </c>
      <c r="Q49" s="228">
        <f>Q37/Q43</f>
        <v>1.2986634378260256</v>
      </c>
      <c r="S49" s="228">
        <f>S37/S43</f>
        <v>1.3248501713026359</v>
      </c>
      <c r="U49" s="228">
        <f>U37/U43</f>
        <v>1.3514452967823505</v>
      </c>
      <c r="W49" s="228">
        <f>W37/W43</f>
        <v>1.3784504224636749</v>
      </c>
      <c r="Y49" s="228">
        <f>Y37/Y43</f>
        <v>1.4058668962753917</v>
      </c>
      <c r="AA49" s="228">
        <f>AA37/AA43</f>
        <v>1.4336957888714226</v>
      </c>
      <c r="AC49" s="228">
        <f>AC37/AC43</f>
        <v>1.4619378758336952</v>
      </c>
      <c r="AE49" s="228">
        <f>AE37/AE43</f>
        <v>1.490593619050363</v>
      </c>
      <c r="AG49" s="228">
        <f>AG37/AG43</f>
        <v>1.519663147235516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2739</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1.0349999999999999</v>
      </c>
      <c r="E53" s="964">
        <v>10000</v>
      </c>
      <c r="G53" s="960">
        <f>E53*$C$53</f>
        <v>10350</v>
      </c>
      <c r="I53" s="960">
        <f>G53*$C$53</f>
        <v>10712.25</v>
      </c>
      <c r="K53" s="960">
        <f>I53*$C$53</f>
        <v>11087.178749999999</v>
      </c>
      <c r="M53" s="960">
        <f>K53*$C$53</f>
        <v>11475.230006249998</v>
      </c>
      <c r="O53" s="960">
        <f>M53*$C$53</f>
        <v>11876.863056468746</v>
      </c>
      <c r="Q53" s="960">
        <f>O53*$C$53</f>
        <v>12292.553263445152</v>
      </c>
      <c r="S53" s="960">
        <f>Q53*$C$53</f>
        <v>12722.792627665731</v>
      </c>
      <c r="U53" s="960">
        <f>S53*$C$53</f>
        <v>13168.09036963403</v>
      </c>
      <c r="W53" s="960">
        <f>U53*$C$53</f>
        <v>13628.973532571221</v>
      </c>
      <c r="Y53" s="960">
        <f>W53*$C$53</f>
        <v>14105.987606211213</v>
      </c>
      <c r="AA53" s="960">
        <f>Y53*$C$53</f>
        <v>14599.697172428603</v>
      </c>
      <c r="AC53" s="960">
        <f>AA53*$C$53</f>
        <v>15110.686573463603</v>
      </c>
      <c r="AE53" s="960">
        <f>AC53*$C$53</f>
        <v>15639.560603534828</v>
      </c>
      <c r="AG53" s="960">
        <f>AE53*$C$53</f>
        <v>16186.945224658546</v>
      </c>
    </row>
    <row r="54" spans="1:34" s="3" customFormat="1">
      <c r="A54" s="3" t="s">
        <v>856</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857</v>
      </c>
      <c r="C55" s="958"/>
      <c r="E55" s="965">
        <v>10000</v>
      </c>
      <c r="F55" s="960"/>
      <c r="G55" s="960">
        <f t="shared" si="1"/>
        <v>10350</v>
      </c>
      <c r="H55" s="960"/>
      <c r="I55" s="960">
        <f t="shared" si="1"/>
        <v>10712.25</v>
      </c>
      <c r="J55" s="960"/>
      <c r="K55" s="960">
        <f t="shared" si="1"/>
        <v>11087.178749999999</v>
      </c>
      <c r="L55" s="960"/>
      <c r="M55" s="960">
        <f t="shared" si="1"/>
        <v>11475.230006249998</v>
      </c>
      <c r="N55" s="960"/>
      <c r="O55" s="960">
        <f t="shared" si="1"/>
        <v>11876.863056468746</v>
      </c>
      <c r="P55" s="960"/>
      <c r="Q55" s="960">
        <f t="shared" si="1"/>
        <v>12292.553263445152</v>
      </c>
      <c r="R55" s="960"/>
      <c r="S55" s="960">
        <f t="shared" si="1"/>
        <v>12722.792627665731</v>
      </c>
      <c r="T55" s="960"/>
      <c r="U55" s="960">
        <f t="shared" si="1"/>
        <v>13168.09036963403</v>
      </c>
      <c r="V55" s="960"/>
      <c r="W55" s="960">
        <f t="shared" si="1"/>
        <v>13628.973532571221</v>
      </c>
      <c r="X55" s="960"/>
      <c r="Y55" s="960">
        <f t="shared" si="1"/>
        <v>14105.987606211213</v>
      </c>
      <c r="Z55" s="960"/>
      <c r="AA55" s="960">
        <f t="shared" si="1"/>
        <v>14599.697172428603</v>
      </c>
      <c r="AB55" s="960"/>
      <c r="AC55" s="960">
        <f t="shared" si="1"/>
        <v>15110.686573463603</v>
      </c>
      <c r="AD55" s="960"/>
      <c r="AE55" s="960">
        <f t="shared" si="1"/>
        <v>15639.560603534828</v>
      </c>
      <c r="AF55" s="960"/>
      <c r="AG55" s="960">
        <f t="shared" si="1"/>
        <v>16186.945224658546</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25875</v>
      </c>
      <c r="H58" s="960"/>
      <c r="I58" s="960">
        <f>SUM(I53:I57)</f>
        <v>26780.625</v>
      </c>
      <c r="J58" s="960"/>
      <c r="K58" s="960">
        <f>SUM(K53:K57)</f>
        <v>27717.946874999998</v>
      </c>
      <c r="L58" s="960"/>
      <c r="M58" s="960">
        <f>SUM(M53:M57)</f>
        <v>28688.075015624992</v>
      </c>
      <c r="N58" s="960"/>
      <c r="O58" s="960">
        <f>SUM(O53:O57)</f>
        <v>29692.157641171863</v>
      </c>
      <c r="P58" s="960"/>
      <c r="Q58" s="960">
        <f>SUM(Q53:Q57)</f>
        <v>30731.38315861288</v>
      </c>
      <c r="R58" s="960"/>
      <c r="S58" s="960">
        <f>SUM(S53:S57)</f>
        <v>31806.981569164327</v>
      </c>
      <c r="T58" s="960"/>
      <c r="U58" s="960">
        <f>SUM(U53:U57)</f>
        <v>32920.225924085076</v>
      </c>
      <c r="V58" s="960"/>
      <c r="W58" s="960">
        <f>SUM(W53:W57)</f>
        <v>34072.433831428047</v>
      </c>
      <c r="X58" s="960"/>
      <c r="Y58" s="960">
        <f>SUM(Y53:Y57)</f>
        <v>35264.969015528026</v>
      </c>
      <c r="Z58" s="960"/>
      <c r="AA58" s="960">
        <f>SUM(AA53:AA57)</f>
        <v>36499.242931071509</v>
      </c>
      <c r="AB58" s="960"/>
      <c r="AC58" s="960">
        <f>SUM(AC53:AC57)</f>
        <v>37776.716433659007</v>
      </c>
      <c r="AD58" s="960"/>
      <c r="AE58" s="960">
        <f>SUM(AE53:AE57)</f>
        <v>39098.901508837065</v>
      </c>
      <c r="AF58" s="960"/>
      <c r="AG58" s="960">
        <f>SUM(AG53:AG57)</f>
        <v>40467.363061646363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188743.76733563188</v>
      </c>
      <c r="G60" s="962">
        <f>G45-G58</f>
        <v>221758.14733563224</v>
      </c>
      <c r="I60" s="962">
        <f>I45-I58</f>
        <v>255303.530285632</v>
      </c>
      <c r="K60" s="962">
        <f>K45-K58</f>
        <v>289382.91006213159</v>
      </c>
      <c r="M60" s="962">
        <f>M45-M58</f>
        <v>323998.99623478018</v>
      </c>
      <c r="O60" s="962">
        <f>O45-O58</f>
        <v>359154.19440996001</v>
      </c>
      <c r="Q60" s="962">
        <f>Q45-Q58</f>
        <v>394850.58564442385</v>
      </c>
      <c r="S60" s="962">
        <f>S45-S58</f>
        <v>431089.90489040886</v>
      </c>
      <c r="U60" s="962">
        <f>U45-U58</f>
        <v>467873.51843214763</v>
      </c>
      <c r="W60" s="962">
        <f>W45-W58</f>
        <v>505202.40027214156</v>
      </c>
      <c r="Y60" s="962">
        <f>Y45-Y58</f>
        <v>543077.10742395837</v>
      </c>
      <c r="AA60" s="962">
        <f>AA45-AA58</f>
        <v>581497.75406660524</v>
      </c>
      <c r="AC60" s="962">
        <f>AC45-AC58</f>
        <v>620463.98451385298</v>
      </c>
      <c r="AE60" s="962">
        <f>AE45-AE58</f>
        <v>659974.94495000364</v>
      </c>
      <c r="AG60" s="962">
        <f>AG45-AG58</f>
        <v>700029.25388180662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94371.883667815942</v>
      </c>
      <c r="G62" s="962">
        <f>G60*$C$62</f>
        <v>110879.07366781612</v>
      </c>
      <c r="I62" s="962">
        <f>I60*$C$62</f>
        <v>127651.765142816</v>
      </c>
      <c r="K62" s="962">
        <f>K60*$C$62</f>
        <v>144691.45503106579</v>
      </c>
      <c r="M62" s="962">
        <f>M60*$C$62</f>
        <v>161999.49811739009</v>
      </c>
      <c r="O62" s="962">
        <v>11340</v>
      </c>
      <c r="Q62" s="962">
        <v>0</v>
      </c>
      <c r="S62" s="962">
        <v>0</v>
      </c>
      <c r="U62" s="962">
        <v>0</v>
      </c>
      <c r="W62" s="962">
        <v>0</v>
      </c>
      <c r="Y62" s="962">
        <v>0</v>
      </c>
      <c r="AA62" s="962">
        <v>0</v>
      </c>
      <c r="AC62" s="962">
        <v>0</v>
      </c>
      <c r="AE62" s="962">
        <v>0</v>
      </c>
      <c r="AG62" s="962">
        <v>0</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2705</v>
      </c>
      <c r="B66" s="964"/>
      <c r="C66" s="963"/>
      <c r="E66" s="964">
        <f>$E60*$C$65</f>
        <v>94371.883667815942</v>
      </c>
      <c r="G66" s="960">
        <f>G60*$C$65</f>
        <v>110879.07366781612</v>
      </c>
      <c r="I66" s="960">
        <f>I60*$C$65</f>
        <v>127651.765142816</v>
      </c>
      <c r="K66" s="960">
        <f>K60*$C$65</f>
        <v>144691.45503106579</v>
      </c>
      <c r="M66" s="960">
        <f>M60*$C$65</f>
        <v>161999.49811739009</v>
      </c>
      <c r="O66" s="960">
        <f>O60*$C$65</f>
        <v>179577.09720498</v>
      </c>
      <c r="Q66" s="960">
        <f>Q60*$C$65</f>
        <v>197425.29282221192</v>
      </c>
      <c r="S66" s="960">
        <f>S60*$C$65</f>
        <v>215544.95244520443</v>
      </c>
      <c r="U66" s="960">
        <f>U60*$C$65</f>
        <v>233936.75921607381</v>
      </c>
      <c r="W66" s="960">
        <f>W60*$C$65</f>
        <v>252601.20013607078</v>
      </c>
      <c r="Y66" s="960">
        <f>Y60*$C$65</f>
        <v>271538.55371197918</v>
      </c>
      <c r="AA66" s="960">
        <v>129782</v>
      </c>
      <c r="AC66" s="960">
        <v>0</v>
      </c>
      <c r="AE66" s="960">
        <v>0</v>
      </c>
      <c r="AG66" s="960">
        <v>0</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94371.883667815942</v>
      </c>
      <c r="G70" s="960">
        <f>SUM(G66:G69)</f>
        <v>110879.07366781612</v>
      </c>
      <c r="I70" s="960">
        <f>SUM(I66:I69)</f>
        <v>127651.765142816</v>
      </c>
      <c r="K70" s="960">
        <f>SUM(K66:K69)</f>
        <v>144691.45503106579</v>
      </c>
      <c r="M70" s="960">
        <f>SUM(M66:M69)</f>
        <v>161999.49811739009</v>
      </c>
      <c r="O70" s="960">
        <f>SUM(O66:O69)</f>
        <v>179577.09720498</v>
      </c>
      <c r="Q70" s="960">
        <f>SUM(Q66:Q69)</f>
        <v>197425.29282221192</v>
      </c>
      <c r="S70" s="960">
        <f>SUM(S66:S69)</f>
        <v>215544.95244520443</v>
      </c>
      <c r="U70" s="960">
        <f>SUM(U66:U69)</f>
        <v>233936.75921607381</v>
      </c>
      <c r="W70" s="960">
        <f>SUM(W66:W69)</f>
        <v>252601.20013607078</v>
      </c>
      <c r="Y70" s="960">
        <f>SUM(Y66:Y69)</f>
        <v>271538.55371197918</v>
      </c>
      <c r="AA70" s="960">
        <f>SUM(AA66:AA69)</f>
        <v>129782</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168237.09720498</v>
      </c>
      <c r="Q72" s="962">
        <f>Q60-Q62-Q70</f>
        <v>197425.29282221192</v>
      </c>
      <c r="S72" s="962">
        <f>S60-S62-S70</f>
        <v>215544.95244520443</v>
      </c>
      <c r="U72" s="962">
        <f>U60-U62-U70</f>
        <v>233936.75921607381</v>
      </c>
      <c r="W72" s="962">
        <f>W60-W62-W70</f>
        <v>252601.20013607078</v>
      </c>
      <c r="Y72" s="962">
        <f>Y60-Y62-Y70</f>
        <v>271538.55371197918</v>
      </c>
      <c r="AA72" s="962">
        <f>AA60-AA62-AA70</f>
        <v>451715.75406660524</v>
      </c>
      <c r="AC72" s="962">
        <f>AC60-AC62-AC70</f>
        <v>620463.98451385298</v>
      </c>
      <c r="AE72" s="962">
        <f>AE60-AE62-AE70</f>
        <v>659974.94495000364</v>
      </c>
      <c r="AG72" s="962">
        <f>AG60-AG62-AG70</f>
        <v>700029.25388180662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6" workbookViewId="0">
      <selection activeCell="I64" sqref="I64"/>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21928200</v>
      </c>
      <c r="C10" s="266">
        <f>'Sources and Uses Budget'!$C9</f>
        <v>21928200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21928200</v>
      </c>
      <c r="C12" s="270">
        <f>SUM(C10:C11)</f>
        <v>21928200</v>
      </c>
      <c r="D12" s="270">
        <f t="shared" si="0"/>
        <v>0</v>
      </c>
      <c r="E12" s="268"/>
      <c r="F12" s="267"/>
    </row>
    <row r="13" spans="1:6" s="352" customFormat="1">
      <c r="A13" s="365" t="s">
        <v>84</v>
      </c>
      <c r="B13" s="270">
        <f>SUM(B9+B12)</f>
        <v>21928200</v>
      </c>
      <c r="C13" s="270">
        <f>SUM(C9+C12)</f>
        <v>21928200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850431</v>
      </c>
      <c r="C18" s="266">
        <f>'Sources and Uses Budget'!$C17</f>
        <v>850431</v>
      </c>
      <c r="D18" s="270">
        <f t="shared" si="0"/>
        <v>0</v>
      </c>
      <c r="E18" s="268"/>
      <c r="F18" s="267"/>
    </row>
    <row r="19" spans="1:6" s="352" customFormat="1">
      <c r="A19" s="145" t="s">
        <v>600</v>
      </c>
      <c r="B19" s="266">
        <f>'Sources and Uses Budget'!$C18</f>
        <v>7304604</v>
      </c>
      <c r="C19" s="266">
        <f>'Sources and Uses Budget'!$C18</f>
        <v>7304604</v>
      </c>
      <c r="D19" s="270">
        <f t="shared" si="0"/>
        <v>0</v>
      </c>
      <c r="E19" s="268"/>
      <c r="F19" s="267"/>
    </row>
    <row r="20" spans="1:6" s="352" customFormat="1">
      <c r="A20" s="145" t="s">
        <v>601</v>
      </c>
      <c r="B20" s="266">
        <f>'Sources and Uses Budget'!$C19</f>
        <v>489302</v>
      </c>
      <c r="C20" s="266">
        <f>'Sources and Uses Budget'!$C19</f>
        <v>489302</v>
      </c>
      <c r="D20" s="270">
        <f t="shared" si="0"/>
        <v>0</v>
      </c>
      <c r="E20" s="268"/>
      <c r="F20" s="267"/>
    </row>
    <row r="21" spans="1:6" s="352" customFormat="1">
      <c r="A21" s="145" t="s">
        <v>137</v>
      </c>
      <c r="B21" s="266">
        <f>'Sources and Uses Budget'!$C20</f>
        <v>326202</v>
      </c>
      <c r="C21" s="266">
        <f>'Sources and Uses Budget'!$C20</f>
        <v>326202</v>
      </c>
      <c r="D21" s="270">
        <f t="shared" si="0"/>
        <v>0</v>
      </c>
      <c r="E21" s="268"/>
      <c r="F21" s="267"/>
    </row>
    <row r="22" spans="1:6" s="352" customFormat="1">
      <c r="A22" s="145" t="s">
        <v>138</v>
      </c>
      <c r="B22" s="266">
        <f>'Sources and Uses Budget'!$C21</f>
        <v>326201</v>
      </c>
      <c r="C22" s="266">
        <f>'Sources and Uses Budget'!$C21</f>
        <v>326201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93783</v>
      </c>
      <c r="C24" s="266">
        <f>'Sources and Uses Budget'!$C23</f>
        <v>93783</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9390523</v>
      </c>
      <c r="C27" s="270">
        <f>SUM(C18:C26)</f>
        <v>9390523</v>
      </c>
      <c r="D27" s="270">
        <f>SUM(D18:D26)</f>
        <v>0</v>
      </c>
      <c r="E27" s="268"/>
      <c r="F27" s="267"/>
    </row>
    <row r="28" spans="1:6" s="352" customFormat="1">
      <c r="A28" s="271" t="s">
        <v>141</v>
      </c>
      <c r="B28" s="266">
        <f>'Sources and Uses Budget'!$C$27</f>
        <v>796645</v>
      </c>
      <c r="C28" s="266">
        <f>'Sources and Uses Budget'!$C$27</f>
        <v>796645</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225000</v>
      </c>
      <c r="C41" s="266">
        <f>'Sources and Uses Budget'!$C40</f>
        <v>225000</v>
      </c>
      <c r="D41" s="270">
        <f t="shared" si="0"/>
        <v>0</v>
      </c>
      <c r="E41" s="268"/>
      <c r="F41" s="267"/>
    </row>
    <row r="42" spans="1:6" s="352" customFormat="1">
      <c r="A42" s="269" t="s">
        <v>146</v>
      </c>
      <c r="B42" s="266">
        <f>'Sources and Uses Budget'!$C41</f>
        <v>60000</v>
      </c>
      <c r="C42" s="266">
        <f>'Sources and Uses Budget'!$C41</f>
        <v>60000</v>
      </c>
      <c r="D42" s="270">
        <f t="shared" si="0"/>
        <v>0</v>
      </c>
      <c r="E42" s="268"/>
      <c r="F42" s="267"/>
    </row>
    <row r="43" spans="1:6" s="352" customFormat="1">
      <c r="A43" s="271" t="s">
        <v>147</v>
      </c>
      <c r="B43" s="270">
        <f>SUM(B41:B42)</f>
        <v>285000</v>
      </c>
      <c r="C43" s="270">
        <f>SUM(C41:C42)</f>
        <v>285000</v>
      </c>
      <c r="D43" s="270">
        <f t="shared" si="0"/>
        <v>0</v>
      </c>
      <c r="E43" s="268"/>
      <c r="F43" s="267"/>
    </row>
    <row r="44" spans="1:6" s="352" customFormat="1">
      <c r="A44" s="271" t="s">
        <v>148</v>
      </c>
      <c r="B44" s="266">
        <f>'Sources and Uses Budget'!$C43</f>
        <v>90000</v>
      </c>
      <c r="C44" s="266">
        <f>'Sources and Uses Budget'!$C43</f>
        <v>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2139803</v>
      </c>
      <c r="C46" s="266">
        <f>'Sources and Uses Budget'!$C45</f>
        <v>2139803</v>
      </c>
      <c r="D46" s="270">
        <f t="shared" si="0"/>
        <v>0</v>
      </c>
      <c r="E46" s="268"/>
      <c r="F46" s="267"/>
    </row>
    <row r="47" spans="1:6" s="352" customFormat="1">
      <c r="A47" s="145" t="s">
        <v>151</v>
      </c>
      <c r="B47" s="266">
        <f>'Sources and Uses Budget'!$C46</f>
        <v>363881</v>
      </c>
      <c r="C47" s="266">
        <f>'Sources and Uses Budget'!$C46</f>
        <v>363881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93783</v>
      </c>
      <c r="C49" s="266">
        <f>'Sources and Uses Budget'!$C48</f>
        <v>93783</v>
      </c>
      <c r="D49" s="270">
        <f t="shared" si="0"/>
        <v>0</v>
      </c>
      <c r="E49" s="268"/>
      <c r="F49" s="267"/>
    </row>
    <row r="50" spans="1:6" s="352" customFormat="1">
      <c r="A50" s="145" t="s">
        <v>57</v>
      </c>
      <c r="B50" s="266">
        <f>'Sources and Uses Budget'!$C49</f>
        <v>304648</v>
      </c>
      <c r="C50" s="266">
        <f>'Sources and Uses Budget'!$C49</f>
        <v>304648</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3052115</v>
      </c>
      <c r="C55" s="273">
        <f>SUM(C46:C54)</f>
        <v>3052115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(Equity Bridge Loan)</v>
      </c>
      <c r="B62" s="266">
        <f>'Sources and Uses Budget'!$C61</f>
        <v>479625</v>
      </c>
      <c r="C62" s="266">
        <f>'Sources and Uses Budget'!$C61</f>
        <v>479625</v>
      </c>
      <c r="D62" s="270">
        <f t="shared" si="0"/>
        <v>0</v>
      </c>
      <c r="E62" s="268"/>
      <c r="F62" s="267"/>
    </row>
    <row r="63" spans="1:6" s="352" customFormat="1" ht="13.7" customHeight="1">
      <c r="A63" s="271" t="s">
        <v>301</v>
      </c>
      <c r="B63" s="270">
        <f>SUM(B57:B62)</f>
        <v>479625</v>
      </c>
      <c r="C63" s="270">
        <f>SUM(C57:C62)</f>
        <v>479625</v>
      </c>
      <c r="D63" s="270">
        <f t="shared" si="0"/>
        <v>0</v>
      </c>
      <c r="E63" s="268"/>
      <c r="F63" s="267"/>
    </row>
    <row r="64" spans="1:6" s="352" customFormat="1">
      <c r="A64" s="274" t="s">
        <v>302</v>
      </c>
      <c r="B64" s="270">
        <f>SUM(B9+B12+B14+B15+B17+B26+B28+B39+B43+B44+B55+B63)</f>
        <v>26631585</v>
      </c>
      <c r="C64" s="270">
        <f>SUM(C9+C12+C14+C15+C17+C26+C28+C39+C43+C44+C55+C63)</f>
        <v>26631585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440000</v>
      </c>
      <c r="C66" s="266">
        <f>'Sources and Uses Budget'!$C65</f>
        <v>440000</v>
      </c>
      <c r="D66" s="270">
        <f t="shared" si="0"/>
        <v>0</v>
      </c>
      <c r="E66" s="268"/>
      <c r="F66" s="267"/>
    </row>
    <row r="67" spans="1:6" s="352" customFormat="1" ht="24">
      <c r="A67" s="283" t="s">
        <v>1642</v>
      </c>
      <c r="B67" s="266">
        <f>'Sources and Uses Budget'!$C66</f>
        <v>200000</v>
      </c>
      <c r="C67" s="266">
        <f>'Sources and Uses Budget'!$C66</f>
        <v>200000</v>
      </c>
      <c r="D67" s="270"/>
      <c r="E67" s="268"/>
      <c r="F67" s="267"/>
    </row>
    <row r="68" spans="1:6" s="352" customFormat="1" ht="24">
      <c r="A68" s="283" t="s">
        <v>1643</v>
      </c>
      <c r="B68" s="266">
        <f>'Sources and Uses Budget'!$C67</f>
        <v>60000</v>
      </c>
      <c r="C68" s="266">
        <f>'Sources and Uses Budget'!$C67</f>
        <v>60000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(Admin Fees)</v>
      </c>
      <c r="B70" s="266">
        <f>'Sources and Uses Budget'!$C69</f>
        <v>116000</v>
      </c>
      <c r="C70" s="266">
        <f>'Sources and Uses Budget'!$C69</f>
        <v>116000</v>
      </c>
      <c r="D70" s="270">
        <f t="shared" si="0"/>
        <v>0</v>
      </c>
      <c r="E70" s="268"/>
      <c r="F70" s="267"/>
    </row>
    <row r="71" spans="1:6" s="352" customFormat="1">
      <c r="A71" s="149" t="s">
        <v>1646</v>
      </c>
      <c r="B71" s="270">
        <f>SUM(B66:B70)</f>
        <v>816000</v>
      </c>
      <c r="C71" s="270">
        <f>SUM(C66:C70)</f>
        <v>816000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31800</v>
      </c>
      <c r="C75" s="266">
        <f>'Sources and Uses Budget'!$C74</f>
        <v>31800</v>
      </c>
      <c r="D75" s="270">
        <f t="shared" si="0"/>
        <v>0</v>
      </c>
      <c r="E75" s="268"/>
      <c r="F75" s="267"/>
    </row>
    <row r="76" spans="1:6" s="352" customFormat="1">
      <c r="A76" s="269" t="s">
        <v>606</v>
      </c>
      <c r="B76" s="266">
        <f>'Sources and Uses Budget'!$C75</f>
        <v>577308</v>
      </c>
      <c r="C76" s="266">
        <f>'Sources and Uses Budget'!$C75</f>
        <v>577308</v>
      </c>
      <c r="D76" s="270">
        <f t="shared" si="0"/>
        <v>0</v>
      </c>
      <c r="E76" s="268"/>
      <c r="F76" s="267"/>
    </row>
    <row r="77" spans="1:6" s="352" customFormat="1">
      <c r="A77" s="272" t="s">
        <v>34</v>
      </c>
      <c r="B77" s="266">
        <f>'Sources and Uses Budget'!$C76</f>
        <v>259600</v>
      </c>
      <c r="C77" s="266">
        <f>'Sources and Uses Budget'!$C76</f>
        <v>259600</v>
      </c>
      <c r="D77" s="270">
        <f t="shared" si="0"/>
        <v>0</v>
      </c>
      <c r="E77" s="268"/>
      <c r="F77" s="267"/>
    </row>
    <row r="78" spans="1:6" s="352" customFormat="1">
      <c r="A78" s="271" t="s">
        <v>607</v>
      </c>
      <c r="B78" s="270">
        <f>SUM(B73:B77)</f>
        <v>868708</v>
      </c>
      <c r="C78" s="270">
        <f>SUM(C73:C77)</f>
        <v>868708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939052</v>
      </c>
      <c r="C80" s="266">
        <f>'Sources and Uses Budget'!$C79</f>
        <v>939052</v>
      </c>
      <c r="D80" s="270">
        <f t="shared" si="1"/>
        <v>0</v>
      </c>
      <c r="E80" s="268"/>
      <c r="F80" s="267"/>
    </row>
    <row r="81" spans="1:6" s="352" customFormat="1">
      <c r="A81" s="510" t="s">
        <v>58</v>
      </c>
      <c r="B81" s="266">
        <f>'Sources and Uses Budget'!$C80</f>
        <v>339160</v>
      </c>
      <c r="C81" s="266">
        <f>'Sources and Uses Budget'!$C80</f>
        <v>339160</v>
      </c>
      <c r="D81" s="270">
        <f>C81-B81</f>
        <v>0</v>
      </c>
      <c r="E81" s="268"/>
      <c r="F81" s="267"/>
    </row>
    <row r="82" spans="1:6" s="352" customFormat="1">
      <c r="A82" s="271" t="s">
        <v>1210</v>
      </c>
      <c r="B82" s="270">
        <f>SUM(B80:B81)</f>
        <v>1278212</v>
      </c>
      <c r="C82" s="270">
        <f>SUM(C80:C81)</f>
        <v>1278212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95631</v>
      </c>
      <c r="C84" s="266">
        <f>'Sources and Uses Budget'!$C83</f>
        <v>95631</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40315</v>
      </c>
      <c r="C90" s="266">
        <f>'Sources and Uses Budget'!$C89</f>
        <v>40315</v>
      </c>
      <c r="D90" s="270">
        <f t="shared" si="1"/>
        <v>0</v>
      </c>
      <c r="E90" s="268"/>
      <c r="F90" s="267"/>
    </row>
    <row r="91" spans="1:6" s="352" customFormat="1">
      <c r="A91" s="269" t="s">
        <v>774</v>
      </c>
      <c r="B91" s="266">
        <f>'Sources and Uses Budget'!$C90</f>
        <v>16950</v>
      </c>
      <c r="C91" s="266">
        <f>'Sources and Uses Budget'!$C90</f>
        <v>16950</v>
      </c>
      <c r="D91" s="270">
        <f t="shared" si="1"/>
        <v>0</v>
      </c>
      <c r="E91" s="268"/>
      <c r="F91" s="267"/>
    </row>
    <row r="92" spans="1:6" s="352" customFormat="1">
      <c r="A92" s="269" t="s">
        <v>372</v>
      </c>
      <c r="B92" s="266">
        <f>'Sources and Uses Budget'!$C91</f>
        <v>50250</v>
      </c>
      <c r="C92" s="266">
        <f>'Sources and Uses Budget'!$C91</f>
        <v>50250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32761</v>
      </c>
      <c r="C95" s="266">
        <f>'Sources and Uses Budget'!$C94</f>
        <v>32761</v>
      </c>
      <c r="D95" s="270">
        <f t="shared" si="1"/>
        <v>0</v>
      </c>
      <c r="E95" s="268"/>
      <c r="F95" s="267"/>
    </row>
    <row r="96" spans="1:6" s="352" customFormat="1">
      <c r="A96" s="272" t="s">
        <v>34</v>
      </c>
      <c r="B96" s="266">
        <f>'Sources and Uses Budget'!$C95</f>
        <v>62209</v>
      </c>
      <c r="C96" s="266">
        <f>'Sources and Uses Budget'!$C95</f>
        <v>62209</v>
      </c>
      <c r="D96" s="270">
        <f t="shared" si="1"/>
        <v>0</v>
      </c>
      <c r="E96" s="268"/>
      <c r="F96" s="267"/>
    </row>
    <row r="97" spans="1:6" s="352" customFormat="1">
      <c r="A97" s="271" t="s">
        <v>775</v>
      </c>
      <c r="B97" s="270">
        <f>SUM(B84:B96)</f>
        <v>333116</v>
      </c>
      <c r="C97" s="270">
        <f>SUM(C84:C96)</f>
        <v>333116</v>
      </c>
      <c r="D97" s="270">
        <f t="shared" si="1"/>
        <v>0</v>
      </c>
      <c r="E97" s="268"/>
      <c r="F97" s="267"/>
    </row>
    <row r="98" spans="1:6" s="352" customFormat="1">
      <c r="A98" s="271" t="s">
        <v>776</v>
      </c>
      <c r="B98" s="270">
        <f>SUM(B64+B71+B78+B82+B97)</f>
        <v>29927621</v>
      </c>
      <c r="C98" s="270">
        <f>SUM(C64+C71+C78+C82+C97)</f>
        <v>29927621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1500000</v>
      </c>
      <c r="C100" s="266">
        <f>'Sources and Uses Budget'!$C99</f>
        <v>1500000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1500000</v>
      </c>
      <c r="C105" s="270">
        <f>SUM(C100:C104)</f>
        <v>1500000</v>
      </c>
      <c r="D105" s="270">
        <f t="shared" si="1"/>
        <v>0</v>
      </c>
      <c r="E105" s="268"/>
      <c r="F105" s="267"/>
    </row>
    <row r="106" spans="1:6" s="352" customFormat="1">
      <c r="A106" s="271" t="s">
        <v>781</v>
      </c>
      <c r="B106" s="273">
        <f>SUM(B98+B105)</f>
        <v>31427621</v>
      </c>
      <c r="C106" s="273">
        <f>SUM(C98+C105)</f>
        <v>31427621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44" zoomScale="85" zoomScaleNormal="85" workbookViewId="0">
      <selection activeCell="D774" sqref="D774:F77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2613</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2613</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2614</v>
      </c>
      <c r="D24" s="1301" t="s">
        <v>1092</v>
      </c>
      <c r="E24" s="1301"/>
      <c r="F24" s="1301"/>
      <c r="I24" s="490"/>
    </row>
    <row r="25" spans="1:9" ht="14.25">
      <c r="A25" s="484"/>
      <c r="B25" s="484"/>
      <c r="D25" s="1301"/>
      <c r="E25" s="1301"/>
      <c r="F25" s="1301"/>
      <c r="I25" s="490"/>
    </row>
    <row r="26" spans="1:9">
      <c r="I26" s="490"/>
    </row>
    <row r="27" spans="1:9" ht="14.25">
      <c r="A27" s="484"/>
      <c r="B27" s="485" t="s">
        <v>2613</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2614</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2613</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2614</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2614</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2613</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2613</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2613</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2614</v>
      </c>
      <c r="D65" s="1301" t="s">
        <v>1098</v>
      </c>
      <c r="E65" s="1301"/>
      <c r="F65" s="1301"/>
      <c r="I65" s="490"/>
    </row>
    <row r="66" spans="1:9">
      <c r="D66" s="1301"/>
      <c r="E66" s="1301"/>
      <c r="F66" s="1301"/>
      <c r="I66" s="490"/>
    </row>
    <row r="67" spans="1:9">
      <c r="I67" s="490"/>
    </row>
    <row r="68" spans="1:9" ht="14.25">
      <c r="A68" s="484"/>
      <c r="B68" s="485" t="s">
        <v>2613</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2613</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2613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2613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2613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2613</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2614</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2613</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2614</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2613</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2613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2613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2614</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2614</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2614</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2614</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2614</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2614</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2614</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2614</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2614</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2614</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2613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2613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2614</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2614</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2613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2613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2614</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2614</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2614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2613</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2613</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2614</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2613</v>
      </c>
      <c r="D305" s="1299" t="s">
        <v>1130</v>
      </c>
      <c r="E305" s="1299"/>
      <c r="F305" s="1299"/>
      <c r="I305" s="490"/>
    </row>
    <row r="306" spans="1:9" ht="14.25">
      <c r="A306" s="484"/>
      <c r="B306" s="484"/>
      <c r="D306" s="494"/>
      <c r="E306" s="495"/>
      <c r="F306" s="495"/>
      <c r="I306" s="490"/>
    </row>
    <row r="307" spans="1:9" ht="13.7" customHeight="1">
      <c r="B307" s="485" t="s">
        <v>2614</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2614</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2614</v>
      </c>
      <c r="D316" s="1299" t="s">
        <v>1132</v>
      </c>
      <c r="E316" s="1299"/>
      <c r="F316" s="1299"/>
      <c r="I316" s="490"/>
    </row>
    <row r="317" spans="1:9">
      <c r="E317" s="446"/>
      <c r="F317" s="446"/>
      <c r="I317" s="490"/>
    </row>
    <row r="318" spans="1:9" ht="14.25">
      <c r="A318" s="484"/>
      <c r="B318" s="485" t="s">
        <v>2613</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2613</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2613</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2613</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2613</v>
      </c>
      <c r="C360" s="476"/>
      <c r="D360" s="1318" t="s">
        <v>2057</v>
      </c>
      <c r="E360" s="1318"/>
      <c r="F360" s="1318"/>
      <c r="I360" s="480"/>
    </row>
    <row r="361" spans="1:9">
      <c r="A361" s="476"/>
      <c r="B361" s="476"/>
      <c r="C361" s="476"/>
      <c r="D361" s="447"/>
      <c r="E361" s="447"/>
      <c r="F361" s="446"/>
      <c r="I361" s="490"/>
    </row>
    <row r="362" spans="1:9">
      <c r="A362" s="476"/>
      <c r="B362" s="485" t="s">
        <v>2613</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2613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2613</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2613</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2613</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2613</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2613</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2613</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2613</v>
      </c>
      <c r="C471" s="484"/>
      <c r="D471" s="1301" t="s">
        <v>1198</v>
      </c>
      <c r="E471" s="1301"/>
      <c r="F471" s="1301"/>
      <c r="I471" s="490"/>
    </row>
    <row r="472" spans="1:9">
      <c r="D472" s="1301"/>
      <c r="E472" s="1301"/>
      <c r="F472" s="1301"/>
      <c r="I472" s="490"/>
    </row>
    <row r="473" spans="1:9">
      <c r="D473" s="446"/>
      <c r="E473" s="446"/>
      <c r="F473" s="446"/>
      <c r="I473" s="490"/>
    </row>
    <row r="474" spans="1:9" ht="14.25">
      <c r="B474" s="485" t="s">
        <v>2613</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2613</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2614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2614</v>
      </c>
      <c r="C486" s="402"/>
      <c r="D486" s="1301"/>
      <c r="E486" s="1301"/>
      <c r="F486" s="1301"/>
      <c r="I486" s="490"/>
    </row>
    <row r="487" spans="1:9">
      <c r="A487" s="402"/>
      <c r="C487" s="402"/>
      <c r="D487" s="1301"/>
      <c r="E487" s="1301"/>
      <c r="F487" s="1301"/>
      <c r="I487" s="490"/>
    </row>
    <row r="488" spans="1:9">
      <c r="A488" s="402"/>
      <c r="B488" s="485" t="s">
        <v>2614</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2614</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2613</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2613</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2613</v>
      </c>
      <c r="D509" s="1299" t="s">
        <v>1144</v>
      </c>
      <c r="E509" s="1299"/>
      <c r="F509" s="1299"/>
      <c r="I509" s="490"/>
    </row>
    <row r="510" spans="1:9" ht="14.25">
      <c r="A510" s="484"/>
      <c r="B510" s="484"/>
      <c r="D510" s="446"/>
      <c r="I510" s="490"/>
    </row>
    <row r="511" spans="1:9" ht="14.25">
      <c r="A511" s="484"/>
      <c r="B511" s="485" t="s">
        <v>2613</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2614</v>
      </c>
      <c r="D514" s="1299" t="s">
        <v>1146</v>
      </c>
      <c r="E514" s="1299"/>
      <c r="F514" s="1299"/>
      <c r="I514" s="490"/>
    </row>
    <row r="515" spans="1:9">
      <c r="D515" s="446"/>
      <c r="E515" s="446"/>
      <c r="F515" s="446"/>
      <c r="I515" s="490"/>
    </row>
    <row r="516" spans="1:9">
      <c r="B516" s="485" t="s">
        <v>2614</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2613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2613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2613</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2613</v>
      </c>
      <c r="C548" s="487"/>
      <c r="D548" s="1299" t="s">
        <v>885</v>
      </c>
      <c r="E548" s="1299"/>
      <c r="F548" s="1299"/>
      <c r="I548" s="490"/>
    </row>
    <row r="549" spans="1:9" ht="13.7" customHeight="1">
      <c r="A549" s="487"/>
      <c r="B549" s="487"/>
      <c r="C549" s="487"/>
      <c r="D549" s="446"/>
      <c r="I549" s="490"/>
    </row>
    <row r="550" spans="1:9" ht="14.25">
      <c r="A550" s="484"/>
      <c r="B550" s="485" t="s">
        <v>2613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2613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2613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2613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2614</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2614</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2613</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2613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2613</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2613</v>
      </c>
      <c r="D588" s="1313" t="s">
        <v>889</v>
      </c>
      <c r="E588" s="1313"/>
      <c r="F588" s="1313"/>
      <c r="I588" s="490"/>
    </row>
    <row r="589" spans="1:9">
      <c r="A589" s="490"/>
      <c r="B589" s="490"/>
      <c r="D589" s="476"/>
      <c r="I589" s="490"/>
    </row>
    <row r="590" spans="1:9">
      <c r="A590" s="490"/>
      <c r="B590" s="485" t="s">
        <v>2613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2614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2613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2614</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2613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2613</v>
      </c>
      <c r="D620" s="1307" t="s">
        <v>1112</v>
      </c>
      <c r="E620" s="1307"/>
      <c r="F620" s="1307"/>
      <c r="I620" s="490"/>
    </row>
    <row r="621" spans="1:9">
      <c r="D621" s="1307"/>
      <c r="E621" s="1307"/>
      <c r="F621" s="1307"/>
      <c r="I621" s="490"/>
    </row>
    <row r="622" spans="1:9">
      <c r="I622" s="490"/>
    </row>
    <row r="623" spans="1:9">
      <c r="B623" s="485" t="s">
        <v>2613</v>
      </c>
      <c r="D623" s="1307" t="s">
        <v>1113</v>
      </c>
      <c r="E623" s="1307"/>
      <c r="F623" s="1307"/>
      <c r="I623" s="490"/>
    </row>
    <row r="624" spans="1:9">
      <c r="C624" s="500"/>
      <c r="D624" s="1307"/>
      <c r="E624" s="1307"/>
      <c r="F624" s="1307"/>
      <c r="I624" s="490"/>
    </row>
    <row r="625" spans="1:9">
      <c r="C625" s="500"/>
      <c r="I625" s="490"/>
    </row>
    <row r="626" spans="1:9">
      <c r="B626" s="485" t="s">
        <v>2614</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2613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2614</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2614</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2614</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2613</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2613</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2613</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2613</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2614</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2614</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2614</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2614</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2614</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2614</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2614</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2614</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2614</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2614</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2614</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2614</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2613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2613</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2613</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2614</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2613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2614</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2613</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2614</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2614</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2614</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2614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2613</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2613</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2614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2614</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2614</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2613</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2613</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2614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2614</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2614</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2614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2613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2613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2614</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2614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2614</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2614</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2613</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2613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2613</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2614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2614</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2614</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2614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2613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2614</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2614</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2614</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2613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2614</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2613</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2614</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2614</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2613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2614</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2613</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2614</v>
      </c>
      <c r="C1062" s="402"/>
      <c r="D1062" s="402" t="s">
        <v>1813</v>
      </c>
      <c r="I1062" s="490"/>
    </row>
    <row r="1063" spans="1:9">
      <c r="A1063" s="402"/>
      <c r="B1063" s="402"/>
      <c r="C1063" s="402"/>
      <c r="I1063" s="490"/>
    </row>
    <row r="1064" spans="1:9">
      <c r="A1064" s="402"/>
      <c r="B1064" s="485" t="s">
        <v>2614</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2613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2614</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2614</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2614</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2614</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2614</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2613</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2614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2613</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2614</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39" zoomScale="85" zoomScaleNormal="85" workbookViewId="0">
      <selection activeCell="AM554" sqref="AM554:AS5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53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2510</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2502</v>
      </c>
      <c r="BE9" s="1249">
        <f>SUMIF($AC$718:$AC$752,"&lt;=40%",$G$718:G$752)-SUM($BE$5:BE8)</f>
        <v>0</v>
      </c>
    </row>
    <row r="10" spans="1:58" ht="12.95" customHeight="1">
      <c r="A10" s="1372" t="s">
        <v>2459</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2511</v>
      </c>
      <c r="BE10" s="1249">
        <f>SUMIF($AC$718:$AC$752,"&lt;=45%",$G$718:G$752)-SUM($BE$5:BE9)</f>
        <v>0</v>
      </c>
    </row>
    <row r="11" spans="1:58" ht="12.95" customHeight="1">
      <c r="A11" s="1372" t="s">
        <v>2605</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2503</v>
      </c>
      <c r="BE11" s="1249">
        <f>SUMIF($AC$718:$AC$752,"&lt;=50%",$G$718:G$752)-SUM($BE$5:BE10)</f>
        <v>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52</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19" t="s">
        <v>2615</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Shiloh Arms</v>
      </c>
    </row>
    <row r="17" spans="1:58" ht="12.95" customHeight="1">
      <c r="BD17" s="1247" t="s">
        <v>2519</v>
      </c>
      <c r="BE17" s="1249">
        <f>Application!AA934</f>
        <v>0</v>
      </c>
    </row>
    <row r="18" spans="1:58" ht="12.95" customHeight="1">
      <c r="A18" s="57" t="s">
        <v>101</v>
      </c>
      <c r="C18" s="4"/>
      <c r="D18" s="4"/>
      <c r="E18" s="4"/>
      <c r="F18" s="4"/>
      <c r="G18" s="4"/>
      <c r="H18" s="1416" t="s">
        <v>2616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2520</v>
      </c>
      <c r="BE18" s="1249">
        <f>'CalHFA Addendum'!N11</f>
        <v>0</v>
      </c>
    </row>
    <row r="19" spans="1:58" ht="12.95" customHeight="1">
      <c r="BD19" s="1247" t="s">
        <v>2521</v>
      </c>
      <c r="BE19" s="1249">
        <f>Application!M26</f>
        <v>1674055</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2522</v>
      </c>
      <c r="BE20" s="1249">
        <f>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2523</v>
      </c>
      <c r="BE21" s="1249">
        <f>Application!AM554</f>
        <v>9685965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40818144</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91854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8">
        <f>'Basis &amp; Credits'!AB56</f>
        <v>1674055</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2528</v>
      </c>
      <c r="BE29" s="1249"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2597</v>
      </c>
      <c r="BE33" s="1249" t="str">
        <f>Application!D220</f>
        <v>Capital Region: El Dorado, Placer, Sacramento, Sutter, Yuba, and Yolo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2531</v>
      </c>
      <c r="BE34" s="1249" t="str">
        <f>Application!I185</f>
        <v>4009 23rd Avenue</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2532</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2533</v>
      </c>
      <c r="BE36" s="1249" t="str">
        <f>Application!I189</f>
        <v>Sacramento</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2534</v>
      </c>
      <c r="BE37" s="1249" t="str">
        <f>Application!T189</f>
        <v>Sacramento</v>
      </c>
    </row>
    <row r="38" spans="1:57" ht="12.95" customHeight="1">
      <c r="A38" s="3"/>
      <c r="AZ38" s="20"/>
      <c r="BD38" s="1248" t="s">
        <v>2535</v>
      </c>
      <c r="BE38" s="1249">
        <f>Application!I190</f>
        <v>95820</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106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105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0.44857142857142857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0.43421975438236748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385076.83018867922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18</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Kingdom Vivante,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Kingdom Development, Inc.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OAHS Shiloh AGP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David Baruch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Orbach Affordable Housing Solutions, LLC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Orbach Affordable Housing Solutions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 xml:space="preserve">980 Sylvan Avenue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Englewood Ciffs, New Jersey, 07632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David Baruch</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davidb@OAHSaffordable.com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0.83991547470065198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2594</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2559</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2562</v>
      </c>
      <c r="BE69" s="1249" t="str">
        <f>Application!W700</f>
        <v xml:space="preserve">Sacramento Housing &amp; Redevelopment Agency </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2563</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2565</v>
      </c>
      <c r="BE72" s="1249">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2568</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2569</v>
      </c>
      <c r="BE76" s="1249">
        <f>'Points System'!AF811</f>
        <v>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2572</v>
      </c>
      <c r="BE79" s="1249">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2573</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4.9172781205842124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Sacramento Housing and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Christine Weichert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801 12th Street, 4th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Sacramento</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2582</v>
      </c>
      <c r="BE89" s="1249">
        <f>Application!O158</f>
        <v>95814</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2583</v>
      </c>
      <c r="BE90" s="1249" t="str">
        <f>Application!H16</f>
        <v>OAHS Shiloh TC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980 Sylvan Ave.</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2585</v>
      </c>
      <c r="BE92" s="1249" t="str">
        <f>Application!M234</f>
        <v>Englewood Cliffs</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2586</v>
      </c>
      <c r="BE93" s="1249" t="str">
        <f>Application!W234</f>
        <v>NJ</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2587</v>
      </c>
      <c r="BE94" s="1249" t="str">
        <f>Application!AC234</f>
        <v>07632</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2588</v>
      </c>
      <c r="BE95" s="1249" t="str">
        <f>Application!M235</f>
        <v>David Baruch</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2589</v>
      </c>
      <c r="BE96" s="1249" t="str">
        <f>Application!M237</f>
        <v>davidb@OAHSaffordable.com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2590</v>
      </c>
      <c r="BE97" s="1249" t="str">
        <f>Application!M248</f>
        <v>william@kingdomdevelopment.net</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2591</v>
      </c>
      <c r="BE98" s="1249" t="str">
        <f>Application!M256</f>
        <v>davidb@OAHSaffordable.com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2593</v>
      </c>
      <c r="BE100" s="1249" t="str">
        <f>Application!L279</f>
        <v>william@kingdomdevelopment.net</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2598</v>
      </c>
      <c r="BE101">
        <f>'Sources and Uses Budget'!C105</f>
        <v>40818144</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2599</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7">
        <v>28</v>
      </c>
      <c r="H113" s="1787"/>
      <c r="I113" s="3" t="s">
        <v>182</v>
      </c>
      <c r="L113" s="1787" t="s">
        <v>2734</v>
      </c>
      <c r="M113" s="1787"/>
      <c r="N113" s="1787"/>
      <c r="O113" s="1787"/>
      <c r="P113" s="1794" t="s">
        <v>2240</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2619</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2617</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Sacramento</v>
      </c>
      <c r="DH122" s="1654"/>
      <c r="DI122" s="1654"/>
      <c r="DJ122" s="1654"/>
      <c r="DK122" s="1654"/>
      <c r="DL122" s="1654"/>
      <c r="DM122" s="1655"/>
    </row>
    <row r="123" spans="1:117" ht="12.95" customHeight="1">
      <c r="A123" s="3"/>
      <c r="B123" s="3"/>
      <c r="T123" s="3"/>
      <c r="U123" s="3"/>
      <c r="V123" s="3"/>
      <c r="W123" s="3"/>
      <c r="X123" s="3"/>
      <c r="Y123" s="1787" t="s">
        <v>2618</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7" t="s">
        <v>2620</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6" t="s">
        <v>2621</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2622</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68</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95814</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9">
        <v>9164401353</v>
      </c>
      <c r="P159" s="1779"/>
      <c r="Q159" s="1779"/>
      <c r="R159" s="1779"/>
      <c r="S159" s="1779"/>
      <c r="T159" s="1779"/>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9"/>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3" t="s">
        <v>2623</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5">
        <v>25</v>
      </c>
      <c r="V176" s="1425"/>
      <c r="W176" s="1" t="s">
        <v>306</v>
      </c>
      <c r="X176" s="1782">
        <v>637</v>
      </c>
      <c r="Y176" s="1782"/>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1"/>
      <c r="AG178" s="1781"/>
      <c r="AH178" s="1" t="s">
        <v>306</v>
      </c>
      <c r="AI178" s="1805"/>
      <c r="AJ178" s="1805"/>
      <c r="AK178" s="1805"/>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Shiloh Arms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2624</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68</v>
      </c>
      <c r="J189" s="1371"/>
      <c r="K189" s="1371"/>
      <c r="L189" s="1371"/>
      <c r="M189" s="1371"/>
      <c r="N189" s="1371"/>
      <c r="O189" s="1371"/>
      <c r="P189" s="1371"/>
      <c r="Q189" t="s">
        <v>583</v>
      </c>
      <c r="T189" s="1371" t="s">
        <v>68</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95820</v>
      </c>
      <c r="J190" s="1348"/>
      <c r="K190" s="1348"/>
      <c r="L190" s="1348"/>
      <c r="M190" s="1348"/>
      <c r="N190" s="1348"/>
      <c r="O190" t="s">
        <v>586</v>
      </c>
      <c r="T190" s="1788" t="s">
        <v>2625</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2626</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3" t="s">
        <v>2214</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7</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546</v>
      </c>
      <c r="U196" s="1402"/>
      <c r="W196" t="s">
        <v>686</v>
      </c>
      <c r="AH196" s="1332">
        <v>10</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2514</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1">
        <f>M26</f>
        <v>1674055</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358"/>
      <c r="F205" s="1358"/>
      <c r="G205" s="1358"/>
      <c r="H205" s="1358"/>
      <c r="I205" s="1358"/>
      <c r="J205" s="1358"/>
      <c r="K205" s="1358"/>
      <c r="L205" s="1358"/>
      <c r="M205" s="1358"/>
      <c r="P205" s="1780">
        <f>M27</f>
        <v>0</v>
      </c>
      <c r="Q205" s="1780"/>
      <c r="R205" s="1780"/>
      <c r="S205" s="1780"/>
      <c r="T205" s="1780"/>
      <c r="U205" s="1780"/>
      <c r="V205" s="28"/>
      <c r="W205" s="3" t="s">
        <v>1721</v>
      </c>
      <c r="Z205" s="1810" t="s">
        <v>1185</v>
      </c>
      <c r="AA205" s="1810"/>
      <c r="AB205" s="1810"/>
      <c r="AC205" s="1810"/>
      <c r="AD205" s="1810"/>
      <c r="AE205" s="1810"/>
      <c r="AF205" s="1810"/>
      <c r="AG205" s="1810"/>
      <c r="AH205" s="1810"/>
      <c r="AI205" s="1810"/>
      <c r="AJ205" s="1810"/>
      <c r="AK205" s="1810"/>
      <c r="AL205" s="1810"/>
      <c r="AM205" s="1810"/>
      <c r="AN205" s="1810"/>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2627</v>
      </c>
      <c r="E208" s="1417"/>
      <c r="F208" s="1417"/>
      <c r="G208" s="1417"/>
      <c r="H208" s="1417"/>
      <c r="I208" s="1417"/>
      <c r="J208" s="1417"/>
      <c r="K208" s="1417"/>
      <c r="L208" s="1417"/>
      <c r="M208" s="14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1" t="s">
        <v>2468</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OAHS Shiloh TC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2628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2629</v>
      </c>
      <c r="N234" s="1417"/>
      <c r="O234" s="1417"/>
      <c r="P234" s="1417"/>
      <c r="Q234" s="1417"/>
      <c r="R234" s="1417"/>
      <c r="S234" s="1417"/>
      <c r="T234" s="1417"/>
      <c r="V234" s="33" t="s">
        <v>86</v>
      </c>
      <c r="W234" s="1545" t="s">
        <v>2632</v>
      </c>
      <c r="X234" s="1436"/>
      <c r="Y234" s="4" t="s">
        <v>584</v>
      </c>
      <c r="AC234" s="1802" t="s">
        <v>2642</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2630</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2017933117</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3" t="s">
        <v>2631</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2634</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2635</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6" t="s">
        <v>2636</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67</v>
      </c>
      <c r="N245" s="1417"/>
      <c r="O245" s="1417"/>
      <c r="P245" s="1417"/>
      <c r="Q245" s="1417"/>
      <c r="R245" s="1417"/>
      <c r="S245" s="1417"/>
      <c r="T245" s="1417"/>
      <c r="V245" s="33" t="s">
        <v>86</v>
      </c>
      <c r="W245" s="1545" t="s">
        <v>2637</v>
      </c>
      <c r="X245" s="1436"/>
      <c r="Y245" s="4" t="s">
        <v>584</v>
      </c>
      <c r="AC245" s="1417">
        <v>92507</v>
      </c>
      <c r="AD245" s="1417"/>
      <c r="AE245" s="1417"/>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6" t="s">
        <v>2638</v>
      </c>
      <c r="N246" s="1417"/>
      <c r="O246" s="1417"/>
      <c r="P246" s="1417"/>
      <c r="Q246" s="1417"/>
      <c r="R246" s="1417"/>
      <c r="S246" s="1417"/>
      <c r="T246" s="1417"/>
      <c r="U246" s="1417"/>
      <c r="V246" s="1417"/>
      <c r="W246" s="1417"/>
      <c r="X246" s="1417"/>
      <c r="Y246" s="1417"/>
      <c r="Z246" s="1417"/>
      <c r="AA246" s="1417"/>
      <c r="AB246" s="1417"/>
      <c r="AC246" s="1417"/>
      <c r="AD246" s="1417"/>
      <c r="AE246" s="1417"/>
      <c r="AH246" s="1777">
        <v>1E-3</v>
      </c>
      <c r="AI246" s="1777"/>
      <c r="AJ246" s="1777"/>
      <c r="AK246" s="177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9515386244</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2633</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4" t="s">
        <v>2639</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2640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2641</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2628</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2629</v>
      </c>
      <c r="N253" s="1417"/>
      <c r="O253" s="1417"/>
      <c r="P253" s="1417"/>
      <c r="Q253" s="1417"/>
      <c r="R253" s="1417"/>
      <c r="S253" s="1417"/>
      <c r="T253" s="1417"/>
      <c r="V253" s="33" t="s">
        <v>86</v>
      </c>
      <c r="W253" s="1545" t="s">
        <v>2632</v>
      </c>
      <c r="X253" s="1436"/>
      <c r="Y253" s="4" t="s">
        <v>584</v>
      </c>
      <c r="AC253" s="1802" t="s">
        <v>2642</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2630</v>
      </c>
      <c r="N254" s="1417"/>
      <c r="O254" s="1417"/>
      <c r="P254" s="1417"/>
      <c r="Q254" s="1417"/>
      <c r="R254" s="1417"/>
      <c r="S254" s="1417"/>
      <c r="T254" s="1417"/>
      <c r="U254" s="1417"/>
      <c r="V254" s="1417"/>
      <c r="W254" s="1417"/>
      <c r="X254" s="1417"/>
      <c r="Y254" s="1417"/>
      <c r="Z254" s="1417"/>
      <c r="AA254" s="1417"/>
      <c r="AB254" s="1417"/>
      <c r="AC254" s="1417"/>
      <c r="AD254" s="1417"/>
      <c r="AE254" s="1417"/>
      <c r="AH254" s="1777">
        <v>8.9999999999999993E-3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v>2017933117</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2631</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74" t="s">
        <v>2643</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8" t="str">
        <f>IFERROR(BO245,"")</f>
        <v>Nonprofit</v>
      </c>
      <c r="U267" s="1778"/>
      <c r="V267" s="1778"/>
      <c r="W267" s="1778"/>
      <c r="X267" s="177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67</v>
      </c>
      <c r="M276" s="1417"/>
      <c r="N276" s="1417"/>
      <c r="O276" s="1417"/>
      <c r="P276" s="1417"/>
      <c r="Q276" s="1417"/>
      <c r="R276" s="1417"/>
      <c r="S276" s="1417"/>
      <c r="U276" s="33" t="s">
        <v>86</v>
      </c>
      <c r="V276" s="1545" t="s">
        <v>2637</v>
      </c>
      <c r="W276" s="1436"/>
      <c r="X276" s="4" t="s">
        <v>584</v>
      </c>
      <c r="AB276" s="1417">
        <v>92507</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2638</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9515386244</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3" t="s">
        <v>2633</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624</v>
      </c>
      <c r="E280" s="3"/>
      <c r="F280" s="3"/>
      <c r="G280" s="3"/>
      <c r="H280" s="3"/>
      <c r="I280" s="3"/>
      <c r="L280" s="1545" t="s">
        <v>2644</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2645</v>
      </c>
      <c r="I287" s="1371"/>
      <c r="J287" s="1371"/>
      <c r="K287" s="1371"/>
      <c r="L287" s="1371"/>
      <c r="M287" s="1371"/>
      <c r="N287" s="1371"/>
      <c r="O287" s="1371"/>
      <c r="P287" s="1371"/>
      <c r="Q287" s="1371"/>
      <c r="R287" s="1371"/>
      <c r="T287" s="3" t="s">
        <v>568</v>
      </c>
      <c r="V287" s="3"/>
      <c r="W287" s="3"/>
      <c r="X287" s="3"/>
      <c r="Y287" s="3"/>
      <c r="AA287" s="1371" t="s">
        <v>2649</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2646</v>
      </c>
      <c r="I288" s="1348"/>
      <c r="J288" s="1348"/>
      <c r="K288" s="1348"/>
      <c r="L288" s="1348"/>
      <c r="M288" s="1348"/>
      <c r="N288" s="1348"/>
      <c r="O288" s="1348"/>
      <c r="P288" s="1348"/>
      <c r="Q288" s="1348"/>
      <c r="R288" s="1348"/>
      <c r="T288" s="3" t="s">
        <v>472</v>
      </c>
      <c r="V288" s="3"/>
      <c r="W288" s="3"/>
      <c r="X288" s="3"/>
      <c r="Y288" s="3"/>
      <c r="AA288" s="1348" t="s">
        <v>2650</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2647</v>
      </c>
      <c r="I289" s="1348"/>
      <c r="J289" s="1348"/>
      <c r="K289" s="1348"/>
      <c r="L289" s="1348"/>
      <c r="M289" s="1348"/>
      <c r="N289" s="1348"/>
      <c r="O289" s="1348"/>
      <c r="P289" s="1348"/>
      <c r="Q289" s="1348"/>
      <c r="R289" s="1348"/>
      <c r="T289" s="3" t="s">
        <v>75</v>
      </c>
      <c r="V289" s="3"/>
      <c r="W289" s="3"/>
      <c r="X289" s="3"/>
      <c r="Y289" s="3"/>
      <c r="AA289" s="1348" t="s">
        <v>2651</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2630</v>
      </c>
      <c r="I290" s="1348"/>
      <c r="J290" s="1348"/>
      <c r="K290" s="1348"/>
      <c r="L290" s="1348"/>
      <c r="M290" s="1348"/>
      <c r="N290" s="1348"/>
      <c r="O290" s="1348"/>
      <c r="P290" s="1348"/>
      <c r="Q290" s="1348"/>
      <c r="R290" s="1348"/>
      <c r="T290" s="3" t="s">
        <v>87</v>
      </c>
      <c r="V290" s="3"/>
      <c r="W290" s="3"/>
      <c r="X290" s="3"/>
      <c r="Y290" s="3"/>
      <c r="AA290" s="1348" t="s">
        <v>2652</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2017933117</v>
      </c>
      <c r="I291" s="1423"/>
      <c r="J291" s="1423"/>
      <c r="K291" s="1423"/>
      <c r="L291" s="1423"/>
      <c r="M291" s="1423"/>
      <c r="N291" s="4" t="s">
        <v>206</v>
      </c>
      <c r="O291" s="4"/>
      <c r="P291" s="1417"/>
      <c r="Q291" s="1417"/>
      <c r="R291" s="1417"/>
      <c r="S291" s="3"/>
      <c r="T291" s="3" t="s">
        <v>88</v>
      </c>
      <c r="V291" s="3"/>
      <c r="W291" s="3"/>
      <c r="X291" s="3"/>
      <c r="Y291" s="3"/>
      <c r="AA291" s="1423">
        <v>7145572448</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2631</v>
      </c>
      <c r="I293" s="1348"/>
      <c r="J293" s="1348"/>
      <c r="K293" s="1348"/>
      <c r="L293" s="1348"/>
      <c r="M293" s="1348"/>
      <c r="N293" s="1371"/>
      <c r="O293" s="1371"/>
      <c r="P293" s="1371"/>
      <c r="Q293" s="1371"/>
      <c r="R293" s="1371"/>
      <c r="S293" s="3"/>
      <c r="T293" s="3" t="s">
        <v>76</v>
      </c>
      <c r="V293" s="3"/>
      <c r="W293" s="3"/>
      <c r="X293" s="3"/>
      <c r="Y293" s="3"/>
      <c r="AA293" s="1348" t="s">
        <v>2648</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2655</v>
      </c>
      <c r="I295" s="1371"/>
      <c r="J295" s="1371"/>
      <c r="K295" s="1371"/>
      <c r="L295" s="1371"/>
      <c r="M295" s="1371"/>
      <c r="N295" s="1371"/>
      <c r="O295" s="1371"/>
      <c r="P295" s="1371"/>
      <c r="Q295" s="1371"/>
      <c r="R295" s="1371"/>
      <c r="T295" s="3" t="s">
        <v>364</v>
      </c>
      <c r="V295" s="3"/>
      <c r="W295" s="3"/>
      <c r="X295" s="3"/>
      <c r="Y295" s="3"/>
      <c r="AA295" s="1371" t="s">
        <v>2659</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2656</v>
      </c>
      <c r="I296" s="1348"/>
      <c r="J296" s="1348"/>
      <c r="K296" s="1348"/>
      <c r="L296" s="1348"/>
      <c r="M296" s="1348"/>
      <c r="N296" s="1348"/>
      <c r="O296" s="1348"/>
      <c r="P296" s="1348"/>
      <c r="Q296" s="1348"/>
      <c r="R296" s="1348"/>
      <c r="T296" s="3" t="s">
        <v>472</v>
      </c>
      <c r="V296" s="3"/>
      <c r="W296" s="3"/>
      <c r="X296" s="3"/>
      <c r="Y296" s="3"/>
      <c r="AA296" s="1348" t="s">
        <v>2660</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2657</v>
      </c>
      <c r="I297" s="1348"/>
      <c r="J297" s="1348"/>
      <c r="K297" s="1348"/>
      <c r="L297" s="1348"/>
      <c r="M297" s="1348"/>
      <c r="N297" s="1348"/>
      <c r="O297" s="1348"/>
      <c r="P297" s="1348"/>
      <c r="Q297" s="1348"/>
      <c r="R297" s="1348"/>
      <c r="T297" s="3" t="s">
        <v>75</v>
      </c>
      <c r="V297" s="3"/>
      <c r="W297" s="3"/>
      <c r="X297" s="3"/>
      <c r="Y297" s="3"/>
      <c r="AA297" s="1348" t="s">
        <v>2661</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2658</v>
      </c>
      <c r="I298" s="1348"/>
      <c r="J298" s="1348"/>
      <c r="K298" s="1348"/>
      <c r="L298" s="1348"/>
      <c r="M298" s="1348"/>
      <c r="N298" s="1348"/>
      <c r="O298" s="1348"/>
      <c r="P298" s="1348"/>
      <c r="Q298" s="1348"/>
      <c r="R298" s="1348"/>
      <c r="T298" s="3" t="s">
        <v>87</v>
      </c>
      <c r="V298" s="3"/>
      <c r="W298" s="3"/>
      <c r="X298" s="3"/>
      <c r="Y298" s="3"/>
      <c r="AA298" s="1348" t="s">
        <v>2662</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v>2129403161</v>
      </c>
      <c r="I299" s="1423"/>
      <c r="J299" s="1423"/>
      <c r="K299" s="1423"/>
      <c r="L299" s="1423"/>
      <c r="M299" s="1423"/>
      <c r="N299" s="4" t="s">
        <v>206</v>
      </c>
      <c r="O299" s="4"/>
      <c r="P299" s="1417"/>
      <c r="Q299" s="1417"/>
      <c r="R299" s="1417"/>
      <c r="S299" s="3"/>
      <c r="T299" s="3" t="s">
        <v>88</v>
      </c>
      <c r="V299" s="3"/>
      <c r="W299" s="3"/>
      <c r="X299" s="3"/>
      <c r="Y299" s="3"/>
      <c r="AA299" s="1423">
        <v>6026955319</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2653</v>
      </c>
      <c r="I301" s="1348"/>
      <c r="J301" s="1348"/>
      <c r="K301" s="1348"/>
      <c r="L301" s="1348"/>
      <c r="M301" s="1348"/>
      <c r="N301" s="1371"/>
      <c r="O301" s="1371"/>
      <c r="P301" s="1371"/>
      <c r="Q301" s="1371"/>
      <c r="R301" s="1371"/>
      <c r="S301" s="3"/>
      <c r="T301" s="3" t="s">
        <v>76</v>
      </c>
      <c r="V301" s="3"/>
      <c r="W301" s="3"/>
      <c r="X301" s="3"/>
      <c r="Y301" s="3"/>
      <c r="AA301" s="1348" t="s">
        <v>2654</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c r="I303" s="1371"/>
      <c r="J303" s="1371"/>
      <c r="K303" s="1371"/>
      <c r="L303" s="1371"/>
      <c r="M303" s="1371"/>
      <c r="N303" s="1371"/>
      <c r="O303" s="1371"/>
      <c r="P303" s="1371"/>
      <c r="Q303" s="1371"/>
      <c r="R303" s="1371"/>
      <c r="T303" s="4" t="s">
        <v>879</v>
      </c>
      <c r="V303" s="3"/>
      <c r="W303" s="3"/>
      <c r="X303" s="3"/>
      <c r="Y303" s="3"/>
      <c r="AA303" s="1371"/>
      <c r="AB303" s="1371"/>
      <c r="AC303" s="1371"/>
      <c r="AD303" s="1371"/>
      <c r="AE303" s="1371"/>
      <c r="AF303" s="1371"/>
      <c r="AG303" s="1371"/>
      <c r="AH303" s="1371"/>
      <c r="AI303" s="1371"/>
      <c r="AJ303" s="1371"/>
      <c r="AK303" s="1371"/>
    </row>
    <row r="304" spans="2:37" ht="12.95" customHeight="1">
      <c r="B304" s="3" t="s">
        <v>472</v>
      </c>
      <c r="C304" s="3"/>
      <c r="D304" s="3"/>
      <c r="E304" s="3"/>
      <c r="F304" s="3"/>
      <c r="H304" s="1348"/>
      <c r="I304" s="1348"/>
      <c r="J304" s="1348"/>
      <c r="K304" s="1348"/>
      <c r="L304" s="1348"/>
      <c r="M304" s="1348"/>
      <c r="N304" s="1348"/>
      <c r="O304" s="1348"/>
      <c r="P304" s="1348"/>
      <c r="Q304" s="1348"/>
      <c r="R304" s="1348"/>
      <c r="T304" s="3" t="s">
        <v>472</v>
      </c>
      <c r="V304" s="3"/>
      <c r="W304" s="3"/>
      <c r="X304" s="3"/>
      <c r="Y304" s="3"/>
      <c r="AA304" s="1348"/>
      <c r="AB304" s="1348"/>
      <c r="AC304" s="1348"/>
      <c r="AD304" s="1348"/>
      <c r="AE304" s="1348"/>
      <c r="AF304" s="1348"/>
      <c r="AG304" s="1348"/>
      <c r="AH304" s="1348"/>
      <c r="AI304" s="1348"/>
      <c r="AJ304" s="1348"/>
      <c r="AK304" s="1348"/>
    </row>
    <row r="305" spans="2:37" ht="12.95" customHeight="1">
      <c r="B305" s="3" t="s">
        <v>473</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2663</v>
      </c>
      <c r="I311" s="1371"/>
      <c r="J311" s="1371"/>
      <c r="K311" s="1371"/>
      <c r="L311" s="1371"/>
      <c r="M311" s="1371"/>
      <c r="N311" s="1371"/>
      <c r="O311" s="1371"/>
      <c r="P311" s="1371"/>
      <c r="Q311" s="1371"/>
      <c r="R311" s="1371"/>
      <c r="S311" s="3"/>
      <c r="T311" s="3" t="s">
        <v>365</v>
      </c>
      <c r="V311" s="3"/>
      <c r="W311" s="3"/>
      <c r="X311" s="3"/>
      <c r="Y311" s="3"/>
      <c r="AA311" s="1371" t="s">
        <v>2667</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2664</v>
      </c>
      <c r="I312" s="1348"/>
      <c r="J312" s="1348"/>
      <c r="K312" s="1348"/>
      <c r="L312" s="1348"/>
      <c r="M312" s="1348"/>
      <c r="N312" s="1348"/>
      <c r="O312" s="1348"/>
      <c r="P312" s="1348"/>
      <c r="Q312" s="1348"/>
      <c r="R312" s="1348"/>
      <c r="S312" s="3"/>
      <c r="T312" s="3" t="s">
        <v>472</v>
      </c>
      <c r="V312" s="3"/>
      <c r="W312" s="3"/>
      <c r="X312" s="3"/>
      <c r="Y312" s="3"/>
      <c r="AA312" s="1348" t="s">
        <v>2741</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2665</v>
      </c>
      <c r="I313" s="1348"/>
      <c r="J313" s="1348"/>
      <c r="K313" s="1348"/>
      <c r="L313" s="1348"/>
      <c r="M313" s="1348"/>
      <c r="N313" s="1348"/>
      <c r="O313" s="1348"/>
      <c r="P313" s="1348"/>
      <c r="Q313" s="1348"/>
      <c r="R313" s="1348"/>
      <c r="S313" s="3"/>
      <c r="T313" s="3" t="s">
        <v>75</v>
      </c>
      <c r="V313" s="3"/>
      <c r="W313" s="3"/>
      <c r="X313" s="3"/>
      <c r="Y313" s="3"/>
      <c r="AA313" s="1348" t="s">
        <v>2742</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2666</v>
      </c>
      <c r="I314" s="1348"/>
      <c r="J314" s="1348"/>
      <c r="K314" s="1348"/>
      <c r="L314" s="1348"/>
      <c r="M314" s="1348"/>
      <c r="N314" s="1348"/>
      <c r="O314" s="1348"/>
      <c r="P314" s="1348"/>
      <c r="Q314" s="1348"/>
      <c r="R314" s="1348"/>
      <c r="S314" s="3"/>
      <c r="T314" s="3" t="s">
        <v>87</v>
      </c>
      <c r="V314" s="3"/>
      <c r="W314" s="3"/>
      <c r="X314" s="3"/>
      <c r="Y314" s="3"/>
      <c r="AA314" s="1348" t="s">
        <v>2668</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6468344154</v>
      </c>
      <c r="I315" s="1423"/>
      <c r="J315" s="1423"/>
      <c r="K315" s="1423"/>
      <c r="L315" s="1423"/>
      <c r="M315" s="1423"/>
      <c r="N315" s="4" t="s">
        <v>206</v>
      </c>
      <c r="O315" s="4"/>
      <c r="P315" s="1417"/>
      <c r="Q315" s="1417"/>
      <c r="R315" s="1417"/>
      <c r="S315" s="3"/>
      <c r="T315" s="3" t="s">
        <v>88</v>
      </c>
      <c r="V315" s="3"/>
      <c r="W315" s="3"/>
      <c r="X315" s="3"/>
      <c r="Y315" s="3"/>
      <c r="AA315" s="1423">
        <v>6175424968</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2685</v>
      </c>
      <c r="I317" s="1348"/>
      <c r="J317" s="1348"/>
      <c r="K317" s="1348"/>
      <c r="L317" s="1348"/>
      <c r="M317" s="1348"/>
      <c r="N317" s="1371"/>
      <c r="O317" s="1371"/>
      <c r="P317" s="1371"/>
      <c r="Q317" s="1371"/>
      <c r="R317" s="1371"/>
      <c r="S317" s="3"/>
      <c r="T317" s="3" t="s">
        <v>76</v>
      </c>
      <c r="V317" s="3"/>
      <c r="W317" s="3"/>
      <c r="X317" s="3"/>
      <c r="Y317" s="3"/>
      <c r="AA317" s="1348" t="s">
        <v>2740</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2639</v>
      </c>
      <c r="I319" s="1371"/>
      <c r="J319" s="1371"/>
      <c r="K319" s="1371"/>
      <c r="L319" s="1371"/>
      <c r="M319" s="1371"/>
      <c r="N319" s="1371"/>
      <c r="O319" s="1371"/>
      <c r="P319" s="1371"/>
      <c r="Q319" s="1371"/>
      <c r="R319" s="1371"/>
      <c r="T319" s="3" t="s">
        <v>366</v>
      </c>
      <c r="V319" s="3"/>
      <c r="W319" s="3"/>
      <c r="X319" s="3"/>
      <c r="Y319" s="3"/>
      <c r="AA319" s="1371" t="s">
        <v>2672</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2669</v>
      </c>
      <c r="I320" s="1348"/>
      <c r="J320" s="1348"/>
      <c r="K320" s="1348"/>
      <c r="L320" s="1348"/>
      <c r="M320" s="1348"/>
      <c r="N320" s="1348"/>
      <c r="O320" s="1348"/>
      <c r="P320" s="1348"/>
      <c r="Q320" s="1348"/>
      <c r="R320" s="1348"/>
      <c r="T320" s="3" t="s">
        <v>472</v>
      </c>
      <c r="V320" s="3"/>
      <c r="W320" s="3"/>
      <c r="X320" s="3"/>
      <c r="Y320" s="3"/>
      <c r="AA320" s="1348" t="s">
        <v>2673</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2670</v>
      </c>
      <c r="I321" s="1348"/>
      <c r="J321" s="1348"/>
      <c r="K321" s="1348"/>
      <c r="L321" s="1348"/>
      <c r="M321" s="1348"/>
      <c r="N321" s="1348"/>
      <c r="O321" s="1348"/>
      <c r="P321" s="1348"/>
      <c r="Q321" s="1348"/>
      <c r="R321" s="1348"/>
      <c r="T321" s="3" t="s">
        <v>75</v>
      </c>
      <c r="V321" s="3"/>
      <c r="W321" s="3"/>
      <c r="X321" s="3"/>
      <c r="Y321" s="3"/>
      <c r="AA321" s="1348" t="s">
        <v>2674</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2671</v>
      </c>
      <c r="I322" s="1348"/>
      <c r="J322" s="1348"/>
      <c r="K322" s="1348"/>
      <c r="L322" s="1348"/>
      <c r="M322" s="1348"/>
      <c r="N322" s="1348"/>
      <c r="O322" s="1348"/>
      <c r="P322" s="1348"/>
      <c r="Q322" s="1348"/>
      <c r="R322" s="1348"/>
      <c r="T322" s="3" t="s">
        <v>87</v>
      </c>
      <c r="V322" s="3"/>
      <c r="W322" s="3"/>
      <c r="X322" s="3"/>
      <c r="Y322" s="3"/>
      <c r="AA322" s="1348" t="s">
        <v>2675</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v>9515386244</v>
      </c>
      <c r="I323" s="1423"/>
      <c r="J323" s="1423"/>
      <c r="K323" s="1423"/>
      <c r="L323" s="1423"/>
      <c r="M323" s="1423"/>
      <c r="N323" s="4" t="s">
        <v>206</v>
      </c>
      <c r="O323" s="4"/>
      <c r="P323" s="1417"/>
      <c r="Q323" s="1417"/>
      <c r="R323" s="1417"/>
      <c r="S323" s="3"/>
      <c r="T323" s="3" t="s">
        <v>88</v>
      </c>
      <c r="V323" s="3"/>
      <c r="W323" s="3"/>
      <c r="X323" s="3"/>
      <c r="Y323" s="3"/>
      <c r="AA323" s="1423">
        <v>8004283320</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t="s">
        <v>2633</v>
      </c>
      <c r="I325" s="1348"/>
      <c r="J325" s="1348"/>
      <c r="K325" s="1348"/>
      <c r="L325" s="1348"/>
      <c r="M325" s="1348"/>
      <c r="N325" s="1371"/>
      <c r="O325" s="1371"/>
      <c r="P325" s="1371"/>
      <c r="Q325" s="1371"/>
      <c r="R325" s="1371"/>
      <c r="S325" s="3"/>
      <c r="T325" s="3" t="s">
        <v>76</v>
      </c>
      <c r="V325" s="3"/>
      <c r="W325" s="3"/>
      <c r="X325" s="3"/>
      <c r="Y325" s="3"/>
      <c r="AA325" s="1348" t="s">
        <v>2686</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2672</v>
      </c>
      <c r="I327" s="1371"/>
      <c r="J327" s="1371"/>
      <c r="K327" s="1371"/>
      <c r="L327" s="1371"/>
      <c r="M327" s="1371"/>
      <c r="N327" s="1371"/>
      <c r="O327" s="1371"/>
      <c r="P327" s="1371"/>
      <c r="Q327" s="1371"/>
      <c r="R327" s="1371"/>
      <c r="T327" s="3" t="s">
        <v>368</v>
      </c>
      <c r="V327" s="3"/>
      <c r="W327" s="3"/>
      <c r="X327" s="3"/>
      <c r="Y327" s="3"/>
      <c r="AA327" s="1371" t="s">
        <v>2676</v>
      </c>
      <c r="AB327" s="1371"/>
      <c r="AC327" s="1371"/>
      <c r="AD327" s="1371"/>
      <c r="AE327" s="1371"/>
      <c r="AF327" s="1371"/>
      <c r="AG327" s="1371"/>
      <c r="AH327" s="1371"/>
      <c r="AI327" s="1371"/>
      <c r="AJ327" s="1371"/>
      <c r="AK327" s="1371"/>
    </row>
    <row r="328" spans="2:37" ht="12.95" customHeight="1">
      <c r="B328" s="3" t="s">
        <v>472</v>
      </c>
      <c r="C328" s="3"/>
      <c r="D328" s="3"/>
      <c r="E328" s="3"/>
      <c r="F328" s="3"/>
      <c r="H328" s="1348" t="s">
        <v>2673</v>
      </c>
      <c r="I328" s="1348"/>
      <c r="J328" s="1348"/>
      <c r="K328" s="1348"/>
      <c r="L328" s="1348"/>
      <c r="M328" s="1348"/>
      <c r="N328" s="1348"/>
      <c r="O328" s="1348"/>
      <c r="P328" s="1348"/>
      <c r="Q328" s="1348"/>
      <c r="R328" s="1348"/>
      <c r="T328" s="3" t="s">
        <v>472</v>
      </c>
      <c r="V328" s="3"/>
      <c r="W328" s="3"/>
      <c r="X328" s="3"/>
      <c r="Y328" s="3"/>
      <c r="AA328" s="1348" t="s">
        <v>2677</v>
      </c>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2674</v>
      </c>
      <c r="I329" s="1348"/>
      <c r="J329" s="1348"/>
      <c r="K329" s="1348"/>
      <c r="L329" s="1348"/>
      <c r="M329" s="1348"/>
      <c r="N329" s="1348"/>
      <c r="O329" s="1348"/>
      <c r="P329" s="1348"/>
      <c r="Q329" s="1348"/>
      <c r="R329" s="1348"/>
      <c r="T329" s="3" t="s">
        <v>75</v>
      </c>
      <c r="V329" s="3"/>
      <c r="W329" s="3"/>
      <c r="X329" s="3"/>
      <c r="Y329" s="3"/>
      <c r="AA329" s="1348" t="s">
        <v>2678</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2675</v>
      </c>
      <c r="I330" s="1348"/>
      <c r="J330" s="1348"/>
      <c r="K330" s="1348"/>
      <c r="L330" s="1348"/>
      <c r="M330" s="1348"/>
      <c r="N330" s="1348"/>
      <c r="O330" s="1348"/>
      <c r="P330" s="1348"/>
      <c r="Q330" s="1348"/>
      <c r="R330" s="1348"/>
      <c r="T330" s="3" t="s">
        <v>87</v>
      </c>
      <c r="V330" s="3"/>
      <c r="W330" s="3"/>
      <c r="X330" s="3"/>
      <c r="Y330" s="3"/>
      <c r="AA330" s="1348" t="s">
        <v>2679</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v>8004283320</v>
      </c>
      <c r="I331" s="1423"/>
      <c r="J331" s="1423"/>
      <c r="K331" s="1423"/>
      <c r="L331" s="1423"/>
      <c r="M331" s="1423"/>
      <c r="N331" s="4" t="s">
        <v>206</v>
      </c>
      <c r="O331" s="4"/>
      <c r="P331" s="1417"/>
      <c r="Q331" s="1417"/>
      <c r="R331" s="1417"/>
      <c r="S331" s="3"/>
      <c r="T331" s="3" t="s">
        <v>88</v>
      </c>
      <c r="V331" s="3"/>
      <c r="W331" s="3"/>
      <c r="X331" s="3"/>
      <c r="Y331" s="3"/>
      <c r="AA331" s="1423">
        <v>8325414487</v>
      </c>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2686</v>
      </c>
      <c r="I333" s="1348"/>
      <c r="J333" s="1348"/>
      <c r="K333" s="1348"/>
      <c r="L333" s="1348"/>
      <c r="M333" s="1348"/>
      <c r="N333" s="1371"/>
      <c r="O333" s="1371"/>
      <c r="P333" s="1371"/>
      <c r="Q333" s="1371"/>
      <c r="R333" s="1371"/>
      <c r="S333" s="3"/>
      <c r="T333" s="3" t="s">
        <v>76</v>
      </c>
      <c r="V333" s="3"/>
      <c r="W333" s="3"/>
      <c r="X333" s="3"/>
      <c r="Y333" s="3"/>
      <c r="AA333" s="1348" t="s">
        <v>2687</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2680</v>
      </c>
      <c r="I335" s="1371"/>
      <c r="J335" s="1371"/>
      <c r="K335" s="1371"/>
      <c r="L335" s="1371"/>
      <c r="M335" s="1371"/>
      <c r="N335" s="1371"/>
      <c r="O335" s="1371"/>
      <c r="P335" s="1371"/>
      <c r="Q335" s="1371"/>
      <c r="R335" s="1371"/>
      <c r="T335" s="204" t="s">
        <v>887</v>
      </c>
      <c r="V335" s="3"/>
      <c r="W335" s="3"/>
      <c r="X335" s="3"/>
      <c r="Y335" s="3"/>
      <c r="AA335" s="1371" t="s">
        <v>2684</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2681</v>
      </c>
      <c r="I336" s="1348"/>
      <c r="J336" s="1348"/>
      <c r="K336" s="1348"/>
      <c r="L336" s="1348"/>
      <c r="M336" s="1348"/>
      <c r="N336" s="1348"/>
      <c r="O336" s="1348"/>
      <c r="P336" s="1348"/>
      <c r="Q336" s="1348"/>
      <c r="R336" s="1348"/>
      <c r="T336" s="3" t="s">
        <v>472</v>
      </c>
      <c r="V336" s="3"/>
      <c r="W336" s="3"/>
      <c r="X336" s="3"/>
      <c r="Y336" s="3"/>
      <c r="AA336" s="1348" t="s">
        <v>2646</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2682</v>
      </c>
      <c r="I337" s="1348"/>
      <c r="J337" s="1348"/>
      <c r="K337" s="1348"/>
      <c r="L337" s="1348"/>
      <c r="M337" s="1348"/>
      <c r="N337" s="1348"/>
      <c r="O337" s="1348"/>
      <c r="P337" s="1348"/>
      <c r="Q337" s="1348"/>
      <c r="R337" s="1348"/>
      <c r="T337" s="3" t="s">
        <v>75</v>
      </c>
      <c r="V337" s="3"/>
      <c r="W337" s="3"/>
      <c r="X337" s="3"/>
      <c r="Y337" s="3"/>
      <c r="AA337" s="1348" t="s">
        <v>2647</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2683</v>
      </c>
      <c r="I338" s="1348"/>
      <c r="J338" s="1348"/>
      <c r="K338" s="1348"/>
      <c r="L338" s="1348"/>
      <c r="M338" s="1348"/>
      <c r="N338" s="1348"/>
      <c r="O338" s="1348"/>
      <c r="P338" s="1348"/>
      <c r="Q338" s="1348"/>
      <c r="R338" s="1348"/>
      <c r="T338" s="3" t="s">
        <v>87</v>
      </c>
      <c r="V338" s="3"/>
      <c r="W338" s="3"/>
      <c r="X338" s="3"/>
      <c r="Y338" s="3"/>
      <c r="AA338" s="1348" t="s">
        <v>2630</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9164401325</v>
      </c>
      <c r="I339" s="1423"/>
      <c r="J339" s="1423"/>
      <c r="K339" s="1423"/>
      <c r="L339" s="1423"/>
      <c r="M339" s="1423"/>
      <c r="N339" s="4" t="s">
        <v>206</v>
      </c>
      <c r="O339" s="4"/>
      <c r="P339" s="1417"/>
      <c r="Q339" s="1417"/>
      <c r="R339" s="1417"/>
      <c r="S339" s="3"/>
      <c r="T339" s="3" t="s">
        <v>88</v>
      </c>
      <c r="V339" s="3"/>
      <c r="W339" s="3"/>
      <c r="X339" s="3"/>
      <c r="Y339" s="3"/>
      <c r="AA339" s="1423">
        <v>2017933117</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2688</v>
      </c>
      <c r="I341" s="1348"/>
      <c r="J341" s="1348"/>
      <c r="K341" s="1348"/>
      <c r="L341" s="1348"/>
      <c r="M341" s="1348"/>
      <c r="N341" s="1371"/>
      <c r="O341" s="1371"/>
      <c r="P341" s="1371"/>
      <c r="Q341" s="1371"/>
      <c r="R341" s="1371"/>
      <c r="S341" s="3"/>
      <c r="T341" s="3" t="s">
        <v>76</v>
      </c>
      <c r="V341" s="3"/>
      <c r="W341" s="3"/>
      <c r="X341" s="3"/>
      <c r="Y341" s="3"/>
      <c r="AA341" s="1348" t="s">
        <v>2631</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592</v>
      </c>
      <c r="N355" s="1332"/>
      <c r="P355" t="s">
        <v>1651</v>
      </c>
      <c r="AJ355" s="1332" t="s">
        <v>592</v>
      </c>
      <c r="AK355" s="1332"/>
    </row>
    <row r="356" spans="1:46" ht="12.95" customHeight="1">
      <c r="D356" s="3" t="s">
        <v>1640</v>
      </c>
      <c r="M356" s="1332" t="s">
        <v>592</v>
      </c>
      <c r="N356" s="1332"/>
      <c r="P356" s="3" t="s">
        <v>1720</v>
      </c>
      <c r="AJ356" s="1446">
        <v>0</v>
      </c>
      <c r="AK356" s="1446"/>
    </row>
    <row r="357" spans="1:46" ht="12.95" customHeight="1">
      <c r="D357" s="3" t="s">
        <v>705</v>
      </c>
      <c r="M357" s="1332" t="s">
        <v>592</v>
      </c>
      <c r="N357" s="1332"/>
      <c r="P357" t="s">
        <v>1650</v>
      </c>
      <c r="AJ357" s="1332" t="s">
        <v>592</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670</v>
      </c>
      <c r="O363" s="1332"/>
      <c r="P363" s="40"/>
      <c r="Q363" s="40"/>
      <c r="R363" s="40"/>
      <c r="S363" s="40"/>
      <c r="T363" s="40"/>
      <c r="U363" s="40"/>
      <c r="V363" s="40"/>
      <c r="W363" s="40"/>
      <c r="X363" s="40"/>
      <c r="Y363" s="40"/>
      <c r="Z363" s="40"/>
      <c r="AC363" s="40"/>
      <c r="AD363" s="40"/>
      <c r="AE363" s="40"/>
    </row>
    <row r="364" spans="1:46" ht="12.95" customHeight="1">
      <c r="E364" t="s">
        <v>370</v>
      </c>
      <c r="Y364" s="1332" t="s">
        <v>546</v>
      </c>
      <c r="Z364" s="1332"/>
    </row>
    <row r="365" spans="1:46" ht="12.95" customHeight="1">
      <c r="D365" s="4" t="s">
        <v>979</v>
      </c>
      <c r="Q365" s="1371" t="s">
        <v>2689</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670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t="s">
        <v>2690</v>
      </c>
      <c r="O370" s="1662"/>
      <c r="P370" s="1662"/>
      <c r="Q370" s="1662"/>
      <c r="R370" s="4"/>
      <c r="U370" s="4" t="s">
        <v>450</v>
      </c>
      <c r="V370" s="4"/>
      <c r="W370" s="4"/>
      <c r="X370" s="4"/>
      <c r="Y370" s="4"/>
      <c r="Z370" s="4"/>
      <c r="AA370" s="4"/>
      <c r="AB370" s="4"/>
      <c r="AC370" s="1662">
        <v>19</v>
      </c>
      <c r="AD370" s="1662"/>
      <c r="AE370" s="1662"/>
      <c r="AF370" s="1662"/>
    </row>
    <row r="371" spans="1:34" ht="12.95" customHeight="1">
      <c r="E371" s="4" t="s">
        <v>451</v>
      </c>
      <c r="F371" s="4"/>
      <c r="G371" s="4"/>
      <c r="H371" s="4"/>
      <c r="I371" s="4"/>
      <c r="J371" s="4"/>
      <c r="K371" s="4"/>
      <c r="L371" s="4"/>
      <c r="N371" s="1662">
        <v>18</v>
      </c>
      <c r="O371" s="1662"/>
      <c r="P371" s="1662"/>
      <c r="Q371" s="1662"/>
      <c r="R371" s="4"/>
      <c r="U371" s="4" t="s">
        <v>0</v>
      </c>
      <c r="V371" s="4"/>
      <c r="W371" s="4"/>
      <c r="X371" s="4"/>
      <c r="Y371" s="4"/>
      <c r="Z371" s="4"/>
      <c r="AA371" s="4"/>
      <c r="AB371" s="4"/>
      <c r="AC371" s="1662">
        <v>106</v>
      </c>
      <c r="AD371" s="1662"/>
      <c r="AE371" s="1662"/>
      <c r="AF371" s="1662"/>
    </row>
    <row r="372" spans="1:34" ht="12.95" customHeight="1">
      <c r="E372" s="4" t="s">
        <v>1</v>
      </c>
      <c r="F372" s="4"/>
      <c r="G372" s="4"/>
      <c r="H372" s="4"/>
      <c r="I372" s="4"/>
      <c r="J372" s="4"/>
      <c r="K372" s="4"/>
      <c r="L372" s="4"/>
      <c r="N372" s="1662">
        <v>2</v>
      </c>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4" t="s">
        <v>2691</v>
      </c>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6">
        <v>2009</v>
      </c>
      <c r="T377" s="1816"/>
      <c r="U377" s="1" t="s">
        <v>306</v>
      </c>
      <c r="V377" s="1816">
        <v>572</v>
      </c>
      <c r="W377" s="1816"/>
      <c r="Y377" t="s">
        <v>2080</v>
      </c>
      <c r="AC377" s="27" t="s">
        <v>305</v>
      </c>
      <c r="AD377" s="1816"/>
      <c r="AE377" s="1816"/>
      <c r="AF377" s="1" t="s">
        <v>306</v>
      </c>
      <c r="AG377" s="1816"/>
      <c r="AH377" s="1816"/>
    </row>
    <row r="378" spans="1:34" ht="12.95" customHeight="1">
      <c r="E378" s="4" t="s">
        <v>988</v>
      </c>
      <c r="F378" s="4"/>
      <c r="G378" s="4"/>
      <c r="H378" s="4"/>
      <c r="I378" s="4"/>
      <c r="J378" s="4"/>
      <c r="K378" s="4"/>
      <c r="L378" s="4"/>
      <c r="N378" s="1816">
        <v>2009</v>
      </c>
      <c r="O378" s="1816"/>
      <c r="P378" s="1816"/>
    </row>
    <row r="379" spans="1:34" ht="12.95" customHeight="1">
      <c r="E379" s="204" t="s">
        <v>2086</v>
      </c>
      <c r="F379" s="4"/>
      <c r="G379" s="4"/>
      <c r="H379" s="4"/>
      <c r="I379" s="4"/>
      <c r="J379" s="4"/>
      <c r="K379" s="4"/>
      <c r="L379" s="4"/>
      <c r="AG379" s="1805" t="s">
        <v>546</v>
      </c>
      <c r="AH379" s="1805"/>
    </row>
    <row r="380" spans="1:34" ht="12.95" customHeight="1">
      <c r="E380" s="4"/>
      <c r="F380" s="4"/>
      <c r="G380" s="4" t="s">
        <v>2087</v>
      </c>
      <c r="H380" s="4"/>
      <c r="I380" s="4"/>
      <c r="J380" s="4"/>
      <c r="K380" s="4"/>
      <c r="L380" s="4"/>
      <c r="AG380" s="1805" t="s">
        <v>546</v>
      </c>
      <c r="AH380" s="1805"/>
    </row>
    <row r="381" spans="1:34" ht="12.95" customHeight="1">
      <c r="E381" s="4"/>
      <c r="F381" s="4"/>
      <c r="G381" s="320" t="s">
        <v>989</v>
      </c>
      <c r="H381" s="4"/>
      <c r="I381" s="4"/>
      <c r="J381" s="4"/>
      <c r="K381" s="4"/>
      <c r="L381" s="4"/>
      <c r="V381" s="1332" t="s">
        <v>670</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2692</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t="s">
        <v>2693</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t="s">
        <v>2694</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t="s">
        <v>2695</v>
      </c>
      <c r="K388" s="1402"/>
      <c r="L388" s="1402"/>
      <c r="M388" s="1402"/>
      <c r="N388" s="1402"/>
      <c r="O388" s="1402"/>
      <c r="P388" s="1402"/>
      <c r="Q388" s="1402"/>
      <c r="R388" s="1402"/>
      <c r="S388" s="1402"/>
      <c r="T388" s="1402"/>
      <c r="U388" s="1402"/>
      <c r="V388" s="1371" t="s">
        <v>2696</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0">
        <v>45512</v>
      </c>
      <c r="R389" s="1750"/>
      <c r="S389" s="1750"/>
      <c r="T389" s="1750"/>
      <c r="U389" s="1750"/>
      <c r="V389" t="s">
        <v>309</v>
      </c>
      <c r="AI389" s="1332" t="s">
        <v>670</v>
      </c>
      <c r="AJ389" s="1332"/>
    </row>
    <row r="390" spans="4:36" ht="12.95" customHeight="1">
      <c r="D390" t="s">
        <v>5</v>
      </c>
      <c r="Q390" s="1533">
        <v>46022</v>
      </c>
      <c r="R390" s="1820"/>
      <c r="S390" s="1820"/>
      <c r="T390" s="1820"/>
      <c r="U390" s="1820"/>
      <c r="W390" s="21" t="s">
        <v>74</v>
      </c>
      <c r="AG390" s="1818"/>
      <c r="AH390" s="1818"/>
      <c r="AI390" s="1818"/>
      <c r="AJ390" s="1818"/>
    </row>
    <row r="391" spans="4:36" ht="12.95" customHeight="1">
      <c r="D391" t="s">
        <v>427</v>
      </c>
      <c r="Q391" s="1829">
        <v>23000000</v>
      </c>
      <c r="R391" s="1829"/>
      <c r="S391" s="1829"/>
      <c r="T391" s="1829"/>
      <c r="U391" s="1829"/>
      <c r="V391" s="3" t="s">
        <v>1182</v>
      </c>
      <c r="AG391" s="1819">
        <v>46022</v>
      </c>
      <c r="AH391" s="1819"/>
      <c r="AI391" s="1819"/>
      <c r="AJ391" s="1819"/>
    </row>
    <row r="392" spans="4:36" ht="12.95" customHeight="1">
      <c r="D392" t="s">
        <v>88</v>
      </c>
      <c r="I392" s="1423">
        <v>2012424800</v>
      </c>
      <c r="J392" s="1423"/>
      <c r="K392" s="1423"/>
      <c r="L392" s="1423"/>
      <c r="M392" s="1423"/>
      <c r="N392" s="1423"/>
      <c r="Q392" s="4" t="s">
        <v>206</v>
      </c>
      <c r="S392" s="1828"/>
      <c r="T392" s="1828"/>
      <c r="U392" s="1828"/>
      <c r="V392" t="s">
        <v>73</v>
      </c>
      <c r="AI392" s="1332" t="s">
        <v>670</v>
      </c>
      <c r="AJ392" s="1332"/>
    </row>
    <row r="393" spans="4:36" ht="12.95" customHeight="1">
      <c r="D393" t="s">
        <v>310</v>
      </c>
      <c r="Q393" s="1408" t="s">
        <v>592</v>
      </c>
      <c r="R393" s="1408"/>
      <c r="S393" s="1408"/>
      <c r="T393" s="1408"/>
      <c r="U393" s="1408"/>
      <c r="V393" t="s">
        <v>311</v>
      </c>
      <c r="AG393" s="1818">
        <v>0</v>
      </c>
      <c r="AH393" s="1818"/>
      <c r="AI393" s="1818"/>
      <c r="AJ393" s="1818"/>
    </row>
    <row r="394" spans="4:36" ht="12.95" customHeight="1">
      <c r="D394" t="s">
        <v>312</v>
      </c>
      <c r="Q394" s="1754">
        <v>0.01</v>
      </c>
      <c r="R394" s="1754"/>
      <c r="S394" s="1754"/>
      <c r="T394" s="1754"/>
      <c r="U394" s="1754"/>
      <c r="V394" t="s">
        <v>1164</v>
      </c>
      <c r="AG394" s="1818">
        <v>0</v>
      </c>
      <c r="AH394" s="1818"/>
      <c r="AI394" s="1818"/>
      <c r="AJ394" s="1818"/>
    </row>
    <row r="395" spans="4:36" ht="12.95" customHeight="1">
      <c r="D395" t="s">
        <v>1163</v>
      </c>
      <c r="AG395" s="1818">
        <v>0</v>
      </c>
      <c r="AH395" s="1818"/>
      <c r="AI395" s="1818"/>
      <c r="AJ395" s="1818"/>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49" t="s">
        <v>2697</v>
      </c>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1667</v>
      </c>
      <c r="T399" s="1749" t="s">
        <v>2697</v>
      </c>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1661</v>
      </c>
      <c r="S401" s="1749" t="s">
        <v>546</v>
      </c>
      <c r="T401" s="1749"/>
      <c r="U401" s="1749"/>
      <c r="V401" t="s">
        <v>1662</v>
      </c>
      <c r="AG401" s="1822">
        <v>99</v>
      </c>
      <c r="AH401" s="1822"/>
      <c r="AI401" s="1822"/>
      <c r="AJ401" s="1822"/>
    </row>
    <row r="402" spans="1:36" ht="12.95" customHeight="1">
      <c r="D402" s="3" t="s">
        <v>1659</v>
      </c>
      <c r="S402" s="1749" t="s">
        <v>546</v>
      </c>
      <c r="T402" s="1749"/>
      <c r="U402" s="1749"/>
      <c r="V402" t="s">
        <v>1664</v>
      </c>
      <c r="AE402" s="1817" t="s">
        <v>2698</v>
      </c>
      <c r="AF402" s="1817"/>
      <c r="AG402" s="1817"/>
      <c r="AH402" s="1817"/>
      <c r="AI402" s="1817"/>
      <c r="AJ402" s="1817"/>
    </row>
    <row r="403" spans="1:36" ht="12.95" customHeight="1">
      <c r="D403" s="3" t="s">
        <v>1660</v>
      </c>
      <c r="K403" s="1797" t="s">
        <v>592</v>
      </c>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t="s">
        <v>2692</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7" t="s">
        <v>2738</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2699</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2">
        <v>0</v>
      </c>
      <c r="AE411" s="1662"/>
    </row>
    <row r="412" spans="1:36" ht="12.95" customHeight="1">
      <c r="E412" t="s">
        <v>107</v>
      </c>
      <c r="R412" s="1332" t="s">
        <v>546</v>
      </c>
      <c r="S412" s="1332"/>
      <c r="AC412" s="27" t="s">
        <v>571</v>
      </c>
      <c r="AD412" s="1662">
        <v>2</v>
      </c>
      <c r="AE412" s="1662"/>
    </row>
    <row r="413" spans="1:36" ht="12.95" customHeight="1">
      <c r="E413" t="s">
        <v>108</v>
      </c>
      <c r="S413" s="1332" t="s">
        <v>592</v>
      </c>
      <c r="T413" s="1332"/>
    </row>
    <row r="414" spans="1:36" ht="12.95" customHeight="1">
      <c r="E414" t="s">
        <v>170</v>
      </c>
      <c r="H414" s="1755" t="s">
        <v>2700</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58">
        <v>4.43</v>
      </c>
      <c r="Q418" s="1758"/>
      <c r="R418" s="1758"/>
      <c r="S418" t="s">
        <v>117</v>
      </c>
      <c r="W418" s="1826">
        <f>IF(E418&gt;0,(E418*I418),(P418*43560))</f>
        <v>192970.8</v>
      </c>
      <c r="X418" s="1826"/>
      <c r="Y418" s="1826"/>
      <c r="Z418" t="s">
        <v>118</v>
      </c>
      <c r="AF418" s="1759">
        <f>IFERROR(IF(P418&gt;0,(AG437/P418),(AG437/(W418/43560))),0)</f>
        <v>23.927765237020317</v>
      </c>
      <c r="AG418" s="1759"/>
      <c r="AH418" s="1759"/>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3"/>
      <c r="G421" s="1013"/>
      <c r="H421" s="1013"/>
      <c r="I421" s="1757">
        <v>4.4302000000000001</v>
      </c>
      <c r="J421" s="1757"/>
      <c r="K421" s="1757"/>
      <c r="L421" s="1013"/>
      <c r="M421" s="118"/>
      <c r="N421" s="1013"/>
      <c r="O421" s="1013"/>
      <c r="P421" s="1440">
        <f>(DU755+DU778+DU800)/I421</f>
        <v>54.625073360119181</v>
      </c>
      <c r="Q421" s="1440"/>
      <c r="R421" s="1440"/>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19</v>
      </c>
      <c r="Q424" s="1332"/>
      <c r="S424" t="s">
        <v>189</v>
      </c>
      <c r="AE424" s="1332">
        <v>18</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609</v>
      </c>
      <c r="P429" s="1"/>
      <c r="Q429" s="1332" t="s">
        <v>546</v>
      </c>
      <c r="R429" s="1332"/>
    </row>
    <row r="430" spans="1:39" ht="12.95" customHeight="1">
      <c r="F430" t="s">
        <v>610</v>
      </c>
      <c r="P430" s="1"/>
      <c r="Q430" s="1"/>
      <c r="AF430" s="1332" t="s">
        <v>592</v>
      </c>
      <c r="AG430" s="1824"/>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21">
        <v>106</v>
      </c>
      <c r="AH437" s="1821"/>
      <c r="AI437" s="1821"/>
      <c r="AJ437" s="1821"/>
    </row>
    <row r="438" spans="1:55" ht="12.95"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5">
        <v>0</v>
      </c>
      <c r="AH438" s="1612"/>
      <c r="AI438" s="1612"/>
      <c r="AJ438" s="1612"/>
    </row>
    <row r="439" spans="1:55" ht="12.95"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21">
        <v>105</v>
      </c>
      <c r="AH439" s="1821"/>
      <c r="AI439" s="1821"/>
      <c r="AJ439" s="1821"/>
    </row>
    <row r="440" spans="1:55" ht="12.95"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21">
        <v>105</v>
      </c>
      <c r="AH440" s="1821"/>
      <c r="AI440" s="1821"/>
      <c r="AJ440" s="1821"/>
    </row>
    <row r="441" spans="1:55" ht="12.95"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7">
        <f>IF(ISERROR(AG440/AG439),0,AG440/AG439)</f>
        <v>1</v>
      </c>
      <c r="AH441" s="1807"/>
      <c r="AI441" s="1807"/>
      <c r="AJ441" s="1807"/>
    </row>
    <row r="442" spans="1:55" ht="12.95"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82875</v>
      </c>
      <c r="AH442" s="1694"/>
      <c r="AI442" s="1694"/>
      <c r="AJ442" s="1694"/>
    </row>
    <row r="443" spans="1:55" ht="12.95"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82875</v>
      </c>
      <c r="AH443" s="1694"/>
      <c r="AI443" s="1694"/>
      <c r="AJ443" s="1694"/>
    </row>
    <row r="444" spans="1:55" ht="12.95"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7">
        <f>IF(ISERROR(AG443/AG442),0,AG443/AG442)</f>
        <v>1</v>
      </c>
      <c r="AH444" s="1807"/>
      <c r="AI444" s="1807"/>
      <c r="AJ444" s="1807"/>
    </row>
    <row r="445" spans="1:55" ht="12.95"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7">
        <f>MIN(IF(AG441&gt;AG444,AG444,AG441),1)</f>
        <v>1</v>
      </c>
      <c r="AH445" s="1807"/>
      <c r="AI445" s="1807"/>
      <c r="AJ445" s="1807"/>
    </row>
    <row r="446" spans="1:55" ht="12.95" customHeight="1">
      <c r="D446" s="1741"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v>5844</v>
      </c>
      <c r="AH446" s="1694"/>
      <c r="AI446" s="1694"/>
      <c r="AJ446" s="1694"/>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2.95"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v>3135</v>
      </c>
      <c r="AH448" s="1694"/>
      <c r="AI448" s="1694"/>
      <c r="AJ448" s="1694"/>
      <c r="AZ448" s="3"/>
      <c r="BA448" s="3"/>
      <c r="BB448" s="3"/>
      <c r="BC448" s="3"/>
    </row>
    <row r="449" spans="1:55" ht="12.95"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0</v>
      </c>
      <c r="AH449" s="1694"/>
      <c r="AI449" s="1694"/>
      <c r="AJ449" s="1694"/>
      <c r="BB449" s="3"/>
      <c r="BC449" s="3"/>
    </row>
    <row r="450" spans="1:55" ht="12.95"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5">
        <f>AG442+AG446+AG448+AG449</f>
        <v>91854</v>
      </c>
      <c r="AH450" s="1845"/>
      <c r="AI450" s="1845"/>
      <c r="AJ450" s="1845"/>
      <c r="AZ450" s="3"/>
      <c r="BA450" s="3"/>
      <c r="BB450" s="3"/>
      <c r="BC450" s="3"/>
    </row>
    <row r="451" spans="1:55" ht="12.95"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385076.83018867922</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385076.83018867922</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351450.11320754717</v>
      </c>
      <c r="AD456" s="1813"/>
      <c r="AE456" s="1813"/>
      <c r="AF456" s="1813"/>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1" t="s">
        <v>2100</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1" t="s">
        <v>2191</v>
      </c>
      <c r="E472" s="1849"/>
      <c r="F472" s="1849"/>
      <c r="G472" s="1849"/>
      <c r="H472" s="1849"/>
      <c r="I472" s="1849"/>
      <c r="J472" s="1849"/>
      <c r="K472" s="1849"/>
      <c r="L472" s="1849"/>
      <c r="M472" s="1849"/>
      <c r="N472" s="1849"/>
      <c r="O472" s="1849"/>
      <c r="P472" s="1849"/>
      <c r="Q472" s="1849"/>
      <c r="R472" s="1849"/>
      <c r="S472" s="1849"/>
      <c r="T472" s="1849"/>
      <c r="U472" s="1849"/>
      <c r="V472" s="1850"/>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9</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2.95" customHeight="1">
      <c r="B486" s="45" t="s">
        <v>394</v>
      </c>
      <c r="C486" s="5"/>
      <c r="D486" s="5"/>
      <c r="E486" s="5"/>
      <c r="F486" s="5"/>
      <c r="G486" s="5"/>
      <c r="H486" s="5"/>
      <c r="I486" s="5"/>
      <c r="J486" s="5"/>
      <c r="K486" s="5"/>
      <c r="L486" s="5"/>
      <c r="M486" s="5"/>
      <c r="N486" s="5"/>
      <c r="O486" s="5"/>
      <c r="P486" s="5"/>
      <c r="Q486" s="1576" t="s">
        <v>2701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395</v>
      </c>
      <c r="C487" s="5"/>
      <c r="D487" s="5"/>
      <c r="E487" s="5"/>
      <c r="F487" s="5"/>
      <c r="G487" s="5"/>
      <c r="H487" s="5"/>
      <c r="I487" s="5"/>
      <c r="J487" s="5"/>
      <c r="K487" s="5"/>
      <c r="L487" s="5"/>
      <c r="M487" s="5"/>
      <c r="N487" s="5"/>
      <c r="O487" s="5"/>
      <c r="P487" s="5"/>
      <c r="Q487" s="1576" t="s">
        <v>2702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396</v>
      </c>
      <c r="C488" s="5"/>
      <c r="D488" s="5"/>
      <c r="E488" s="5"/>
      <c r="F488" s="5"/>
      <c r="G488" s="5"/>
      <c r="H488" s="5"/>
      <c r="I488" s="5"/>
      <c r="J488" s="5"/>
      <c r="K488" s="5"/>
      <c r="L488" s="5"/>
      <c r="M488" s="5"/>
      <c r="N488" s="5"/>
      <c r="O488" s="5"/>
      <c r="P488" s="5"/>
      <c r="Q488" s="1576" t="s">
        <v>2702</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6">
        <v>1.1000000000000001</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6">
        <v>123</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1670</v>
      </c>
      <c r="C495" s="5"/>
      <c r="D495" s="5"/>
      <c r="E495" s="5"/>
      <c r="F495" s="5"/>
      <c r="G495" s="5"/>
      <c r="H495" s="5"/>
      <c r="I495" s="5"/>
      <c r="J495" s="5"/>
      <c r="K495" s="5"/>
      <c r="L495" s="5"/>
      <c r="M495" s="1445">
        <v>0</v>
      </c>
      <c r="N495" s="1446"/>
      <c r="O495" s="1446"/>
      <c r="P495" s="1447"/>
      <c r="Q495" s="121" t="s">
        <v>1671</v>
      </c>
      <c r="R495" s="5"/>
      <c r="S495" s="5"/>
      <c r="T495" s="5"/>
      <c r="U495" s="5"/>
      <c r="V495" s="5"/>
      <c r="W495" s="5"/>
      <c r="X495" s="5"/>
      <c r="Y495" s="5"/>
      <c r="Z495" s="5"/>
      <c r="AA495" s="5"/>
      <c r="AB495" s="5"/>
      <c r="AC495" s="5"/>
      <c r="AD495" s="5"/>
      <c r="AE495" s="5"/>
      <c r="AF495" s="5"/>
      <c r="AG495" s="5"/>
      <c r="AH495" s="1445">
        <v>123</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2.9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v>6</v>
      </c>
      <c r="AD501" s="1662"/>
      <c r="AE501" s="1662"/>
      <c r="AF501" s="1662"/>
      <c r="AG501" s="13" t="s">
        <v>403</v>
      </c>
      <c r="AH501" s="1402">
        <v>2024</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12</v>
      </c>
      <c r="AD502" s="1662"/>
      <c r="AE502" s="1662"/>
      <c r="AF502" s="1662"/>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413</v>
      </c>
      <c r="AC507" s="1337" t="s">
        <v>592</v>
      </c>
      <c r="AD507" s="1338"/>
      <c r="AE507" s="1338"/>
      <c r="AF507" s="1338"/>
      <c r="AG507" s="13" t="s">
        <v>403</v>
      </c>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4"/>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1" t="s">
        <v>1185</v>
      </c>
      <c r="AD509" s="1821"/>
      <c r="AE509" s="1821"/>
      <c r="AF509" s="1821"/>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3"/>
      <c r="AZ513" s="3"/>
      <c r="BA513" s="3"/>
      <c r="BB513" s="3"/>
      <c r="BC513" s="3"/>
      <c r="BD513" s="3"/>
      <c r="BE513" s="3"/>
      <c r="BF513" s="3"/>
      <c r="BG513" s="3"/>
      <c r="BH513" s="3"/>
      <c r="BI513" s="3"/>
      <c r="BJ513" s="3"/>
      <c r="BK513" s="3"/>
      <c r="BL513" s="3"/>
      <c r="BM513" s="3"/>
      <c r="BN513" s="3" t="s">
        <v>2105</v>
      </c>
    </row>
    <row r="514" spans="2:66" ht="12.9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9</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2"/>
      <c r="C515" s="1432"/>
      <c r="D515" s="1432"/>
      <c r="E515" s="1432"/>
      <c r="F515" s="1432"/>
      <c r="G515" s="1432"/>
      <c r="H515" s="1433"/>
      <c r="I515" t="s">
        <v>416</v>
      </c>
      <c r="AC515" s="1661">
        <v>9</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3</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2"/>
      <c r="C518" s="1432"/>
      <c r="D518" s="1432"/>
      <c r="E518" s="1432"/>
      <c r="F518" s="1432"/>
      <c r="G518" s="1432"/>
      <c r="H518" s="1433"/>
      <c r="I518" t="s">
        <v>416</v>
      </c>
      <c r="AC518" s="1661">
        <v>9</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3</v>
      </c>
      <c r="AD519" s="1662"/>
      <c r="AE519" s="1662"/>
      <c r="AF519" s="1662"/>
      <c r="AG519" s="38" t="s">
        <v>403</v>
      </c>
      <c r="AH519" s="1402">
        <v>2026</v>
      </c>
      <c r="AI519" s="1402"/>
      <c r="AJ519" s="1402"/>
      <c r="AK519" s="1403"/>
      <c r="BB519" s="3"/>
      <c r="BC519" s="3"/>
      <c r="BD519" s="3"/>
      <c r="BE519" s="3"/>
      <c r="BF519" s="3"/>
      <c r="BG519" s="3"/>
      <c r="BH519" s="3"/>
      <c r="BI519" s="3"/>
      <c r="BJ519" s="3"/>
      <c r="BK519" s="3"/>
      <c r="BL519" s="3"/>
      <c r="BM519" s="3"/>
      <c r="BN519" s="3" t="s">
        <v>2111</v>
      </c>
    </row>
    <row r="520" spans="2:66" ht="12.95" customHeight="1">
      <c r="B520" s="1671" t="s">
        <v>419</v>
      </c>
      <c r="C520" s="1430"/>
      <c r="D520" s="1430"/>
      <c r="E520" s="1430"/>
      <c r="F520" s="1430"/>
      <c r="G520" s="1430"/>
      <c r="H520" s="1431"/>
      <c r="I520" s="41" t="s">
        <v>420</v>
      </c>
      <c r="J520" s="42"/>
      <c r="K520" s="42"/>
      <c r="L520" s="42"/>
      <c r="M520" s="42"/>
      <c r="N520" s="42"/>
      <c r="O520" s="1748" t="s">
        <v>2703</v>
      </c>
      <c r="P520" s="1749"/>
      <c r="Q520" s="1749"/>
      <c r="R520" s="1749"/>
      <c r="S520" s="1749"/>
      <c r="T520" s="1749"/>
      <c r="U520" s="1749"/>
      <c r="V520" s="1749"/>
      <c r="W520" s="1749"/>
      <c r="X520" s="1749"/>
      <c r="Y520" s="1749"/>
      <c r="Z520" s="1749"/>
      <c r="AA520" s="1749"/>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2"/>
      <c r="C521" s="1432"/>
      <c r="D521" s="1432"/>
      <c r="E521" s="1432"/>
      <c r="F521" s="1432"/>
      <c r="G521" s="1432"/>
      <c r="H521" s="1433"/>
      <c r="I521" s="114" t="s">
        <v>421</v>
      </c>
      <c r="AB521" s="65"/>
      <c r="AC521" s="1661">
        <v>12</v>
      </c>
      <c r="AD521" s="1662"/>
      <c r="AE521" s="1662"/>
      <c r="AF521" s="1662"/>
      <c r="AG521" s="13" t="s">
        <v>403</v>
      </c>
      <c r="AH521" s="1402">
        <v>2024</v>
      </c>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3</v>
      </c>
      <c r="AD522" s="1662"/>
      <c r="AE522" s="1662"/>
      <c r="AF522" s="1662"/>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5</v>
      </c>
      <c r="AD538" s="1662"/>
      <c r="AE538" s="1662"/>
      <c r="AF538" s="1662"/>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564</v>
      </c>
      <c r="AC539" s="1661">
        <v>5</v>
      </c>
      <c r="AD539" s="1662"/>
      <c r="AE539" s="1662"/>
      <c r="AF539" s="1662"/>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565</v>
      </c>
      <c r="AC540" s="1661">
        <v>3</v>
      </c>
      <c r="AD540" s="1662"/>
      <c r="AE540" s="1662"/>
      <c r="AF540" s="1662"/>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566</v>
      </c>
      <c r="AC541" s="1661">
        <v>10</v>
      </c>
      <c r="AD541" s="1662"/>
      <c r="AE541" s="1662"/>
      <c r="AF541" s="1662"/>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4</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2103</v>
      </c>
      <c r="C551" s="1430"/>
      <c r="D551" s="1430"/>
      <c r="E551" s="1430"/>
      <c r="F551" s="1430"/>
      <c r="G551" s="1430"/>
      <c r="H551" s="1430"/>
      <c r="I551" s="1430"/>
      <c r="J551" s="1430"/>
      <c r="K551" s="1430"/>
      <c r="L551" s="1431"/>
      <c r="M551" s="1671" t="s">
        <v>2104</v>
      </c>
      <c r="N551" s="1430"/>
      <c r="O551" s="1430"/>
      <c r="P551" s="1431"/>
      <c r="Q551" s="1671" t="s">
        <v>2130</v>
      </c>
      <c r="R551" s="1430"/>
      <c r="S551" s="1431"/>
      <c r="T551" s="1671" t="s">
        <v>2131</v>
      </c>
      <c r="U551" s="1430"/>
      <c r="V551" s="1431"/>
      <c r="W551" s="1671" t="s">
        <v>454</v>
      </c>
      <c r="X551" s="1430"/>
      <c r="Y551" s="1431"/>
      <c r="Z551" s="1671" t="s">
        <v>1852</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2667</v>
      </c>
      <c r="D554" s="1692"/>
      <c r="E554" s="1692"/>
      <c r="F554" s="1692"/>
      <c r="G554" s="1692"/>
      <c r="H554" s="1692"/>
      <c r="I554" s="1692"/>
      <c r="J554" s="1692"/>
      <c r="K554" s="1692"/>
      <c r="L554" s="1692"/>
      <c r="M554" s="1692" t="s">
        <v>2120</v>
      </c>
      <c r="N554" s="1692"/>
      <c r="O554" s="1692"/>
      <c r="P554" s="1692"/>
      <c r="Q554" s="1452">
        <v>204</v>
      </c>
      <c r="R554" s="1452"/>
      <c r="S554" s="1453"/>
      <c r="T554" s="1451">
        <v>480</v>
      </c>
      <c r="U554" s="1452"/>
      <c r="V554" s="1453"/>
      <c r="W554" s="1454">
        <v>7.5999999999999998E-2</v>
      </c>
      <c r="X554" s="1455"/>
      <c r="Y554" s="1456"/>
      <c r="Z554" s="1693" t="s">
        <v>2707</v>
      </c>
      <c r="AA554" s="1693"/>
      <c r="AB554" s="1693"/>
      <c r="AC554" s="1693"/>
      <c r="AD554" s="1693"/>
      <c r="AE554" s="1674"/>
      <c r="AF554" s="1675"/>
      <c r="AG554" s="1675"/>
      <c r="AH554" s="1676"/>
      <c r="AI554" s="1677"/>
      <c r="AJ554" s="1678"/>
      <c r="AK554" s="1678"/>
      <c r="AL554" s="1679"/>
      <c r="AM554" s="1667">
        <v>9685965</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2667</v>
      </c>
      <c r="D555" s="1680"/>
      <c r="E555" s="1680"/>
      <c r="F555" s="1680"/>
      <c r="G555" s="1680"/>
      <c r="H555" s="1680"/>
      <c r="I555" s="1680"/>
      <c r="J555" s="1680"/>
      <c r="K555" s="1680"/>
      <c r="L555" s="1680"/>
      <c r="M555" s="1692" t="s">
        <v>2119</v>
      </c>
      <c r="N555" s="1692"/>
      <c r="O555" s="1692"/>
      <c r="P555" s="1692"/>
      <c r="Q555" s="1451">
        <v>204</v>
      </c>
      <c r="R555" s="1452"/>
      <c r="S555" s="1453"/>
      <c r="T555" s="1451">
        <v>480</v>
      </c>
      <c r="U555" s="1452"/>
      <c r="V555" s="1453"/>
      <c r="W555" s="1454">
        <v>7.0999999999999994E-2</v>
      </c>
      <c r="X555" s="1455"/>
      <c r="Y555" s="1456"/>
      <c r="Z555" s="1693" t="s">
        <v>2707</v>
      </c>
      <c r="AA555" s="1693"/>
      <c r="AB555" s="1693"/>
      <c r="AC555" s="1693"/>
      <c r="AD555" s="1693"/>
      <c r="AE555" s="1674"/>
      <c r="AF555" s="1675"/>
      <c r="AG555" s="1675"/>
      <c r="AH555" s="1676"/>
      <c r="AI555" s="1677"/>
      <c r="AJ555" s="1678"/>
      <c r="AK555" s="1678"/>
      <c r="AL555" s="1679"/>
      <c r="AM555" s="1667">
        <f>21257769-AM554</f>
        <v>11571804</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2667</v>
      </c>
      <c r="D556" s="1680"/>
      <c r="E556" s="1680"/>
      <c r="F556" s="1680"/>
      <c r="G556" s="1680"/>
      <c r="H556" s="1680"/>
      <c r="I556" s="1680"/>
      <c r="J556" s="1680"/>
      <c r="K556" s="1680"/>
      <c r="L556" s="1680"/>
      <c r="M556" s="1692" t="s">
        <v>2111</v>
      </c>
      <c r="N556" s="1692"/>
      <c r="O556" s="1692"/>
      <c r="P556" s="1692"/>
      <c r="Q556" s="1451"/>
      <c r="R556" s="1452"/>
      <c r="S556" s="1453"/>
      <c r="T556" s="1451"/>
      <c r="U556" s="1452"/>
      <c r="V556" s="1453"/>
      <c r="W556" s="1454"/>
      <c r="X556" s="1455"/>
      <c r="Y556" s="1456"/>
      <c r="Z556" s="1693" t="s">
        <v>592</v>
      </c>
      <c r="AA556" s="1693"/>
      <c r="AB556" s="1693"/>
      <c r="AC556" s="1693"/>
      <c r="AD556" s="1693"/>
      <c r="AE556" s="1674"/>
      <c r="AF556" s="1675"/>
      <c r="AG556" s="1675"/>
      <c r="AH556" s="1676"/>
      <c r="AI556" s="1677"/>
      <c r="AJ556" s="1678"/>
      <c r="AK556" s="1678"/>
      <c r="AL556" s="1679"/>
      <c r="AM556" s="1667">
        <v>1406065</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80" t="s">
        <v>2735</v>
      </c>
      <c r="D557" s="1680"/>
      <c r="E557" s="1680"/>
      <c r="F557" s="1680"/>
      <c r="G557" s="1680"/>
      <c r="H557" s="1680"/>
      <c r="I557" s="1680"/>
      <c r="J557" s="1680"/>
      <c r="K557" s="1680"/>
      <c r="L557" s="1680"/>
      <c r="M557" s="1692" t="s">
        <v>2117</v>
      </c>
      <c r="N557" s="1692"/>
      <c r="O557" s="1692"/>
      <c r="P557" s="1692"/>
      <c r="Q557" s="1451"/>
      <c r="R557" s="1452"/>
      <c r="S557" s="1453"/>
      <c r="T557" s="1451"/>
      <c r="U557" s="1452"/>
      <c r="V557" s="1453"/>
      <c r="W557" s="1454">
        <v>0.04</v>
      </c>
      <c r="X557" s="1455"/>
      <c r="Y557" s="1456"/>
      <c r="Z557" s="1693" t="s">
        <v>2707</v>
      </c>
      <c r="AA557" s="1693"/>
      <c r="AB557" s="1693"/>
      <c r="AC557" s="1693"/>
      <c r="AD557" s="1693"/>
      <c r="AE557" s="1674"/>
      <c r="AF557" s="1675"/>
      <c r="AG557" s="1675"/>
      <c r="AH557" s="1676"/>
      <c r="AI557" s="1677"/>
      <c r="AJ557" s="1678"/>
      <c r="AK557" s="1678"/>
      <c r="AL557" s="1679"/>
      <c r="AM557" s="1667">
        <v>901469</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80" t="s">
        <v>2704</v>
      </c>
      <c r="D558" s="1680"/>
      <c r="E558" s="1680"/>
      <c r="F558" s="1680"/>
      <c r="G558" s="1680"/>
      <c r="H558" s="1680"/>
      <c r="I558" s="1680"/>
      <c r="J558" s="1680"/>
      <c r="K558" s="1680"/>
      <c r="L558" s="1680"/>
      <c r="M558" s="1692" t="s">
        <v>2123</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530599</v>
      </c>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0" t="s">
        <v>2705</v>
      </c>
      <c r="D559" s="1680"/>
      <c r="E559" s="1680"/>
      <c r="F559" s="1680"/>
      <c r="G559" s="1680"/>
      <c r="H559" s="1680"/>
      <c r="I559" s="1680"/>
      <c r="J559" s="1680"/>
      <c r="K559" s="1680"/>
      <c r="L559" s="1680"/>
      <c r="M559" s="1692" t="s">
        <v>2116</v>
      </c>
      <c r="N559" s="1692"/>
      <c r="O559" s="1692"/>
      <c r="P559" s="1692"/>
      <c r="Q559" s="1451">
        <v>480</v>
      </c>
      <c r="R559" s="1452"/>
      <c r="S559" s="1453"/>
      <c r="T559" s="1451"/>
      <c r="U559" s="1452"/>
      <c r="V559" s="1453"/>
      <c r="W559" s="1454">
        <v>0.04</v>
      </c>
      <c r="X559" s="1455"/>
      <c r="Y559" s="1456"/>
      <c r="Z559" s="1693" t="s">
        <v>2707</v>
      </c>
      <c r="AA559" s="1693"/>
      <c r="AB559" s="1693"/>
      <c r="AC559" s="1693"/>
      <c r="AD559" s="1693"/>
      <c r="AE559" s="1674"/>
      <c r="AF559" s="1675"/>
      <c r="AG559" s="1675"/>
      <c r="AH559" s="1676"/>
      <c r="AI559" s="1677"/>
      <c r="AJ559" s="1678"/>
      <c r="AK559" s="1678"/>
      <c r="AL559" s="1679"/>
      <c r="AM559" s="1667">
        <v>2120000</v>
      </c>
      <c r="AN559" s="1668"/>
      <c r="AO559" s="1668"/>
      <c r="AP559" s="1668"/>
      <c r="AQ559" s="1668"/>
      <c r="AR559" s="1668"/>
      <c r="AS559" s="1669"/>
      <c r="AT559" s="1148" t="str">
        <f t="shared" si="0"/>
        <v/>
      </c>
      <c r="AU559" s="1147"/>
      <c r="BB559" s="3"/>
      <c r="BC559" s="3"/>
      <c r="BD559" s="3"/>
      <c r="BE559" s="3"/>
      <c r="BF559" s="3"/>
      <c r="BG559" s="3"/>
      <c r="BH559" s="3" t="s">
        <v>585</v>
      </c>
      <c r="BI559" s="3" t="str">
        <f>AG665</f>
        <v>Yes</v>
      </c>
    </row>
    <row r="560" spans="1:61" ht="12.95" customHeight="1">
      <c r="B560" s="52" t="s">
        <v>456</v>
      </c>
      <c r="C560" s="1680" t="s">
        <v>2122</v>
      </c>
      <c r="D560" s="1680"/>
      <c r="E560" s="1680"/>
      <c r="F560" s="1680"/>
      <c r="G560" s="1680"/>
      <c r="H560" s="1680"/>
      <c r="I560" s="1680"/>
      <c r="J560" s="1680"/>
      <c r="K560" s="1680"/>
      <c r="L560" s="1680"/>
      <c r="M560" s="1692" t="s">
        <v>2122</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810454</v>
      </c>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680" t="s">
        <v>2667</v>
      </c>
      <c r="D561" s="1680"/>
      <c r="E561" s="1680"/>
      <c r="F561" s="1680"/>
      <c r="G561" s="1680"/>
      <c r="H561" s="1680"/>
      <c r="I561" s="1680"/>
      <c r="J561" s="1680"/>
      <c r="K561" s="1680"/>
      <c r="L561" s="1680"/>
      <c r="M561" s="1692" t="s">
        <v>2115</v>
      </c>
      <c r="N561" s="1692"/>
      <c r="O561" s="1692"/>
      <c r="P561" s="1692"/>
      <c r="Q561" s="1451">
        <v>60</v>
      </c>
      <c r="R561" s="1452"/>
      <c r="S561" s="1453"/>
      <c r="T561" s="1451"/>
      <c r="U561" s="1452"/>
      <c r="V561" s="1453"/>
      <c r="W561" s="1454"/>
      <c r="X561" s="1455"/>
      <c r="Y561" s="1456"/>
      <c r="Z561" s="1693" t="s">
        <v>2707</v>
      </c>
      <c r="AA561" s="1693"/>
      <c r="AB561" s="1693"/>
      <c r="AC561" s="1693"/>
      <c r="AD561" s="1693"/>
      <c r="AE561" s="1674"/>
      <c r="AF561" s="1675"/>
      <c r="AG561" s="1675"/>
      <c r="AH561" s="1676"/>
      <c r="AI561" s="1677"/>
      <c r="AJ561" s="1678"/>
      <c r="AK561" s="1678"/>
      <c r="AL561" s="1679"/>
      <c r="AM561" s="1667">
        <v>9160745</v>
      </c>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80" t="s">
        <v>2706</v>
      </c>
      <c r="D562" s="1680"/>
      <c r="E562" s="1680"/>
      <c r="F562" s="1680"/>
      <c r="G562" s="1680"/>
      <c r="H562" s="1680"/>
      <c r="I562" s="1680"/>
      <c r="J562" s="1680"/>
      <c r="K562" s="1680"/>
      <c r="L562" s="1680"/>
      <c r="M562" s="1692" t="s">
        <v>2106</v>
      </c>
      <c r="N562" s="1692"/>
      <c r="O562" s="1692"/>
      <c r="P562" s="1692"/>
      <c r="Q562" s="1451"/>
      <c r="R562" s="1452"/>
      <c r="S562" s="1453"/>
      <c r="T562" s="1451"/>
      <c r="U562" s="1452"/>
      <c r="V562" s="1453"/>
      <c r="W562" s="1454">
        <v>0.04</v>
      </c>
      <c r="X562" s="1455"/>
      <c r="Y562" s="1456"/>
      <c r="Z562" s="1693" t="s">
        <v>592</v>
      </c>
      <c r="AA562" s="1693"/>
      <c r="AB562" s="1693"/>
      <c r="AC562" s="1693"/>
      <c r="AD562" s="1693"/>
      <c r="AE562" s="1674"/>
      <c r="AF562" s="1675"/>
      <c r="AG562" s="1675"/>
      <c r="AH562" s="1676"/>
      <c r="AI562" s="1677"/>
      <c r="AJ562" s="1678"/>
      <c r="AK562" s="1678"/>
      <c r="AL562" s="1679"/>
      <c r="AM562" s="1667">
        <f>40818144-SUM(AM554:AS561)</f>
        <v>4631043</v>
      </c>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2" t="s">
        <v>1185</v>
      </c>
      <c r="N563" s="1692"/>
      <c r="O563" s="1692"/>
      <c r="P563" s="1692"/>
      <c r="Q563" s="1451"/>
      <c r="R563" s="1452"/>
      <c r="S563" s="1453"/>
      <c r="T563" s="1451"/>
      <c r="U563" s="1452"/>
      <c r="V563" s="1453"/>
      <c r="W563" s="1454"/>
      <c r="X563" s="1455"/>
      <c r="Y563" s="1456"/>
      <c r="Z563" s="1693" t="s">
        <v>1185</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2" t="s">
        <v>1185</v>
      </c>
      <c r="N564" s="1692"/>
      <c r="O564" s="1692"/>
      <c r="P564" s="1692"/>
      <c r="Q564" s="1451"/>
      <c r="R564" s="1452"/>
      <c r="S564" s="1453"/>
      <c r="T564" s="1451"/>
      <c r="U564" s="1452"/>
      <c r="V564" s="1453"/>
      <c r="W564" s="1454"/>
      <c r="X564" s="1455"/>
      <c r="Y564" s="1456"/>
      <c r="Z564" s="1693" t="s">
        <v>1185</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2" t="s">
        <v>1185</v>
      </c>
      <c r="N565" s="1692"/>
      <c r="O565" s="1692"/>
      <c r="P565" s="1692"/>
      <c r="Q565" s="1451"/>
      <c r="R565" s="1452"/>
      <c r="S565" s="1453"/>
      <c r="T565" s="1451"/>
      <c r="U565" s="1452"/>
      <c r="V565" s="1453"/>
      <c r="W565" s="1454"/>
      <c r="X565" s="1455"/>
      <c r="Y565" s="1456"/>
      <c r="Z565" s="1693" t="s">
        <v>1185</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40818144</v>
      </c>
      <c r="AN566" s="1615"/>
      <c r="AO566" s="1615"/>
      <c r="AP566" s="1615"/>
      <c r="AQ566" s="1615"/>
      <c r="AR566" s="1615"/>
      <c r="AS566" s="161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PNC Bank</v>
      </c>
      <c r="H568" s="1358"/>
      <c r="I568" s="1358"/>
      <c r="J568" s="1358"/>
      <c r="K568" s="1358"/>
      <c r="L568" s="1358"/>
      <c r="M568" s="1358"/>
      <c r="N568" s="1358"/>
      <c r="O568" s="1358"/>
      <c r="P568" s="1358"/>
      <c r="Q568" s="1358"/>
      <c r="R568" s="1358"/>
      <c r="S568" s="8"/>
      <c r="T568" s="55" t="s">
        <v>113</v>
      </c>
      <c r="U568" t="s">
        <v>464</v>
      </c>
      <c r="Z568" s="1358" t="str">
        <f>C555</f>
        <v>PNC Bank</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2743</v>
      </c>
      <c r="H569" s="1371"/>
      <c r="I569" s="1371"/>
      <c r="J569" s="1371"/>
      <c r="K569" s="1371"/>
      <c r="L569" s="1371"/>
      <c r="M569" s="1371"/>
      <c r="N569" s="1371"/>
      <c r="O569" s="1371"/>
      <c r="P569" s="1371"/>
      <c r="Q569" s="1371"/>
      <c r="R569" s="1371"/>
      <c r="S569" s="8"/>
      <c r="T569" s="22"/>
      <c r="U569" t="s">
        <v>85</v>
      </c>
      <c r="Z569" s="1371" t="s">
        <v>2743</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2744</v>
      </c>
      <c r="H570" s="1371"/>
      <c r="I570" s="1371"/>
      <c r="J570" s="1371"/>
      <c r="K570" s="1371"/>
      <c r="L570" s="1371"/>
      <c r="M570" s="1371"/>
      <c r="N570" s="1371"/>
      <c r="O570" s="1371"/>
      <c r="P570" s="1371"/>
      <c r="Q570" s="1371"/>
      <c r="R570" s="1371"/>
      <c r="T570" s="22"/>
      <c r="U570" t="s">
        <v>581</v>
      </c>
      <c r="Z570" s="1348" t="s">
        <v>2744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2668</v>
      </c>
      <c r="H571" s="1371"/>
      <c r="I571" s="1371"/>
      <c r="J571" s="1371"/>
      <c r="K571" s="1371"/>
      <c r="L571" s="1371"/>
      <c r="M571" s="1371"/>
      <c r="N571" s="1371"/>
      <c r="O571" s="1371"/>
      <c r="P571" s="1371"/>
      <c r="Q571" s="1371"/>
      <c r="R571" s="1371"/>
      <c r="S571" s="8"/>
      <c r="T571" s="22"/>
      <c r="U571" t="s">
        <v>17</v>
      </c>
      <c r="Z571" s="1348" t="s">
        <v>2668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v>6185424968</v>
      </c>
      <c r="H572" s="1346"/>
      <c r="I572" s="1346"/>
      <c r="J572" s="1346"/>
      <c r="K572" s="1346"/>
      <c r="L572" s="1346"/>
      <c r="O572" s="33" t="s">
        <v>206</v>
      </c>
      <c r="P572" s="1436"/>
      <c r="Q572" s="1436"/>
      <c r="R572" s="1436"/>
      <c r="S572" s="10"/>
      <c r="T572" s="22"/>
      <c r="U572" t="s">
        <v>316</v>
      </c>
      <c r="Z572" s="1346">
        <v>6185424968</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
        <v>2120</v>
      </c>
      <c r="I573" s="1371"/>
      <c r="J573" s="1371"/>
      <c r="K573" s="1371"/>
      <c r="L573" s="1371"/>
      <c r="M573" s="1371"/>
      <c r="N573" s="1371"/>
      <c r="O573" s="1371"/>
      <c r="P573" s="1371"/>
      <c r="Q573" s="1371"/>
      <c r="R573" s="1371"/>
      <c r="S573" s="8"/>
      <c r="T573" s="22"/>
      <c r="U573" t="s">
        <v>18</v>
      </c>
      <c r="AA573" s="1371" t="s">
        <v>2119</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5"/>
      <c r="N574" s="1695"/>
      <c r="O574" s="1695"/>
      <c r="P574" s="1695"/>
      <c r="Q574" s="1695"/>
      <c r="R574" s="1695"/>
      <c r="S574" s="8"/>
      <c r="T574" s="22"/>
      <c r="U574" s="320"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PNC Bank</v>
      </c>
      <c r="H577" s="1358"/>
      <c r="I577" s="1358"/>
      <c r="J577" s="1358"/>
      <c r="K577" s="1358"/>
      <c r="L577" s="1358"/>
      <c r="M577" s="1358"/>
      <c r="N577" s="1358"/>
      <c r="O577" s="1358"/>
      <c r="P577" s="1358"/>
      <c r="Q577" s="1358"/>
      <c r="R577" s="1358"/>
      <c r="T577" s="55" t="s">
        <v>582</v>
      </c>
      <c r="U577" t="s">
        <v>464</v>
      </c>
      <c r="Z577" s="1358" t="str">
        <f>C557</f>
        <v>Seller Carryback Note (Reserves)</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2743</v>
      </c>
      <c r="H578" s="1371"/>
      <c r="I578" s="1371"/>
      <c r="J578" s="1371"/>
      <c r="K578" s="1371"/>
      <c r="L578" s="1371"/>
      <c r="M578" s="1371"/>
      <c r="N578" s="1371"/>
      <c r="O578" s="1371"/>
      <c r="P578" s="1371"/>
      <c r="Q578" s="1371"/>
      <c r="R578" s="1371"/>
      <c r="T578" s="22"/>
      <c r="U578" t="s">
        <v>85</v>
      </c>
      <c r="Z578" s="1371" t="s">
        <v>2708</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2744</v>
      </c>
      <c r="H579" s="1348"/>
      <c r="I579" s="1348"/>
      <c r="J579" s="1348"/>
      <c r="K579" s="1348"/>
      <c r="L579" s="1348"/>
      <c r="M579" s="1348"/>
      <c r="N579" s="1348"/>
      <c r="O579" s="1348"/>
      <c r="P579" s="1348"/>
      <c r="Q579" s="1348"/>
      <c r="R579" s="1348"/>
      <c r="T579" s="22"/>
      <c r="U579" t="s">
        <v>581</v>
      </c>
      <c r="Z579" s="1348" t="s">
        <v>2709</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2668</v>
      </c>
      <c r="H580" s="1348"/>
      <c r="I580" s="1348"/>
      <c r="J580" s="1348"/>
      <c r="K580" s="1348"/>
      <c r="L580" s="1348"/>
      <c r="M580" s="1348"/>
      <c r="N580" s="1348"/>
      <c r="O580" s="1348"/>
      <c r="P580" s="1348"/>
      <c r="Q580" s="1348"/>
      <c r="R580" s="1348"/>
      <c r="T580" s="22"/>
      <c r="U580" t="s">
        <v>17</v>
      </c>
      <c r="Z580" s="1348" t="s">
        <v>2693</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v>6185424968</v>
      </c>
      <c r="H581" s="1346"/>
      <c r="I581" s="1346"/>
      <c r="J581" s="1346"/>
      <c r="K581" s="1346"/>
      <c r="L581" s="1346"/>
      <c r="O581" s="33" t="s">
        <v>206</v>
      </c>
      <c r="P581" s="1436"/>
      <c r="Q581" s="1436"/>
      <c r="R581" s="1436"/>
      <c r="T581" s="22"/>
      <c r="U581" t="s">
        <v>316</v>
      </c>
      <c r="Z581" s="1346">
        <v>2012424800</v>
      </c>
      <c r="AA581" s="1346"/>
      <c r="AB581" s="1346"/>
      <c r="AC581" s="1346"/>
      <c r="AD581" s="1346"/>
      <c r="AE581" s="1346"/>
      <c r="AH581" s="33" t="s">
        <v>206</v>
      </c>
      <c r="AI581" s="1436"/>
      <c r="AJ581" s="1436"/>
      <c r="AK581" s="1436"/>
      <c r="BB581" s="3"/>
      <c r="BC581" s="3"/>
    </row>
    <row r="582" spans="1:55" ht="12.95" customHeight="1">
      <c r="A582" s="22"/>
      <c r="B582" t="s">
        <v>18</v>
      </c>
      <c r="H582" s="1371" t="s">
        <v>2712</v>
      </c>
      <c r="I582" s="1371"/>
      <c r="J582" s="1371"/>
      <c r="K582" s="1371"/>
      <c r="L582" s="1371"/>
      <c r="M582" s="1371"/>
      <c r="N582" s="1371"/>
      <c r="O582" s="1371"/>
      <c r="P582" s="1371"/>
      <c r="Q582" s="1371"/>
      <c r="R582" s="1371"/>
      <c r="T582" s="22"/>
      <c r="U582" t="s">
        <v>18</v>
      </c>
      <c r="AA582" s="1371" t="s">
        <v>2713</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Short Term Work Credit</v>
      </c>
      <c r="H585" s="1358"/>
      <c r="I585" s="1358"/>
      <c r="J585" s="1358"/>
      <c r="K585" s="1358"/>
      <c r="L585" s="1358"/>
      <c r="M585" s="1358"/>
      <c r="N585" s="1358"/>
      <c r="O585" s="1358"/>
      <c r="P585" s="1358"/>
      <c r="Q585" s="1358"/>
      <c r="R585" s="1358"/>
      <c r="T585" s="55" t="s">
        <v>585</v>
      </c>
      <c r="U585" t="s">
        <v>464</v>
      </c>
      <c r="Z585" s="1358" t="str">
        <f>C559</f>
        <v>SHRA (HOME Funds)</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2708</v>
      </c>
      <c r="H586" s="1371"/>
      <c r="I586" s="1371"/>
      <c r="J586" s="1371"/>
      <c r="K586" s="1371"/>
      <c r="L586" s="1371"/>
      <c r="M586" s="1371"/>
      <c r="N586" s="1371"/>
      <c r="O586" s="1371"/>
      <c r="P586" s="1371"/>
      <c r="Q586" s="1371"/>
      <c r="R586" s="1371"/>
      <c r="T586" s="22"/>
      <c r="U586" t="s">
        <v>85</v>
      </c>
      <c r="Z586" s="1371" t="s">
        <v>2681</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2709</v>
      </c>
      <c r="H587" s="1371"/>
      <c r="I587" s="1371"/>
      <c r="J587" s="1371"/>
      <c r="K587" s="1371"/>
      <c r="L587" s="1371"/>
      <c r="M587" s="1371"/>
      <c r="N587" s="1371"/>
      <c r="O587" s="1371"/>
      <c r="P587" s="1371"/>
      <c r="Q587" s="1371"/>
      <c r="R587" s="1371"/>
      <c r="T587" s="22"/>
      <c r="U587" t="s">
        <v>581</v>
      </c>
      <c r="Z587" s="1348" t="s">
        <v>2710</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2693</v>
      </c>
      <c r="H588" s="1371"/>
      <c r="I588" s="1371"/>
      <c r="J588" s="1371"/>
      <c r="K588" s="1371"/>
      <c r="L588" s="1371"/>
      <c r="M588" s="1371"/>
      <c r="N588" s="1371"/>
      <c r="O588" s="1371"/>
      <c r="P588" s="1371"/>
      <c r="Q588" s="1371"/>
      <c r="R588" s="1371"/>
      <c r="T588" s="22"/>
      <c r="U588" t="s">
        <v>17</v>
      </c>
      <c r="Z588" s="1348" t="s">
        <v>2683</v>
      </c>
      <c r="AA588" s="1348"/>
      <c r="AB588" s="1348"/>
      <c r="AC588" s="1348"/>
      <c r="AD588" s="1348"/>
      <c r="AE588" s="1348"/>
      <c r="AF588" s="1348"/>
      <c r="AG588" s="1348"/>
      <c r="AH588" s="1348"/>
      <c r="AI588" s="1348"/>
      <c r="AJ588" s="1348"/>
      <c r="AK588" s="1348"/>
    </row>
    <row r="589" spans="1:55" ht="12.95" customHeight="1">
      <c r="A589" s="22"/>
      <c r="B589" t="s">
        <v>316</v>
      </c>
      <c r="G589" s="1346">
        <v>2012424800</v>
      </c>
      <c r="H589" s="1346"/>
      <c r="I589" s="1346"/>
      <c r="J589" s="1346"/>
      <c r="K589" s="1346"/>
      <c r="L589" s="1346"/>
      <c r="O589" s="33" t="s">
        <v>206</v>
      </c>
      <c r="P589" s="1436"/>
      <c r="Q589" s="1436"/>
      <c r="R589" s="1436"/>
      <c r="T589" s="22"/>
      <c r="U589" t="s">
        <v>316</v>
      </c>
      <c r="Z589" s="1346">
        <v>9164401325</v>
      </c>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
        <v>2704</v>
      </c>
      <c r="I590" s="1371"/>
      <c r="J590" s="1371"/>
      <c r="K590" s="1371"/>
      <c r="L590" s="1371"/>
      <c r="M590" s="1371"/>
      <c r="N590" s="1371"/>
      <c r="O590" s="1371"/>
      <c r="P590" s="1371"/>
      <c r="Q590" s="1371"/>
      <c r="R590" s="1371"/>
      <c r="T590" s="22"/>
      <c r="U590" t="s">
        <v>18</v>
      </c>
      <c r="AA590" s="1371" t="s">
        <v>2116</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Net Operating Income</v>
      </c>
      <c r="H593" s="1358"/>
      <c r="I593" s="1358"/>
      <c r="J593" s="1358"/>
      <c r="K593" s="1358"/>
      <c r="L593" s="1358"/>
      <c r="M593" s="1358"/>
      <c r="N593" s="1358"/>
      <c r="O593" s="1358"/>
      <c r="P593" s="1358"/>
      <c r="Q593" s="1358"/>
      <c r="R593" s="1358"/>
      <c r="T593" s="55" t="s">
        <v>457</v>
      </c>
      <c r="U593" t="s">
        <v>464</v>
      </c>
      <c r="Z593" s="1358" t="str">
        <f>C561</f>
        <v>PNC Bank</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2695</v>
      </c>
      <c r="H594" s="1371"/>
      <c r="I594" s="1371"/>
      <c r="J594" s="1371"/>
      <c r="K594" s="1371"/>
      <c r="L594" s="1371"/>
      <c r="M594" s="1371"/>
      <c r="N594" s="1371"/>
      <c r="O594" s="1371"/>
      <c r="P594" s="1371"/>
      <c r="Q594" s="1371"/>
      <c r="R594" s="1371"/>
      <c r="S594"/>
      <c r="T594" s="22"/>
      <c r="U594" t="s">
        <v>85</v>
      </c>
      <c r="V594"/>
      <c r="W594"/>
      <c r="X594"/>
      <c r="Y594"/>
      <c r="Z594" s="1371" t="s">
        <v>2743</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
        <v>2696</v>
      </c>
      <c r="H595" s="1371"/>
      <c r="I595" s="1371"/>
      <c r="J595" s="1371"/>
      <c r="K595" s="1371"/>
      <c r="L595" s="1371"/>
      <c r="M595" s="1371"/>
      <c r="N595" s="1371"/>
      <c r="O595" s="1371"/>
      <c r="P595" s="1371"/>
      <c r="Q595" s="1371"/>
      <c r="R595" s="1371"/>
      <c r="S595"/>
      <c r="T595" s="22"/>
      <c r="U595" t="s">
        <v>581</v>
      </c>
      <c r="V595"/>
      <c r="W595"/>
      <c r="X595"/>
      <c r="Y595"/>
      <c r="Z595" s="1348" t="s">
        <v>2744</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2630</v>
      </c>
      <c r="H596" s="1371"/>
      <c r="I596" s="1371"/>
      <c r="J596" s="1371"/>
      <c r="K596" s="1371"/>
      <c r="L596" s="1371"/>
      <c r="M596" s="1371"/>
      <c r="N596" s="1371"/>
      <c r="O596" s="1371"/>
      <c r="P596" s="1371"/>
      <c r="Q596" s="1371"/>
      <c r="R596" s="1371"/>
      <c r="S596"/>
      <c r="T596" s="22"/>
      <c r="U596" t="s">
        <v>17</v>
      </c>
      <c r="V596"/>
      <c r="W596"/>
      <c r="X596"/>
      <c r="Y596"/>
      <c r="Z596" s="1348" t="s">
        <v>2668</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v>2017933117</v>
      </c>
      <c r="H597" s="1346"/>
      <c r="I597" s="1346"/>
      <c r="J597" s="1346"/>
      <c r="K597" s="1346"/>
      <c r="L597" s="1346"/>
      <c r="M597"/>
      <c r="N597"/>
      <c r="O597" s="33" t="s">
        <v>206</v>
      </c>
      <c r="P597" s="1436"/>
      <c r="Q597" s="1436"/>
      <c r="R597" s="1436"/>
      <c r="S597"/>
      <c r="T597" s="22"/>
      <c r="U597" t="s">
        <v>316</v>
      </c>
      <c r="V597"/>
      <c r="W597"/>
      <c r="X597"/>
      <c r="Y597"/>
      <c r="Z597" s="1346">
        <v>6185424968</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2714</v>
      </c>
      <c r="I598" s="1371"/>
      <c r="J598" s="1371"/>
      <c r="K598" s="1371"/>
      <c r="L598" s="1371"/>
      <c r="M598" s="1371"/>
      <c r="N598" s="1371"/>
      <c r="O598" s="1371"/>
      <c r="P598" s="1371"/>
      <c r="Q598" s="1371"/>
      <c r="R598" s="1371"/>
      <c r="S598"/>
      <c r="T598" s="22"/>
      <c r="U598" t="s">
        <v>18</v>
      </c>
      <c r="V598"/>
      <c r="W598"/>
      <c r="X598"/>
      <c r="Y598"/>
      <c r="Z598"/>
      <c r="AA598" s="1371" t="s">
        <v>2715</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8" t="str">
        <f>C562</f>
        <v>Deferred Costs and Fees</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t="s">
        <v>2695</v>
      </c>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t="s">
        <v>2696</v>
      </c>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t="s">
        <v>2630</v>
      </c>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v>2017933117</v>
      </c>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t="s">
        <v>2736</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99" t="s">
        <v>2103</v>
      </c>
      <c r="C624" s="1699"/>
      <c r="D624" s="1699"/>
      <c r="E624" s="1699"/>
      <c r="F624" s="1699"/>
      <c r="G624" s="1699"/>
      <c r="H624" s="1699"/>
      <c r="I624" s="1699"/>
      <c r="J624" s="1699"/>
      <c r="K624" s="1699"/>
      <c r="L624" s="1699"/>
      <c r="M624" s="1441" t="s">
        <v>2104</v>
      </c>
      <c r="N624" s="1441"/>
      <c r="O624" s="1441"/>
      <c r="P624" s="1441"/>
      <c r="Q624" s="1441" t="s">
        <v>1853</v>
      </c>
      <c r="R624" s="1441"/>
      <c r="S624" s="1441"/>
      <c r="T624" s="1441" t="s">
        <v>1851</v>
      </c>
      <c r="U624" s="1441"/>
      <c r="V624" s="1441"/>
      <c r="W624" s="1700" t="s">
        <v>454</v>
      </c>
      <c r="X624" s="1700"/>
      <c r="Y624" s="1700"/>
      <c r="Z624" s="1430" t="s">
        <v>2133</v>
      </c>
      <c r="AA624" s="1430"/>
      <c r="AB624" s="1431"/>
      <c r="AC624" s="1681" t="s">
        <v>1677</v>
      </c>
      <c r="AD624" s="1682"/>
      <c r="AE624" s="1683"/>
      <c r="AF624" s="1671" t="s">
        <v>1931</v>
      </c>
      <c r="AG624" s="1430"/>
      <c r="AH624" s="1430"/>
      <c r="AI624" s="1430"/>
      <c r="AJ624" s="1431"/>
      <c r="AK624" s="1732" t="s">
        <v>1932</v>
      </c>
      <c r="AL624" s="1733"/>
      <c r="AM624" s="1733"/>
      <c r="AN624" s="1734"/>
      <c r="AO624" s="1441" t="s">
        <v>455</v>
      </c>
      <c r="AP624" s="1441"/>
      <c r="AQ624" s="1441"/>
      <c r="AR624" s="1441"/>
      <c r="AS624" s="1441"/>
      <c r="AU624" s="3"/>
      <c r="AZ624" s="3"/>
      <c r="BA624" s="3"/>
      <c r="BB624" s="3"/>
      <c r="BC624" s="3"/>
    </row>
    <row r="625" spans="2:157" ht="12.9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2.95" customHeight="1">
      <c r="B627" s="51" t="s">
        <v>112</v>
      </c>
      <c r="C627" s="1691" t="s">
        <v>2737</v>
      </c>
      <c r="D627" s="1691"/>
      <c r="E627" s="1691"/>
      <c r="F627" s="1691"/>
      <c r="G627" s="1691"/>
      <c r="H627" s="1691"/>
      <c r="I627" s="1691"/>
      <c r="J627" s="1691"/>
      <c r="K627" s="1691"/>
      <c r="L627" s="1691"/>
      <c r="M627" s="1617" t="s">
        <v>2114</v>
      </c>
      <c r="N627" s="1617"/>
      <c r="O627" s="1617"/>
      <c r="P627" s="1617"/>
      <c r="Q627" s="1425">
        <v>240</v>
      </c>
      <c r="R627" s="1425"/>
      <c r="S627" s="1426"/>
      <c r="T627" s="1424">
        <f>40*12</f>
        <v>480</v>
      </c>
      <c r="U627" s="1425"/>
      <c r="V627" s="1426"/>
      <c r="W627" s="1437">
        <v>6.1199999999999997E-2</v>
      </c>
      <c r="X627" s="1438"/>
      <c r="Y627" s="1439"/>
      <c r="Z627" s="1477" t="s">
        <v>2132</v>
      </c>
      <c r="AA627" s="1478"/>
      <c r="AB627" s="1479"/>
      <c r="AC627" s="1445">
        <v>1</v>
      </c>
      <c r="AD627" s="1446"/>
      <c r="AE627" s="1447"/>
      <c r="AF627" s="1474">
        <f>-PMT(W627/12,T627,AO627)*12</f>
        <v>1424955.0326643679</v>
      </c>
      <c r="AG627" s="1475"/>
      <c r="AH627" s="1475"/>
      <c r="AI627" s="1475"/>
      <c r="AJ627" s="1476"/>
      <c r="AK627" s="1427"/>
      <c r="AL627" s="1428"/>
      <c r="AM627" s="1428"/>
      <c r="AN627" s="1429"/>
      <c r="AO627" s="1480">
        <v>21257769</v>
      </c>
      <c r="AP627" s="1480"/>
      <c r="AQ627" s="1480"/>
      <c r="AR627" s="1480"/>
      <c r="AS627" s="1480"/>
      <c r="AT627" s="3"/>
      <c r="AU627" s="3"/>
      <c r="AZ627" s="3"/>
      <c r="BA627" s="3"/>
      <c r="BB627" s="3"/>
      <c r="BC627" s="3"/>
      <c r="BD627" s="3"/>
    </row>
    <row r="628" spans="2:157" ht="12.95" customHeight="1">
      <c r="B628" s="52" t="s">
        <v>113</v>
      </c>
      <c r="C628" s="1691" t="s">
        <v>2122</v>
      </c>
      <c r="D628" s="1691"/>
      <c r="E628" s="1691"/>
      <c r="F628" s="1691"/>
      <c r="G628" s="1691"/>
      <c r="H628" s="1691"/>
      <c r="I628" s="1691"/>
      <c r="J628" s="1691"/>
      <c r="K628" s="1691"/>
      <c r="L628" s="1691"/>
      <c r="M628" s="1617" t="s">
        <v>2122</v>
      </c>
      <c r="N628" s="1617"/>
      <c r="O628" s="1617"/>
      <c r="P628" s="1617"/>
      <c r="Q628" s="1424"/>
      <c r="R628" s="1425"/>
      <c r="S628" s="1426"/>
      <c r="T628" s="1424"/>
      <c r="U628" s="1425"/>
      <c r="V628" s="1426"/>
      <c r="W628" s="1437"/>
      <c r="X628" s="1438"/>
      <c r="Y628" s="1439"/>
      <c r="Z628" s="1477" t="s">
        <v>1185</v>
      </c>
      <c r="AA628" s="1478"/>
      <c r="AB628" s="1479"/>
      <c r="AC628" s="1445"/>
      <c r="AD628" s="1446"/>
      <c r="AE628" s="1447"/>
      <c r="AF628" s="1474"/>
      <c r="AG628" s="1475"/>
      <c r="AH628" s="1475"/>
      <c r="AI628" s="1475"/>
      <c r="AJ628" s="1476"/>
      <c r="AK628" s="1427"/>
      <c r="AL628" s="1428"/>
      <c r="AM628" s="1428"/>
      <c r="AN628" s="1429"/>
      <c r="AO628" s="1465">
        <v>1296726</v>
      </c>
      <c r="AP628" s="1466"/>
      <c r="AQ628" s="1466"/>
      <c r="AR628" s="1466"/>
      <c r="AS628" s="1467"/>
      <c r="AT628" s="1148" t="str">
        <f>IF(AND(NOT(C627=""),C628="",NOT(C629="")),"!","")</f>
        <v/>
      </c>
      <c r="AU628" s="3"/>
      <c r="AZ628" s="3"/>
      <c r="BA628" s="3"/>
      <c r="BB628" s="3"/>
      <c r="BC628" s="3"/>
      <c r="BD628" s="3"/>
    </row>
    <row r="629" spans="2:157" ht="12.95" customHeight="1">
      <c r="B629" s="52" t="s">
        <v>119</v>
      </c>
      <c r="C629" s="1691" t="s">
        <v>2735</v>
      </c>
      <c r="D629" s="1691"/>
      <c r="E629" s="1691"/>
      <c r="F629" s="1691"/>
      <c r="G629" s="1691"/>
      <c r="H629" s="1691"/>
      <c r="I629" s="1691"/>
      <c r="J629" s="1691"/>
      <c r="K629" s="1691"/>
      <c r="L629" s="1691"/>
      <c r="M629" s="1617" t="s">
        <v>2117</v>
      </c>
      <c r="N629" s="1617"/>
      <c r="O629" s="1617"/>
      <c r="P629" s="1617"/>
      <c r="Q629" s="1424"/>
      <c r="R629" s="1425"/>
      <c r="S629" s="1426"/>
      <c r="T629" s="1424"/>
      <c r="U629" s="1425"/>
      <c r="V629" s="1426"/>
      <c r="W629" s="1437">
        <v>0.04</v>
      </c>
      <c r="X629" s="1438"/>
      <c r="Y629" s="1439"/>
      <c r="Z629" s="1477" t="s">
        <v>458</v>
      </c>
      <c r="AA629" s="1478"/>
      <c r="AB629" s="1479"/>
      <c r="AC629" s="1445">
        <v>3</v>
      </c>
      <c r="AD629" s="1446"/>
      <c r="AE629" s="1447"/>
      <c r="AF629" s="1474"/>
      <c r="AG629" s="1475"/>
      <c r="AH629" s="1475"/>
      <c r="AI629" s="1475"/>
      <c r="AJ629" s="1476"/>
      <c r="AK629" s="1427"/>
      <c r="AL629" s="1428"/>
      <c r="AM629" s="1428"/>
      <c r="AN629" s="1429"/>
      <c r="AO629" s="1465">
        <f>AM557</f>
        <v>901469</v>
      </c>
      <c r="AP629" s="1466"/>
      <c r="AQ629" s="1466"/>
      <c r="AR629" s="1466"/>
      <c r="AS629" s="1467"/>
      <c r="AT629" s="1148" t="str">
        <f t="shared" ref="AT629:AT638" si="1">IF(AND(NOT(C628=""),C629="",NOT(C630="")),"!","")</f>
        <v/>
      </c>
      <c r="AU629" s="3"/>
      <c r="AZ629" s="3"/>
      <c r="BA629" s="3"/>
      <c r="BB629" s="3"/>
      <c r="BC629" s="3"/>
      <c r="BD629" s="3"/>
    </row>
    <row r="630" spans="2:157" ht="12.95" customHeight="1">
      <c r="B630" s="52" t="s">
        <v>582</v>
      </c>
      <c r="C630" s="1347" t="s">
        <v>2704</v>
      </c>
      <c r="D630" s="1347"/>
      <c r="E630" s="1347"/>
      <c r="F630" s="1347"/>
      <c r="G630" s="1347"/>
      <c r="H630" s="1347"/>
      <c r="I630" s="1347"/>
      <c r="J630" s="1347"/>
      <c r="K630" s="1347"/>
      <c r="L630" s="1347"/>
      <c r="M630" s="1617" t="s">
        <v>2123</v>
      </c>
      <c r="N630" s="1617"/>
      <c r="O630" s="1617"/>
      <c r="P630" s="1617"/>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f>AM558</f>
        <v>530599</v>
      </c>
      <c r="AP630" s="1466"/>
      <c r="AQ630" s="1466"/>
      <c r="AR630" s="1466"/>
      <c r="AS630" s="1467"/>
      <c r="AT630" s="1148" t="str">
        <f t="shared" si="1"/>
        <v/>
      </c>
      <c r="AU630" s="3"/>
      <c r="AZ630" s="3"/>
      <c r="BA630" s="3"/>
      <c r="BB630" s="3"/>
      <c r="BC630" s="3"/>
      <c r="BD630" s="3"/>
    </row>
    <row r="631" spans="2:157" ht="12.95" customHeight="1">
      <c r="B631" s="52" t="s">
        <v>764</v>
      </c>
      <c r="C631" s="1347" t="s">
        <v>2705</v>
      </c>
      <c r="D631" s="1347"/>
      <c r="E631" s="1347"/>
      <c r="F631" s="1347"/>
      <c r="G631" s="1347"/>
      <c r="H631" s="1347"/>
      <c r="I631" s="1347"/>
      <c r="J631" s="1347"/>
      <c r="K631" s="1347"/>
      <c r="L631" s="1347"/>
      <c r="M631" s="1617" t="s">
        <v>2116</v>
      </c>
      <c r="N631" s="1617"/>
      <c r="O631" s="1617"/>
      <c r="P631" s="1617"/>
      <c r="Q631" s="1424">
        <v>480</v>
      </c>
      <c r="R631" s="1425"/>
      <c r="S631" s="1426"/>
      <c r="T631" s="1424"/>
      <c r="U631" s="1425"/>
      <c r="V631" s="1426"/>
      <c r="W631" s="1437">
        <v>0.04</v>
      </c>
      <c r="X631" s="1438"/>
      <c r="Y631" s="1439"/>
      <c r="Z631" s="1477" t="s">
        <v>458</v>
      </c>
      <c r="AA631" s="1478"/>
      <c r="AB631" s="1479"/>
      <c r="AC631" s="1445">
        <v>2</v>
      </c>
      <c r="AD631" s="1446"/>
      <c r="AE631" s="1447"/>
      <c r="AF631" s="1474"/>
      <c r="AG631" s="1475"/>
      <c r="AH631" s="1475"/>
      <c r="AI631" s="1475"/>
      <c r="AJ631" s="1476"/>
      <c r="AK631" s="1427"/>
      <c r="AL631" s="1428"/>
      <c r="AM631" s="1428"/>
      <c r="AN631" s="1429"/>
      <c r="AO631" s="1465">
        <f>AM559</f>
        <v>2120000</v>
      </c>
      <c r="AP631" s="1466"/>
      <c r="AQ631" s="1466"/>
      <c r="AR631" s="1466"/>
      <c r="AS631" s="1467"/>
      <c r="AT631" s="1148" t="str">
        <f t="shared" si="1"/>
        <v/>
      </c>
      <c r="AU631" s="3"/>
      <c r="AZ631" s="3"/>
      <c r="BA631" s="3"/>
      <c r="BB631" s="3"/>
      <c r="BC631" s="3"/>
      <c r="BD631" s="3"/>
    </row>
    <row r="632" spans="2:157" ht="12.95" customHeight="1">
      <c r="B632" s="52" t="s">
        <v>585</v>
      </c>
      <c r="C632" s="1347" t="s">
        <v>2321</v>
      </c>
      <c r="D632" s="1347"/>
      <c r="E632" s="1347"/>
      <c r="F632" s="1347"/>
      <c r="G632" s="1347"/>
      <c r="H632" s="1347"/>
      <c r="I632" s="1347"/>
      <c r="J632" s="1347"/>
      <c r="K632" s="1347"/>
      <c r="L632" s="1347"/>
      <c r="M632" s="1617" t="s">
        <v>2107</v>
      </c>
      <c r="N632" s="1617"/>
      <c r="O632" s="1617"/>
      <c r="P632" s="1617"/>
      <c r="Q632" s="1424"/>
      <c r="R632" s="1425"/>
      <c r="S632" s="1426"/>
      <c r="T632" s="1424"/>
      <c r="U632" s="1425"/>
      <c r="V632" s="1426"/>
      <c r="W632" s="1437">
        <v>0.06</v>
      </c>
      <c r="X632" s="1438"/>
      <c r="Y632" s="1439"/>
      <c r="Z632" s="1477" t="s">
        <v>459</v>
      </c>
      <c r="AA632" s="1478"/>
      <c r="AB632" s="1479"/>
      <c r="AC632" s="1445"/>
      <c r="AD632" s="1446"/>
      <c r="AE632" s="1447"/>
      <c r="AF632" s="1474"/>
      <c r="AG632" s="1475"/>
      <c r="AH632" s="1475"/>
      <c r="AI632" s="1475"/>
      <c r="AJ632" s="1476"/>
      <c r="AK632" s="1427"/>
      <c r="AL632" s="1428"/>
      <c r="AM632" s="1428"/>
      <c r="AN632" s="1429"/>
      <c r="AO632" s="1465">
        <f>AM566-SUM(AO627:AS631,AO640)</f>
        <v>650934</v>
      </c>
      <c r="AP632" s="1466"/>
      <c r="AQ632" s="1466"/>
      <c r="AR632" s="1466"/>
      <c r="AS632" s="1467"/>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2">EZ718*(CP718/$CP$753)</f>
        <v>296.7</v>
      </c>
      <c r="DY635" s="1444"/>
      <c r="DZ635" s="1444"/>
      <c r="EA635" s="1444"/>
      <c r="EB635" s="1444"/>
      <c r="EC635" s="1444" t="e">
        <f t="shared" ref="EC635:EC669" si="3">FE718*(CU718/$CU$753)</f>
        <v>#VALUE!</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f t="shared" si="2"/>
        <v>377.5</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327.2</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640</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26757497</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404.54814814814813</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14060647</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793.72222222222217</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40818144</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f t="shared" si="5"/>
        <v>436.3</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f t="shared" si="5"/>
        <v>937.75</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464</v>
      </c>
      <c r="G643" s="1358" t="str">
        <f>C627</f>
        <v xml:space="preserve">PNC Bank </v>
      </c>
      <c r="H643" s="1358"/>
      <c r="I643" s="1358"/>
      <c r="J643" s="1358"/>
      <c r="K643" s="1358"/>
      <c r="L643" s="1358"/>
      <c r="M643" s="1358"/>
      <c r="N643" s="1358"/>
      <c r="O643" s="1358"/>
      <c r="P643" s="1358"/>
      <c r="Q643" s="1358"/>
      <c r="R643" s="1358"/>
      <c r="S643" s="8"/>
      <c r="T643" s="55" t="s">
        <v>113</v>
      </c>
      <c r="U643" t="s">
        <v>464</v>
      </c>
      <c r="Z643" s="1358" t="str">
        <f>C628</f>
        <v>Net Operating Income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f t="shared" si="6"/>
        <v>456.5</v>
      </c>
      <c r="ES643" s="1444"/>
      <c r="ET643" s="1444"/>
      <c r="EU643" s="1444"/>
      <c r="EV643" s="1444"/>
      <c r="EW643" s="1444" t="e">
        <f t="shared" si="7"/>
        <v>#VALUE!</v>
      </c>
      <c r="EX643" s="1444"/>
      <c r="EY643" s="1444"/>
      <c r="EZ643" s="1444"/>
      <c r="FA643" s="1444"/>
    </row>
    <row r="644" spans="1:157" ht="12.95" customHeight="1">
      <c r="A644" s="22"/>
      <c r="B644" t="s">
        <v>85</v>
      </c>
      <c r="G644" s="1371" t="s">
        <v>2743</v>
      </c>
      <c r="H644" s="1371"/>
      <c r="I644" s="1371"/>
      <c r="J644" s="1371"/>
      <c r="K644" s="1371"/>
      <c r="L644" s="1371"/>
      <c r="M644" s="1371"/>
      <c r="N644" s="1371"/>
      <c r="O644" s="1371"/>
      <c r="P644" s="1371"/>
      <c r="Q644" s="1371"/>
      <c r="R644" s="1371"/>
      <c r="S644" s="8"/>
      <c r="T644" s="22"/>
      <c r="U644" t="s">
        <v>85</v>
      </c>
      <c r="Z644" s="1371" t="s">
        <v>2628</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f t="shared" si="6"/>
        <v>1016</v>
      </c>
      <c r="ES644" s="1444"/>
      <c r="ET644" s="1444"/>
      <c r="EU644" s="1444"/>
      <c r="EV644" s="1444"/>
      <c r="EW644" s="1444" t="e">
        <f t="shared" si="7"/>
        <v>#VALUE!</v>
      </c>
      <c r="EX644" s="1444"/>
      <c r="EY644" s="1444"/>
      <c r="EZ644" s="1444"/>
      <c r="FA644" s="1444"/>
    </row>
    <row r="645" spans="1:157" ht="12.95" customHeight="1">
      <c r="A645" s="22"/>
      <c r="B645" t="s">
        <v>581</v>
      </c>
      <c r="G645" s="1371" t="s">
        <v>2744</v>
      </c>
      <c r="H645" s="1371"/>
      <c r="I645" s="1371"/>
      <c r="J645" s="1371"/>
      <c r="K645" s="1371"/>
      <c r="L645" s="1371"/>
      <c r="M645" s="1371"/>
      <c r="N645" s="1371"/>
      <c r="O645" s="1371"/>
      <c r="P645" s="1371"/>
      <c r="Q645" s="1371"/>
      <c r="R645" s="1371"/>
      <c r="T645" s="22"/>
      <c r="U645" t="s">
        <v>581</v>
      </c>
      <c r="Z645" s="1348" t="s">
        <v>2711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2668</v>
      </c>
      <c r="H646" s="1371"/>
      <c r="I646" s="1371"/>
      <c r="J646" s="1371"/>
      <c r="K646" s="1371"/>
      <c r="L646" s="1371"/>
      <c r="M646" s="1371"/>
      <c r="N646" s="1371"/>
      <c r="O646" s="1371"/>
      <c r="P646" s="1371"/>
      <c r="Q646" s="1371"/>
      <c r="R646" s="1371"/>
      <c r="S646" s="8"/>
      <c r="T646" s="22"/>
      <c r="U646" t="s">
        <v>17</v>
      </c>
      <c r="Z646" s="1348" t="s">
        <v>2630</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316</v>
      </c>
      <c r="G647" s="1346">
        <v>6185424968</v>
      </c>
      <c r="H647" s="1346"/>
      <c r="I647" s="1346"/>
      <c r="J647" s="1346"/>
      <c r="K647" s="1346"/>
      <c r="L647" s="1346"/>
      <c r="O647" s="33" t="s">
        <v>206</v>
      </c>
      <c r="P647" s="1436"/>
      <c r="Q647" s="1436"/>
      <c r="R647" s="1436"/>
      <c r="S647" s="10"/>
      <c r="T647" s="22"/>
      <c r="U647" t="s">
        <v>316</v>
      </c>
      <c r="Z647" s="1346">
        <v>2017933117</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2114</v>
      </c>
      <c r="I648" s="1371"/>
      <c r="J648" s="1371"/>
      <c r="K648" s="1371"/>
      <c r="L648" s="1371"/>
      <c r="M648" s="1371"/>
      <c r="N648" s="1371"/>
      <c r="O648" s="1371"/>
      <c r="P648" s="1371"/>
      <c r="Q648" s="1371"/>
      <c r="R648" s="1371"/>
      <c r="S648" s="8"/>
      <c r="T648" s="22"/>
      <c r="U648" t="s">
        <v>18</v>
      </c>
      <c r="AA648" s="1371" t="s">
        <v>2122</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464</v>
      </c>
      <c r="G651" s="1358" t="str">
        <f>C629</f>
        <v>Seller Carryback Note (Reserves)</v>
      </c>
      <c r="H651" s="1358"/>
      <c r="I651" s="1358"/>
      <c r="J651" s="1358"/>
      <c r="K651" s="1358"/>
      <c r="L651" s="1358"/>
      <c r="M651" s="1358"/>
      <c r="N651" s="1358"/>
      <c r="O651" s="1358"/>
      <c r="P651" s="1358"/>
      <c r="Q651" s="1358"/>
      <c r="R651" s="1358"/>
      <c r="T651" s="55" t="s">
        <v>582</v>
      </c>
      <c r="U651" t="s">
        <v>464</v>
      </c>
      <c r="Z651" s="1358" t="str">
        <f>C630</f>
        <v>Short Term Work Credit</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2708</v>
      </c>
      <c r="H652" s="1371"/>
      <c r="I652" s="1371"/>
      <c r="J652" s="1371"/>
      <c r="K652" s="1371"/>
      <c r="L652" s="1371"/>
      <c r="M652" s="1371"/>
      <c r="N652" s="1371"/>
      <c r="O652" s="1371"/>
      <c r="P652" s="1371"/>
      <c r="Q652" s="1371"/>
      <c r="R652" s="1371"/>
      <c r="T652" s="22"/>
      <c r="U652" t="s">
        <v>85</v>
      </c>
      <c r="Z652" s="1371" t="s">
        <v>2708</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581</v>
      </c>
      <c r="G653" s="1348" t="s">
        <v>2709</v>
      </c>
      <c r="H653" s="1348"/>
      <c r="I653" s="1348"/>
      <c r="J653" s="1348"/>
      <c r="K653" s="1348"/>
      <c r="L653" s="1348"/>
      <c r="M653" s="1348"/>
      <c r="N653" s="1348"/>
      <c r="O653" s="1348"/>
      <c r="P653" s="1348"/>
      <c r="Q653" s="1348"/>
      <c r="R653" s="1348"/>
      <c r="T653" s="22"/>
      <c r="U653" t="s">
        <v>581</v>
      </c>
      <c r="Z653" s="1348" t="s">
        <v>2709</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2693</v>
      </c>
      <c r="H654" s="1348"/>
      <c r="I654" s="1348"/>
      <c r="J654" s="1348"/>
      <c r="K654" s="1348"/>
      <c r="L654" s="1348"/>
      <c r="M654" s="1348"/>
      <c r="N654" s="1348"/>
      <c r="O654" s="1348"/>
      <c r="P654" s="1348"/>
      <c r="Q654" s="1348"/>
      <c r="R654" s="1348"/>
      <c r="T654" s="22"/>
      <c r="U654" t="s">
        <v>17</v>
      </c>
      <c r="Z654" s="1348" t="s">
        <v>2693</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316</v>
      </c>
      <c r="G655" s="1346">
        <v>2012424800</v>
      </c>
      <c r="H655" s="1346"/>
      <c r="I655" s="1346"/>
      <c r="J655" s="1346"/>
      <c r="K655" s="1346"/>
      <c r="L655" s="1346"/>
      <c r="O655" s="33" t="s">
        <v>206</v>
      </c>
      <c r="P655" s="1436"/>
      <c r="Q655" s="1436"/>
      <c r="R655" s="1436"/>
      <c r="T655" s="22"/>
      <c r="U655" t="s">
        <v>316</v>
      </c>
      <c r="Z655" s="1346">
        <v>2012424800</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2713</v>
      </c>
      <c r="I656" s="1371"/>
      <c r="J656" s="1371"/>
      <c r="K656" s="1371"/>
      <c r="L656" s="1371"/>
      <c r="M656" s="1371"/>
      <c r="N656" s="1371"/>
      <c r="O656" s="1371"/>
      <c r="P656" s="1371"/>
      <c r="Q656" s="1371"/>
      <c r="R656" s="1371"/>
      <c r="T656" s="22"/>
      <c r="U656" t="s">
        <v>18</v>
      </c>
      <c r="AA656" s="1371" t="s">
        <v>2704</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764</v>
      </c>
      <c r="B659" t="s">
        <v>464</v>
      </c>
      <c r="G659" s="1358" t="str">
        <f>C631</f>
        <v>SHRA (HOME Funds)</v>
      </c>
      <c r="H659" s="1358"/>
      <c r="I659" s="1358"/>
      <c r="J659" s="1358"/>
      <c r="K659" s="1358"/>
      <c r="L659" s="1358"/>
      <c r="M659" s="1358"/>
      <c r="N659" s="1358"/>
      <c r="O659" s="1358"/>
      <c r="P659" s="1358"/>
      <c r="Q659" s="1358"/>
      <c r="R659" s="1358"/>
      <c r="T659" s="55" t="s">
        <v>585</v>
      </c>
      <c r="U659" t="s">
        <v>464</v>
      </c>
      <c r="Z659" s="1358" t="str">
        <f>C632</f>
        <v>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t="s">
        <v>2681</v>
      </c>
      <c r="H660" s="1371"/>
      <c r="I660" s="1371"/>
      <c r="J660" s="1371"/>
      <c r="K660" s="1371"/>
      <c r="L660" s="1371"/>
      <c r="M660" s="1371"/>
      <c r="N660" s="1371"/>
      <c r="O660" s="1371"/>
      <c r="P660" s="1371"/>
      <c r="Q660" s="1371"/>
      <c r="R660" s="1371"/>
      <c r="T660" s="22"/>
      <c r="U660" t="s">
        <v>85</v>
      </c>
      <c r="Z660" s="1371" t="s">
        <v>2628</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581</v>
      </c>
      <c r="G661" s="1371" t="s">
        <v>2710</v>
      </c>
      <c r="H661" s="1371"/>
      <c r="I661" s="1371"/>
      <c r="J661" s="1371"/>
      <c r="K661" s="1371"/>
      <c r="L661" s="1371"/>
      <c r="M661" s="1371"/>
      <c r="N661" s="1371"/>
      <c r="O661" s="1371"/>
      <c r="P661" s="1371"/>
      <c r="Q661" s="1371"/>
      <c r="R661" s="1371"/>
      <c r="T661" s="22"/>
      <c r="U661" t="s">
        <v>581</v>
      </c>
      <c r="Z661" s="1348" t="s">
        <v>2711</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t="s">
        <v>2683</v>
      </c>
      <c r="H662" s="1371"/>
      <c r="I662" s="1371"/>
      <c r="J662" s="1371"/>
      <c r="K662" s="1371"/>
      <c r="L662" s="1371"/>
      <c r="M662" s="1371"/>
      <c r="N662" s="1371"/>
      <c r="O662" s="1371"/>
      <c r="P662" s="1371"/>
      <c r="Q662" s="1371"/>
      <c r="R662" s="1371"/>
      <c r="T662" s="22"/>
      <c r="U662" t="s">
        <v>17</v>
      </c>
      <c r="Z662" s="1348" t="s">
        <v>2630</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316</v>
      </c>
      <c r="G663" s="1346">
        <v>9164401325</v>
      </c>
      <c r="H663" s="1346"/>
      <c r="I663" s="1346"/>
      <c r="J663" s="1346"/>
      <c r="K663" s="1346"/>
      <c r="L663" s="1346"/>
      <c r="O663" s="33" t="s">
        <v>206</v>
      </c>
      <c r="P663" s="1436"/>
      <c r="Q663" s="1436"/>
      <c r="R663" s="1436"/>
      <c r="T663" s="22"/>
      <c r="U663" t="s">
        <v>316</v>
      </c>
      <c r="Z663" s="1346">
        <v>2017933117</v>
      </c>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t="s">
        <v>2116</v>
      </c>
      <c r="I664" s="1371"/>
      <c r="J664" s="1371"/>
      <c r="K664" s="1371"/>
      <c r="L664" s="1371"/>
      <c r="M664" s="1371"/>
      <c r="N664" s="1371"/>
      <c r="O664" s="1371"/>
      <c r="P664" s="1371"/>
      <c r="Q664" s="1371"/>
      <c r="R664" s="1371"/>
      <c r="T664" s="22"/>
      <c r="U664" t="s">
        <v>18</v>
      </c>
      <c r="AA664" s="1371" t="s">
        <v>2716</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674.2</v>
      </c>
      <c r="DY670" s="1444"/>
      <c r="DZ670" s="1444"/>
      <c r="EA670" s="1444"/>
      <c r="EB670" s="1444"/>
      <c r="EC670" s="1444">
        <f>SUMIF(EC635:EG669,"&gt;0")</f>
        <v>967.2</v>
      </c>
      <c r="ED670" s="1444"/>
      <c r="EE670" s="1444"/>
      <c r="EF670" s="1444"/>
      <c r="EG670" s="1444"/>
      <c r="EH670" s="1444">
        <f>SUMIF(EH635:EL669,"&gt;0")</f>
        <v>1198.2703703703703</v>
      </c>
      <c r="EI670" s="1444"/>
      <c r="EJ670" s="1444"/>
      <c r="EK670" s="1444"/>
      <c r="EL670" s="1444"/>
      <c r="EM670" s="1444">
        <f>SUMIF(EM635:EQ669,"&gt;0")</f>
        <v>1374.05</v>
      </c>
      <c r="EN670" s="1444"/>
      <c r="EO670" s="1444"/>
      <c r="EP670" s="1444"/>
      <c r="EQ670" s="1444"/>
      <c r="ER670" s="1444">
        <f>SUMIF(ER635:EV669,"&gt;0")</f>
        <v>1472.5</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0">
        <v>45909</v>
      </c>
      <c r="AF695" s="1690"/>
      <c r="AG695" s="1690"/>
      <c r="AH695" s="1690"/>
      <c r="AI695" s="1690"/>
    </row>
    <row r="696" spans="1:67" ht="12.95" customHeight="1">
      <c r="B696" s="135"/>
      <c r="C696" s="135"/>
      <c r="D696" s="317" t="s">
        <v>984</v>
      </c>
      <c r="E696" s="135"/>
      <c r="F696" s="135"/>
      <c r="G696" s="135"/>
      <c r="H696" s="135"/>
      <c r="AE696" s="1701">
        <v>45980</v>
      </c>
      <c r="AF696" s="1701"/>
      <c r="AG696" s="1701"/>
      <c r="AH696" s="1701"/>
      <c r="AI696" s="1701"/>
    </row>
    <row r="697" spans="1:67" ht="12.95" customHeight="1">
      <c r="B697" s="135"/>
      <c r="C697" s="135"/>
    </row>
    <row r="698" spans="1:67" ht="12.95" customHeight="1">
      <c r="B698" s="135"/>
      <c r="C698" s="135"/>
      <c r="D698" s="136" t="s">
        <v>817</v>
      </c>
      <c r="E698" s="135"/>
      <c r="F698" s="135"/>
      <c r="G698" s="135"/>
      <c r="H698" s="135"/>
      <c r="AE698" s="1690">
        <v>46160</v>
      </c>
      <c r="AF698" s="1690"/>
      <c r="AG698" s="1690"/>
      <c r="AH698" s="1690"/>
      <c r="AI698" s="1690"/>
    </row>
    <row r="699" spans="1:67" ht="12.95" customHeight="1">
      <c r="B699" s="135"/>
      <c r="C699" s="135"/>
      <c r="D699" s="136" t="s">
        <v>436</v>
      </c>
      <c r="E699" s="135"/>
      <c r="F699" s="135"/>
      <c r="G699" s="135"/>
      <c r="H699" s="135"/>
      <c r="AE699" s="1402">
        <f>AM554/SUM('Sources and Uses Budget'!C4,'Sources and Uses Budget'!S107,'Sources and Uses Budget'!T107)</f>
        <v>0.2599999967788445</v>
      </c>
      <c r="AF699" s="1660"/>
      <c r="AG699" s="1660"/>
      <c r="AH699" s="1660"/>
      <c r="AI699" s="1660"/>
    </row>
    <row r="700" spans="1:67" ht="12.95" customHeight="1">
      <c r="B700" s="135"/>
      <c r="C700" s="135"/>
      <c r="D700" s="136" t="s">
        <v>437</v>
      </c>
      <c r="E700" s="135"/>
      <c r="F700" s="135"/>
      <c r="G700" s="135"/>
      <c r="H700" s="135"/>
      <c r="W700" s="1358" t="str">
        <f>H335</f>
        <v xml:space="preserve">Sacramento Housing &amp; Redevelopment Agency </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t="s">
        <v>592</v>
      </c>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t="s">
        <v>592</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8" t="s">
        <v>1680</v>
      </c>
      <c r="L714" s="1719"/>
      <c r="M714" s="1719"/>
      <c r="N714" s="1720"/>
      <c r="O714" s="1362" t="s">
        <v>448</v>
      </c>
      <c r="P714" s="1363"/>
      <c r="Q714" s="1363"/>
      <c r="R714" s="1363"/>
      <c r="S714" s="1364"/>
      <c r="T714" s="1658" t="s">
        <v>1950</v>
      </c>
      <c r="U714" s="1363"/>
      <c r="V714" s="1363"/>
      <c r="W714" s="1364"/>
      <c r="X714" s="1658" t="s">
        <v>1952</v>
      </c>
      <c r="Y714" s="1363"/>
      <c r="Z714" s="1363"/>
      <c r="AA714" s="1363"/>
      <c r="AB714" s="1364"/>
      <c r="AC714" s="1658" t="s">
        <v>1951</v>
      </c>
      <c r="AD714" s="1363"/>
      <c r="AE714" s="1363"/>
      <c r="AF714" s="1363"/>
      <c r="AG714" s="1364"/>
      <c r="AH714" s="1658" t="s">
        <v>1953</v>
      </c>
      <c r="AI714" s="1363"/>
      <c r="AJ714" s="1364"/>
      <c r="AK714" s="1658"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5</v>
      </c>
      <c r="H718" s="1350"/>
      <c r="I718" s="1350"/>
      <c r="J718" s="1351"/>
      <c r="K718" s="1343">
        <v>382</v>
      </c>
      <c r="L718" s="1344"/>
      <c r="M718" s="1344"/>
      <c r="N718" s="1345"/>
      <c r="O718" s="1340">
        <f>675.4-T718</f>
        <v>593.4</v>
      </c>
      <c r="P718" s="1341"/>
      <c r="Q718" s="1341"/>
      <c r="R718" s="1341"/>
      <c r="S718" s="1342"/>
      <c r="T718" s="1340">
        <f>M832</f>
        <v>82</v>
      </c>
      <c r="U718" s="1341"/>
      <c r="V718" s="1341"/>
      <c r="W718" s="1342"/>
      <c r="X718" s="1352">
        <f t="shared" ref="X718:X741" si="8">O718+T718</f>
        <v>675.4</v>
      </c>
      <c r="Y718" s="1353"/>
      <c r="Z718" s="1353"/>
      <c r="AA718" s="1353"/>
      <c r="AB718" s="1354"/>
      <c r="AC718" s="1359">
        <v>0.3</v>
      </c>
      <c r="AD718" s="1360"/>
      <c r="AE718" s="1360"/>
      <c r="AF718" s="1360"/>
      <c r="AG718" s="1361"/>
      <c r="AH718" s="1355">
        <f>IF($AC718&gt;0,($X718/$AZ718), "")</f>
        <v>0.29991119005328598</v>
      </c>
      <c r="AI718" s="1356"/>
      <c r="AJ718" s="1357"/>
      <c r="AK718" s="1337" t="s">
        <v>592</v>
      </c>
      <c r="AL718" s="1338"/>
      <c r="AM718" s="1338"/>
      <c r="AN718" s="1338"/>
      <c r="AO718" s="1339"/>
      <c r="AP718" s="3"/>
      <c r="AQ718" s="3"/>
      <c r="AR718" s="3"/>
      <c r="AS718" s="3"/>
      <c r="AZ718" s="118">
        <f t="shared" ref="AZ718:AZ752" si="9">IF($G718=0,"N/A",VLOOKUP($T$189,TC_Rent,(MATCH($B718,bedrooms,FALSE)),FALSE))</f>
        <v>2252</v>
      </c>
      <c r="BA718" s="3"/>
      <c r="BB718" s="3"/>
      <c r="BC718" s="3"/>
      <c r="BD718" s="3"/>
      <c r="BE718" s="204"/>
      <c r="BF718" s="293">
        <f t="shared" ref="BF718:BF752" si="10">G718</f>
        <v>5</v>
      </c>
      <c r="BG718" s="297">
        <f t="shared" ref="BG718:BG752" si="11">IF($BF$753=0,0,BF718/$BF$753)</f>
        <v>4.7619047619047616E-2</v>
      </c>
      <c r="BH718" s="298">
        <f t="shared" ref="BH718:BH752" si="12">IF(BG718=0,"",BG718*AC718)</f>
        <v>1.4285714285714284E-2</v>
      </c>
      <c r="BI718" s="3"/>
      <c r="BJ718" s="3"/>
      <c r="BK718" s="3"/>
      <c r="BL718" s="3"/>
      <c r="BM718" s="3"/>
      <c r="BN718" s="3"/>
      <c r="BS718" s="293">
        <f t="shared" ref="BS718:BS752" si="13">G718</f>
        <v>5</v>
      </c>
      <c r="BT718" s="297">
        <f t="shared" ref="BT718:BT752" si="14">IF($BS$753=0,0,BS718/$BS$753)</f>
        <v>4.7619047619047616E-2</v>
      </c>
      <c r="BU718" s="298">
        <f t="shared" ref="BU718:BU752" si="15">IF(BT718=0,"",BT718*AH718)</f>
        <v>1.4281485240632665E-2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5</v>
      </c>
      <c r="CN718" s="1469"/>
      <c r="CO718" s="3"/>
      <c r="CP718" s="1457">
        <f t="shared" ref="CP718:CP752" si="18">IF(B718="SRO/Studio",G718,0)</f>
        <v>5</v>
      </c>
      <c r="CQ718" s="1458"/>
      <c r="CR718" s="1458"/>
      <c r="CS718" s="1458"/>
      <c r="CT718" s="1459"/>
      <c r="CU718" s="1442">
        <f t="shared" ref="CU718:CU752" si="19">IF(B718="1 Bedroom",G718,0)</f>
        <v>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5</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f t="shared" ref="EZ718:EZ752" si="30">IF(CP718&gt;0,O718,"")</f>
        <v>593.4</v>
      </c>
      <c r="FA718" s="1464"/>
      <c r="FB718" s="1464"/>
      <c r="FC718" s="1464"/>
      <c r="FD718" s="1463"/>
      <c r="FE718" s="1462" t="str">
        <f t="shared" ref="FE718:FE752" si="31">IF(CU718&gt;0,O718,"")</f>
        <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324</v>
      </c>
      <c r="C719" s="1338"/>
      <c r="D719" s="1338"/>
      <c r="E719" s="1338"/>
      <c r="F719" s="1339"/>
      <c r="G719" s="1349">
        <v>5</v>
      </c>
      <c r="H719" s="1350"/>
      <c r="I719" s="1350"/>
      <c r="J719" s="1351"/>
      <c r="K719" s="1343">
        <v>382</v>
      </c>
      <c r="L719" s="1344"/>
      <c r="M719" s="1344"/>
      <c r="N719" s="1345"/>
      <c r="O719" s="1340">
        <f>(1351.2-T719)*0+755</f>
        <v>755</v>
      </c>
      <c r="P719" s="1341"/>
      <c r="Q719" s="1341"/>
      <c r="R719" s="1341"/>
      <c r="S719" s="1342"/>
      <c r="T719" s="1340">
        <f>M832</f>
        <v>82</v>
      </c>
      <c r="U719" s="1341"/>
      <c r="V719" s="1341"/>
      <c r="W719" s="1342"/>
      <c r="X719" s="1352">
        <f t="shared" si="8"/>
        <v>837</v>
      </c>
      <c r="Y719" s="1353"/>
      <c r="Z719" s="1353"/>
      <c r="AA719" s="1353"/>
      <c r="AB719" s="1354"/>
      <c r="AC719" s="1359">
        <v>0.6</v>
      </c>
      <c r="AD719" s="1360"/>
      <c r="AE719" s="1360"/>
      <c r="AF719" s="1360"/>
      <c r="AG719" s="1361"/>
      <c r="AH719" s="1355">
        <f t="shared" ref="AH719:AH752" si="36">IF($AC719&gt;0,($X719/$AZ719), "")</f>
        <v>0.37166962699822381</v>
      </c>
      <c r="AI719" s="1356"/>
      <c r="AJ719" s="1357"/>
      <c r="AK719" s="1337" t="s">
        <v>592</v>
      </c>
      <c r="AL719" s="1338"/>
      <c r="AM719" s="1338"/>
      <c r="AN719" s="1338"/>
      <c r="AO719" s="1339"/>
      <c r="AP719" s="3"/>
      <c r="AQ719" s="3"/>
      <c r="AR719" s="3"/>
      <c r="AS719" s="3"/>
      <c r="AZ719" s="118">
        <f t="shared" si="9"/>
        <v>2252</v>
      </c>
      <c r="BA719" s="3"/>
      <c r="BB719" s="3"/>
      <c r="BC719" s="3"/>
      <c r="BD719" s="3"/>
      <c r="BE719" s="204"/>
      <c r="BF719" s="294">
        <f t="shared" si="10"/>
        <v>5</v>
      </c>
      <c r="BG719" s="297">
        <f t="shared" si="11"/>
        <v>4.7619047619047616E-2</v>
      </c>
      <c r="BH719" s="298">
        <f t="shared" si="12"/>
        <v>2.8571428571428567E-2</v>
      </c>
      <c r="BI719" s="3"/>
      <c r="BJ719" s="3"/>
      <c r="BK719" s="3"/>
      <c r="BL719" s="3"/>
      <c r="BM719" s="3"/>
      <c r="BN719" s="3"/>
      <c r="BS719" s="294">
        <f t="shared" si="13"/>
        <v>5</v>
      </c>
      <c r="BT719" s="297">
        <f t="shared" si="14"/>
        <v>4.7619047619047616E-2</v>
      </c>
      <c r="BU719" s="298">
        <f t="shared" si="15"/>
        <v>1.7698553666582087E-2</v>
      </c>
      <c r="CC719" s="3"/>
      <c r="CD719" s="3"/>
      <c r="CE719" s="3"/>
      <c r="CF719" s="3"/>
      <c r="CG719" s="1462">
        <f t="shared" ref="CG719:CG752" si="37">IF(AND(AC719&lt;=0.5,AC719&gt;=0.36),1,0)</f>
        <v>0</v>
      </c>
      <c r="CH719" s="1463"/>
      <c r="CI719" s="1468">
        <f t="shared" ref="CI719:CI752" si="38">IF(CG719=1,G719,0)</f>
        <v>0</v>
      </c>
      <c r="CJ719" s="1469"/>
      <c r="CK719" s="1462">
        <f t="shared" si="16"/>
        <v>0</v>
      </c>
      <c r="CL719" s="1463"/>
      <c r="CM719" s="1468">
        <f t="shared" si="17"/>
        <v>0</v>
      </c>
      <c r="CN719" s="1469"/>
      <c r="CO719" s="3"/>
      <c r="CP719" s="1457">
        <f t="shared" si="18"/>
        <v>5</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f t="shared" si="30"/>
        <v>755</v>
      </c>
      <c r="FA719" s="1464"/>
      <c r="FB719" s="1464"/>
      <c r="FC719" s="1464"/>
      <c r="FD719" s="1463"/>
      <c r="FE719" s="1462" t="str">
        <f t="shared" si="31"/>
        <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t="s">
        <v>325</v>
      </c>
      <c r="C720" s="1338"/>
      <c r="D720" s="1338"/>
      <c r="E720" s="1338"/>
      <c r="F720" s="1339"/>
      <c r="G720" s="1349">
        <v>9</v>
      </c>
      <c r="H720" s="1350"/>
      <c r="I720" s="1350"/>
      <c r="J720" s="1351"/>
      <c r="K720" s="1343">
        <v>533</v>
      </c>
      <c r="L720" s="1344"/>
      <c r="M720" s="1344"/>
      <c r="N720" s="1345"/>
      <c r="O720" s="1340">
        <f>723.4-T720</f>
        <v>654.4</v>
      </c>
      <c r="P720" s="1341"/>
      <c r="Q720" s="1341"/>
      <c r="R720" s="1341"/>
      <c r="S720" s="1342"/>
      <c r="T720" s="1340">
        <f>Q832</f>
        <v>69</v>
      </c>
      <c r="U720" s="1341"/>
      <c r="V720" s="1341"/>
      <c r="W720" s="1342"/>
      <c r="X720" s="1352">
        <f t="shared" si="8"/>
        <v>723.4</v>
      </c>
      <c r="Y720" s="1353"/>
      <c r="Z720" s="1353"/>
      <c r="AA720" s="1353"/>
      <c r="AB720" s="1354"/>
      <c r="AC720" s="1359">
        <v>0.3</v>
      </c>
      <c r="AD720" s="1360"/>
      <c r="AE720" s="1360"/>
      <c r="AF720" s="1360"/>
      <c r="AG720" s="1361"/>
      <c r="AH720" s="1355">
        <f t="shared" si="36"/>
        <v>0.29991708126036482</v>
      </c>
      <c r="AI720" s="1356"/>
      <c r="AJ720" s="1357"/>
      <c r="AK720" s="1337" t="s">
        <v>592</v>
      </c>
      <c r="AL720" s="1338"/>
      <c r="AM720" s="1338"/>
      <c r="AN720" s="1338"/>
      <c r="AO720" s="1339"/>
      <c r="AP720" s="3"/>
      <c r="AQ720" s="3"/>
      <c r="AR720" s="3"/>
      <c r="AS720" s="3"/>
      <c r="AZ720" s="118">
        <f t="shared" si="9"/>
        <v>2412</v>
      </c>
      <c r="BA720" s="3"/>
      <c r="BB720" s="3"/>
      <c r="BC720" s="3"/>
      <c r="BD720" s="3"/>
      <c r="BE720" s="204"/>
      <c r="BF720" s="294">
        <f t="shared" si="10"/>
        <v>9</v>
      </c>
      <c r="BG720" s="297">
        <f t="shared" si="11"/>
        <v>8.5714285714285715E-2</v>
      </c>
      <c r="BH720" s="298">
        <f t="shared" si="12"/>
        <v>2.5714285714285714E-2</v>
      </c>
      <c r="BI720" s="3"/>
      <c r="BJ720" s="3"/>
      <c r="BK720" s="3"/>
      <c r="BL720" s="3"/>
      <c r="BM720" s="3"/>
      <c r="BN720" s="3"/>
      <c r="BS720" s="294">
        <f t="shared" si="13"/>
        <v>9</v>
      </c>
      <c r="BT720" s="297">
        <f t="shared" si="14"/>
        <v>8.5714285714285715E-2</v>
      </c>
      <c r="BU720" s="298">
        <f t="shared" si="15"/>
        <v>2.5707178393745554E-2</v>
      </c>
      <c r="CC720" s="3"/>
      <c r="CD720" s="3"/>
      <c r="CE720" s="3"/>
      <c r="CF720" s="3"/>
      <c r="CG720" s="1462">
        <f t="shared" si="37"/>
        <v>0</v>
      </c>
      <c r="CH720" s="1463"/>
      <c r="CI720" s="1468">
        <f t="shared" si="38"/>
        <v>0</v>
      </c>
      <c r="CJ720" s="1469"/>
      <c r="CK720" s="1462">
        <f t="shared" si="16"/>
        <v>1</v>
      </c>
      <c r="CL720" s="1463"/>
      <c r="CM720" s="1468">
        <f t="shared" si="17"/>
        <v>9</v>
      </c>
      <c r="CN720" s="1469"/>
      <c r="CO720" s="3"/>
      <c r="CP720" s="1457">
        <f t="shared" si="18"/>
        <v>0</v>
      </c>
      <c r="CQ720" s="1458"/>
      <c r="CR720" s="1458"/>
      <c r="CS720" s="1458"/>
      <c r="CT720" s="1459"/>
      <c r="CU720" s="1442">
        <f t="shared" si="19"/>
        <v>9</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9</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654.4</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t="s">
        <v>325</v>
      </c>
      <c r="C721" s="1338"/>
      <c r="D721" s="1338"/>
      <c r="E721" s="1338"/>
      <c r="F721" s="1339"/>
      <c r="G721" s="1349">
        <v>9</v>
      </c>
      <c r="H721" s="1350"/>
      <c r="I721" s="1350"/>
      <c r="J721" s="1351"/>
      <c r="K721" s="1343">
        <v>533</v>
      </c>
      <c r="L721" s="1344"/>
      <c r="M721" s="1344"/>
      <c r="N721" s="1345"/>
      <c r="O721" s="1340">
        <f>(1447.2-T721)*0+1280</f>
        <v>1280</v>
      </c>
      <c r="P721" s="1341"/>
      <c r="Q721" s="1341"/>
      <c r="R721" s="1341"/>
      <c r="S721" s="1342"/>
      <c r="T721" s="1340">
        <f>Q832</f>
        <v>69</v>
      </c>
      <c r="U721" s="1341"/>
      <c r="V721" s="1341"/>
      <c r="W721" s="1342"/>
      <c r="X721" s="1352">
        <f t="shared" si="8"/>
        <v>1349</v>
      </c>
      <c r="Y721" s="1353"/>
      <c r="Z721" s="1353"/>
      <c r="AA721" s="1353"/>
      <c r="AB721" s="1354"/>
      <c r="AC721" s="1359">
        <v>0.6</v>
      </c>
      <c r="AD721" s="1360"/>
      <c r="AE721" s="1360"/>
      <c r="AF721" s="1360"/>
      <c r="AG721" s="1361"/>
      <c r="AH721" s="1355">
        <f t="shared" si="36"/>
        <v>0.55928689883913763</v>
      </c>
      <c r="AI721" s="1356"/>
      <c r="AJ721" s="1357"/>
      <c r="AK721" s="1337" t="s">
        <v>592</v>
      </c>
      <c r="AL721" s="1338"/>
      <c r="AM721" s="1338"/>
      <c r="AN721" s="1338"/>
      <c r="AO721" s="1339"/>
      <c r="AP721" s="3"/>
      <c r="AQ721" s="3"/>
      <c r="AR721" s="3"/>
      <c r="AS721" s="3"/>
      <c r="AY721" s="116"/>
      <c r="AZ721" s="118">
        <f t="shared" si="9"/>
        <v>2412</v>
      </c>
      <c r="BA721" s="3"/>
      <c r="BB721" s="3"/>
      <c r="BC721" s="3"/>
      <c r="BD721" s="3"/>
      <c r="BE721" s="204"/>
      <c r="BF721" s="294">
        <f t="shared" si="10"/>
        <v>9</v>
      </c>
      <c r="BG721" s="297">
        <f t="shared" si="11"/>
        <v>8.5714285714285715E-2</v>
      </c>
      <c r="BH721" s="298">
        <f t="shared" si="12"/>
        <v>5.1428571428571428E-2</v>
      </c>
      <c r="BI721" s="3"/>
      <c r="BJ721" s="3"/>
      <c r="BK721" s="3"/>
      <c r="BL721" s="3"/>
      <c r="BM721" s="3"/>
      <c r="BN721" s="3"/>
      <c r="BS721" s="294">
        <f t="shared" si="13"/>
        <v>9</v>
      </c>
      <c r="BT721" s="297">
        <f t="shared" si="14"/>
        <v>8.5714285714285715E-2</v>
      </c>
      <c r="BU721" s="298">
        <f t="shared" si="15"/>
        <v>4.7938877043354651E-2</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9</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1280</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t="s">
        <v>163</v>
      </c>
      <c r="C722" s="1338"/>
      <c r="D722" s="1338"/>
      <c r="E722" s="1338"/>
      <c r="F722" s="1339"/>
      <c r="G722" s="1349">
        <v>14</v>
      </c>
      <c r="H722" s="1350"/>
      <c r="I722" s="1350"/>
      <c r="J722" s="1351"/>
      <c r="K722" s="1343">
        <v>735</v>
      </c>
      <c r="L722" s="1344"/>
      <c r="M722" s="1344"/>
      <c r="N722" s="1345"/>
      <c r="O722" s="1340">
        <f>868.2-T722</f>
        <v>780.2</v>
      </c>
      <c r="P722" s="1341"/>
      <c r="Q722" s="1341"/>
      <c r="R722" s="1341"/>
      <c r="S722" s="1342"/>
      <c r="T722" s="1340">
        <f>U832</f>
        <v>88</v>
      </c>
      <c r="U722" s="1341"/>
      <c r="V722" s="1341"/>
      <c r="W722" s="1342"/>
      <c r="X722" s="1352">
        <f t="shared" si="8"/>
        <v>868.2</v>
      </c>
      <c r="Y722" s="1353"/>
      <c r="Z722" s="1353"/>
      <c r="AA722" s="1353"/>
      <c r="AB722" s="1354"/>
      <c r="AC722" s="1359">
        <v>0.3</v>
      </c>
      <c r="AD722" s="1360"/>
      <c r="AE722" s="1360"/>
      <c r="AF722" s="1360"/>
      <c r="AG722" s="1361"/>
      <c r="AH722" s="1355">
        <f t="shared" si="36"/>
        <v>0.3</v>
      </c>
      <c r="AI722" s="1356"/>
      <c r="AJ722" s="1357"/>
      <c r="AK722" s="1337" t="s">
        <v>592</v>
      </c>
      <c r="AL722" s="1338"/>
      <c r="AM722" s="1338"/>
      <c r="AN722" s="1338"/>
      <c r="AO722" s="1339"/>
      <c r="AP722" s="3"/>
      <c r="AQ722" s="3"/>
      <c r="AR722" s="3"/>
      <c r="AS722" s="3"/>
      <c r="AY722" s="116"/>
      <c r="AZ722" s="118">
        <f t="shared" si="9"/>
        <v>2894</v>
      </c>
      <c r="BA722" s="3"/>
      <c r="BB722" s="3"/>
      <c r="BC722" s="3"/>
      <c r="BD722" s="3"/>
      <c r="BE722" s="204"/>
      <c r="BF722" s="294">
        <f t="shared" si="10"/>
        <v>14</v>
      </c>
      <c r="BG722" s="297">
        <f t="shared" si="11"/>
        <v>0.13333333333333333</v>
      </c>
      <c r="BH722" s="298">
        <f t="shared" si="12"/>
        <v>0.04</v>
      </c>
      <c r="BI722" s="3"/>
      <c r="BJ722" s="3"/>
      <c r="BK722" s="3"/>
      <c r="BL722" s="3"/>
      <c r="BM722" s="3"/>
      <c r="BN722" s="3"/>
      <c r="BS722" s="294">
        <f t="shared" si="13"/>
        <v>14</v>
      </c>
      <c r="BT722" s="297">
        <f t="shared" si="14"/>
        <v>0.13333333333333333</v>
      </c>
      <c r="BU722" s="298">
        <f t="shared" si="15"/>
        <v>0.04</v>
      </c>
      <c r="CC722" s="3"/>
      <c r="CD722" s="3"/>
      <c r="CE722" s="3"/>
      <c r="CF722" s="3"/>
      <c r="CG722" s="1462">
        <f t="shared" si="37"/>
        <v>0</v>
      </c>
      <c r="CH722" s="1463"/>
      <c r="CI722" s="1468">
        <f t="shared" si="38"/>
        <v>0</v>
      </c>
      <c r="CJ722" s="1469"/>
      <c r="CK722" s="1462">
        <f t="shared" si="16"/>
        <v>1</v>
      </c>
      <c r="CL722" s="1463"/>
      <c r="CM722" s="1468">
        <f t="shared" si="17"/>
        <v>14</v>
      </c>
      <c r="CN722" s="1469"/>
      <c r="CO722" s="3"/>
      <c r="CP722" s="1457">
        <f t="shared" si="18"/>
        <v>0</v>
      </c>
      <c r="CQ722" s="1458"/>
      <c r="CR722" s="1458"/>
      <c r="CS722" s="1458"/>
      <c r="CT722" s="1459"/>
      <c r="CU722" s="1442">
        <f t="shared" si="19"/>
        <v>0</v>
      </c>
      <c r="CV722" s="1442"/>
      <c r="CW722" s="1442"/>
      <c r="CX722" s="1442"/>
      <c r="CY722" s="1442"/>
      <c r="CZ722" s="1442">
        <f t="shared" si="20"/>
        <v>14</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14</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f t="shared" si="32"/>
        <v>780.2</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t="s">
        <v>163</v>
      </c>
      <c r="C723" s="1338"/>
      <c r="D723" s="1338"/>
      <c r="E723" s="1338"/>
      <c r="F723" s="1339"/>
      <c r="G723" s="1349">
        <v>13</v>
      </c>
      <c r="H723" s="1350"/>
      <c r="I723" s="1350"/>
      <c r="J723" s="1351"/>
      <c r="K723" s="1343">
        <v>735</v>
      </c>
      <c r="L723" s="1344"/>
      <c r="M723" s="1344"/>
      <c r="N723" s="1345"/>
      <c r="O723" s="1340">
        <f>(1736.5-T723)</f>
        <v>1648.5</v>
      </c>
      <c r="P723" s="1341"/>
      <c r="Q723" s="1341"/>
      <c r="R723" s="1341"/>
      <c r="S723" s="1342"/>
      <c r="T723" s="1340">
        <f>U832</f>
        <v>88</v>
      </c>
      <c r="U723" s="1341"/>
      <c r="V723" s="1341"/>
      <c r="W723" s="1342"/>
      <c r="X723" s="1352">
        <f t="shared" si="8"/>
        <v>1736.5</v>
      </c>
      <c r="Y723" s="1353"/>
      <c r="Z723" s="1353"/>
      <c r="AA723" s="1353"/>
      <c r="AB723" s="1354"/>
      <c r="AC723" s="1359">
        <v>0.6</v>
      </c>
      <c r="AD723" s="1360"/>
      <c r="AE723" s="1360"/>
      <c r="AF723" s="1360"/>
      <c r="AG723" s="1361"/>
      <c r="AH723" s="1355">
        <f t="shared" si="36"/>
        <v>0.60003455425017282</v>
      </c>
      <c r="AI723" s="1356"/>
      <c r="AJ723" s="1357"/>
      <c r="AK723" s="1337" t="s">
        <v>592</v>
      </c>
      <c r="AL723" s="1338"/>
      <c r="AM723" s="1338"/>
      <c r="AN723" s="1338"/>
      <c r="AO723" s="1339"/>
      <c r="AP723" s="3"/>
      <c r="AQ723" s="3"/>
      <c r="AR723" s="3"/>
      <c r="AS723" s="3"/>
      <c r="AY723" s="116"/>
      <c r="AZ723" s="118">
        <f t="shared" si="9"/>
        <v>2894</v>
      </c>
      <c r="BA723" s="3"/>
      <c r="BB723" s="3"/>
      <c r="BC723" s="3"/>
      <c r="BD723" s="3"/>
      <c r="BE723" s="204"/>
      <c r="BF723" s="294">
        <f t="shared" si="10"/>
        <v>13</v>
      </c>
      <c r="BG723" s="297">
        <f t="shared" si="11"/>
        <v>0.12380952380952381</v>
      </c>
      <c r="BH723" s="298">
        <f t="shared" si="12"/>
        <v>7.4285714285714288E-2</v>
      </c>
      <c r="BI723" s="3"/>
      <c r="BJ723" s="3"/>
      <c r="BK723" s="3"/>
      <c r="BL723" s="3"/>
      <c r="BM723" s="3"/>
      <c r="BN723" s="3"/>
      <c r="BS723" s="294">
        <f t="shared" si="13"/>
        <v>13</v>
      </c>
      <c r="BT723" s="297">
        <f t="shared" si="14"/>
        <v>0.12380952380952381</v>
      </c>
      <c r="BU723" s="298">
        <f t="shared" si="15"/>
        <v>7.4289992430973784E-2</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13</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1648.5</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t="s">
        <v>164</v>
      </c>
      <c r="C724" s="1338"/>
      <c r="D724" s="1338"/>
      <c r="E724" s="1338"/>
      <c r="F724" s="1339"/>
      <c r="G724" s="1349">
        <v>21</v>
      </c>
      <c r="H724" s="1350"/>
      <c r="I724" s="1350"/>
      <c r="J724" s="1351"/>
      <c r="K724" s="1343">
        <v>968</v>
      </c>
      <c r="L724" s="1344"/>
      <c r="M724" s="1344"/>
      <c r="N724" s="1345"/>
      <c r="O724" s="1340">
        <f>1002.6-T724</f>
        <v>872.6</v>
      </c>
      <c r="P724" s="1341"/>
      <c r="Q724" s="1341"/>
      <c r="R724" s="1341"/>
      <c r="S724" s="1342"/>
      <c r="T724" s="1340">
        <f>Y832</f>
        <v>130</v>
      </c>
      <c r="U724" s="1341"/>
      <c r="V724" s="1341"/>
      <c r="W724" s="1342"/>
      <c r="X724" s="1352">
        <f t="shared" si="8"/>
        <v>1002.6</v>
      </c>
      <c r="Y724" s="1353"/>
      <c r="Z724" s="1353"/>
      <c r="AA724" s="1353"/>
      <c r="AB724" s="1354"/>
      <c r="AC724" s="1359">
        <v>0.3</v>
      </c>
      <c r="AD724" s="1360"/>
      <c r="AE724" s="1360"/>
      <c r="AF724" s="1360"/>
      <c r="AG724" s="1361"/>
      <c r="AH724" s="1355">
        <f t="shared" si="36"/>
        <v>0.3</v>
      </c>
      <c r="AI724" s="1356"/>
      <c r="AJ724" s="1357"/>
      <c r="AK724" s="1337" t="s">
        <v>592</v>
      </c>
      <c r="AL724" s="1338"/>
      <c r="AM724" s="1338"/>
      <c r="AN724" s="1338"/>
      <c r="AO724" s="1339"/>
      <c r="AP724" s="3"/>
      <c r="AQ724" s="3"/>
      <c r="AR724" s="3"/>
      <c r="AS724" s="3"/>
      <c r="AY724" s="116"/>
      <c r="AZ724" s="118">
        <f t="shared" si="9"/>
        <v>3342</v>
      </c>
      <c r="BA724" s="3"/>
      <c r="BB724" s="3"/>
      <c r="BC724" s="3"/>
      <c r="BD724" s="3"/>
      <c r="BE724" s="204"/>
      <c r="BF724" s="294">
        <f t="shared" si="10"/>
        <v>21</v>
      </c>
      <c r="BG724" s="297">
        <f t="shared" si="11"/>
        <v>0.2</v>
      </c>
      <c r="BH724" s="298">
        <f t="shared" si="12"/>
        <v>0.06</v>
      </c>
      <c r="BI724" s="3"/>
      <c r="BJ724" s="3"/>
      <c r="BK724" s="3"/>
      <c r="BL724" s="3"/>
      <c r="BM724" s="3"/>
      <c r="BN724" s="3"/>
      <c r="BS724" s="294">
        <f t="shared" si="13"/>
        <v>21</v>
      </c>
      <c r="BT724" s="297">
        <f t="shared" si="14"/>
        <v>0.2</v>
      </c>
      <c r="BU724" s="298">
        <f t="shared" si="15"/>
        <v>0.06</v>
      </c>
      <c r="CC724" s="3"/>
      <c r="CE724" s="3"/>
      <c r="CF724" s="3"/>
      <c r="CG724" s="1462">
        <f t="shared" si="37"/>
        <v>0</v>
      </c>
      <c r="CH724" s="1463"/>
      <c r="CI724" s="1468">
        <f t="shared" si="38"/>
        <v>0</v>
      </c>
      <c r="CJ724" s="1469"/>
      <c r="CK724" s="1462">
        <f t="shared" si="16"/>
        <v>1</v>
      </c>
      <c r="CL724" s="1463"/>
      <c r="CM724" s="1468">
        <f t="shared" si="17"/>
        <v>21</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21</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21</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f t="shared" si="33"/>
        <v>872.6</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t="s">
        <v>164</v>
      </c>
      <c r="C725" s="1338"/>
      <c r="D725" s="1338"/>
      <c r="E725" s="1338"/>
      <c r="F725" s="1339"/>
      <c r="G725" s="1349">
        <v>21</v>
      </c>
      <c r="H725" s="1350"/>
      <c r="I725" s="1350"/>
      <c r="J725" s="1351"/>
      <c r="K725" s="1343">
        <v>968</v>
      </c>
      <c r="L725" s="1344"/>
      <c r="M725" s="1344"/>
      <c r="N725" s="1345"/>
      <c r="O725" s="1340">
        <f>2005.5-T725</f>
        <v>1875.5</v>
      </c>
      <c r="P725" s="1341"/>
      <c r="Q725" s="1341"/>
      <c r="R725" s="1341"/>
      <c r="S725" s="1342"/>
      <c r="T725" s="1340">
        <f>Y832</f>
        <v>130</v>
      </c>
      <c r="U725" s="1341"/>
      <c r="V725" s="1341"/>
      <c r="W725" s="1342"/>
      <c r="X725" s="1352">
        <f t="shared" si="8"/>
        <v>2005.5</v>
      </c>
      <c r="Y725" s="1353"/>
      <c r="Z725" s="1353"/>
      <c r="AA725" s="1353"/>
      <c r="AB725" s="1354"/>
      <c r="AC725" s="1359">
        <v>0.6</v>
      </c>
      <c r="AD725" s="1360"/>
      <c r="AE725" s="1360"/>
      <c r="AF725" s="1360"/>
      <c r="AG725" s="1361"/>
      <c r="AH725" s="1355">
        <f t="shared" si="36"/>
        <v>0.60008976660682223</v>
      </c>
      <c r="AI725" s="1356"/>
      <c r="AJ725" s="1357"/>
      <c r="AK725" s="1337" t="s">
        <v>592</v>
      </c>
      <c r="AL725" s="1338"/>
      <c r="AM725" s="1338"/>
      <c r="AN725" s="1338"/>
      <c r="AO725" s="1339"/>
      <c r="AP725" s="3"/>
      <c r="AQ725" s="3"/>
      <c r="AR725" s="3"/>
      <c r="AS725" s="3"/>
      <c r="AY725" s="1085"/>
      <c r="AZ725" s="118">
        <f t="shared" si="9"/>
        <v>3342</v>
      </c>
      <c r="BA725" s="3"/>
      <c r="BB725" s="3"/>
      <c r="BC725" s="3"/>
      <c r="BD725" s="3"/>
      <c r="BE725" s="204"/>
      <c r="BF725" s="294">
        <f t="shared" si="10"/>
        <v>21</v>
      </c>
      <c r="BG725" s="297">
        <f t="shared" si="11"/>
        <v>0.2</v>
      </c>
      <c r="BH725" s="298">
        <f t="shared" si="12"/>
        <v>0.12</v>
      </c>
      <c r="BI725" s="3"/>
      <c r="BJ725" s="3"/>
      <c r="BK725" s="3"/>
      <c r="BL725" s="3"/>
      <c r="BM725" s="3"/>
      <c r="BN725" s="3"/>
      <c r="BS725" s="294">
        <f t="shared" si="13"/>
        <v>21</v>
      </c>
      <c r="BT725" s="297">
        <f t="shared" si="14"/>
        <v>0.2</v>
      </c>
      <c r="BU725" s="298">
        <f t="shared" si="15"/>
        <v>0.12001795332136445</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21</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f t="shared" si="33"/>
        <v>1875.5</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t="s">
        <v>165</v>
      </c>
      <c r="C726" s="1338"/>
      <c r="D726" s="1338"/>
      <c r="E726" s="1338"/>
      <c r="F726" s="1339"/>
      <c r="G726" s="1349">
        <v>4</v>
      </c>
      <c r="H726" s="1350"/>
      <c r="I726" s="1350"/>
      <c r="J726" s="1351"/>
      <c r="K726" s="1343">
        <v>1120</v>
      </c>
      <c r="L726" s="1344"/>
      <c r="M726" s="1344"/>
      <c r="N726" s="1345"/>
      <c r="O726" s="1340">
        <f>1119-T726</f>
        <v>913</v>
      </c>
      <c r="P726" s="1341"/>
      <c r="Q726" s="1341"/>
      <c r="R726" s="1341"/>
      <c r="S726" s="1342"/>
      <c r="T726" s="1340">
        <f>AC832</f>
        <v>206</v>
      </c>
      <c r="U726" s="1341"/>
      <c r="V726" s="1341"/>
      <c r="W726" s="1342"/>
      <c r="X726" s="1352">
        <f t="shared" si="8"/>
        <v>1119</v>
      </c>
      <c r="Y726" s="1353"/>
      <c r="Z726" s="1353"/>
      <c r="AA726" s="1353"/>
      <c r="AB726" s="1354"/>
      <c r="AC726" s="1359">
        <v>0.3</v>
      </c>
      <c r="AD726" s="1360"/>
      <c r="AE726" s="1360"/>
      <c r="AF726" s="1360"/>
      <c r="AG726" s="1361"/>
      <c r="AH726" s="1355">
        <f t="shared" si="36"/>
        <v>0.3</v>
      </c>
      <c r="AI726" s="1356"/>
      <c r="AJ726" s="1357"/>
      <c r="AK726" s="1337" t="s">
        <v>592</v>
      </c>
      <c r="AL726" s="1338"/>
      <c r="AM726" s="1338"/>
      <c r="AN726" s="1338"/>
      <c r="AO726" s="1339"/>
      <c r="AP726" s="3"/>
      <c r="AQ726" s="3"/>
      <c r="AR726" s="3"/>
      <c r="AS726" s="3"/>
      <c r="AY726" s="1085"/>
      <c r="AZ726" s="118">
        <f t="shared" si="9"/>
        <v>3730</v>
      </c>
      <c r="BA726" s="3"/>
      <c r="BB726" s="3"/>
      <c r="BC726" s="3"/>
      <c r="BD726" s="3"/>
      <c r="BE726" s="204"/>
      <c r="BF726" s="294">
        <f t="shared" si="10"/>
        <v>4</v>
      </c>
      <c r="BG726" s="297">
        <f t="shared" si="11"/>
        <v>3.8095238095238099E-2</v>
      </c>
      <c r="BH726" s="298">
        <f t="shared" si="12"/>
        <v>1.1428571428571429E-2</v>
      </c>
      <c r="BI726" s="3"/>
      <c r="BJ726" s="3"/>
      <c r="BK726" s="3"/>
      <c r="BL726" s="3"/>
      <c r="BM726" s="3"/>
      <c r="BN726" s="3"/>
      <c r="BS726" s="294">
        <f t="shared" si="13"/>
        <v>4</v>
      </c>
      <c r="BT726" s="297">
        <f t="shared" si="14"/>
        <v>3.8095238095238099E-2</v>
      </c>
      <c r="BU726" s="298">
        <f t="shared" si="15"/>
        <v>1.1428571428571429E-2</v>
      </c>
      <c r="BV726" s="3"/>
      <c r="BW726" s="3"/>
      <c r="BX726" s="3"/>
      <c r="BY726" s="3"/>
      <c r="BZ726" s="3"/>
      <c r="CA726" s="3"/>
      <c r="CB726" s="3"/>
      <c r="CC726" s="3"/>
      <c r="CE726" s="3"/>
      <c r="CF726" s="3"/>
      <c r="CG726" s="1462">
        <f t="shared" si="37"/>
        <v>0</v>
      </c>
      <c r="CH726" s="1463"/>
      <c r="CI726" s="1468">
        <f t="shared" si="38"/>
        <v>0</v>
      </c>
      <c r="CJ726" s="1469"/>
      <c r="CK726" s="1462">
        <f t="shared" si="16"/>
        <v>1</v>
      </c>
      <c r="CL726" s="1463"/>
      <c r="CM726" s="1468">
        <f t="shared" si="17"/>
        <v>4</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4</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4</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f t="shared" si="34"/>
        <v>913</v>
      </c>
      <c r="FU726" s="1464"/>
      <c r="FV726" s="1464"/>
      <c r="FW726" s="1464"/>
      <c r="FX726" s="1463"/>
      <c r="FY726" s="1462" t="str">
        <f t="shared" si="35"/>
        <v/>
      </c>
      <c r="FZ726" s="1464"/>
      <c r="GA726" s="1464"/>
      <c r="GB726" s="1464"/>
      <c r="GC726" s="1463"/>
    </row>
    <row r="727" spans="1:185" ht="12.95" customHeight="1">
      <c r="A727" s="4"/>
      <c r="B727" s="1337" t="s">
        <v>165</v>
      </c>
      <c r="C727" s="1338"/>
      <c r="D727" s="1338"/>
      <c r="E727" s="1338"/>
      <c r="F727" s="1339"/>
      <c r="G727" s="1349">
        <v>4</v>
      </c>
      <c r="H727" s="1350"/>
      <c r="I727" s="1350"/>
      <c r="J727" s="1351"/>
      <c r="K727" s="1343">
        <v>1120</v>
      </c>
      <c r="L727" s="1344"/>
      <c r="M727" s="1344"/>
      <c r="N727" s="1345"/>
      <c r="O727" s="1340">
        <f>2238-T727</f>
        <v>2032</v>
      </c>
      <c r="P727" s="1341"/>
      <c r="Q727" s="1341"/>
      <c r="R727" s="1341"/>
      <c r="S727" s="1342"/>
      <c r="T727" s="1340">
        <f>AC832</f>
        <v>206</v>
      </c>
      <c r="U727" s="1341"/>
      <c r="V727" s="1341"/>
      <c r="W727" s="1342"/>
      <c r="X727" s="1352">
        <f t="shared" si="8"/>
        <v>2238</v>
      </c>
      <c r="Y727" s="1353"/>
      <c r="Z727" s="1353"/>
      <c r="AA727" s="1353"/>
      <c r="AB727" s="1354"/>
      <c r="AC727" s="1359">
        <v>0.6</v>
      </c>
      <c r="AD727" s="1360"/>
      <c r="AE727" s="1360"/>
      <c r="AF727" s="1360"/>
      <c r="AG727" s="1361"/>
      <c r="AH727" s="1355">
        <f t="shared" si="36"/>
        <v>0.6</v>
      </c>
      <c r="AI727" s="1356"/>
      <c r="AJ727" s="1357"/>
      <c r="AK727" s="1337" t="s">
        <v>592</v>
      </c>
      <c r="AL727" s="1338"/>
      <c r="AM727" s="1338"/>
      <c r="AN727" s="1338"/>
      <c r="AO727" s="1339"/>
      <c r="AP727" s="3"/>
      <c r="AQ727" s="3"/>
      <c r="AR727" s="3"/>
      <c r="AS727" s="3"/>
      <c r="AY727" s="1085"/>
      <c r="AZ727" s="118">
        <f t="shared" si="9"/>
        <v>3730</v>
      </c>
      <c r="BA727" s="3"/>
      <c r="BB727" s="3"/>
      <c r="BC727" s="3"/>
      <c r="BD727" s="3"/>
      <c r="BE727" s="204"/>
      <c r="BF727" s="294">
        <f t="shared" si="10"/>
        <v>4</v>
      </c>
      <c r="BG727" s="297">
        <f t="shared" si="11"/>
        <v>3.8095238095238099E-2</v>
      </c>
      <c r="BH727" s="298">
        <f t="shared" si="12"/>
        <v>2.2857142857142857E-2</v>
      </c>
      <c r="BI727" s="3"/>
      <c r="BJ727" s="3"/>
      <c r="BK727" s="3"/>
      <c r="BL727" s="3"/>
      <c r="BM727" s="3"/>
      <c r="BN727" s="3"/>
      <c r="BS727" s="294">
        <f t="shared" si="13"/>
        <v>4</v>
      </c>
      <c r="BT727" s="297">
        <f t="shared" si="14"/>
        <v>3.8095238095238099E-2</v>
      </c>
      <c r="BU727" s="298">
        <f t="shared" si="15"/>
        <v>2.2857142857142857E-2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4</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f t="shared" si="34"/>
        <v>2032</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105</v>
      </c>
      <c r="H753" s="1621"/>
      <c r="I753" s="1621"/>
      <c r="J753" s="1622"/>
      <c r="K753" s="902" t="s">
        <v>124</v>
      </c>
      <c r="L753" s="5"/>
      <c r="M753" s="5"/>
      <c r="N753" s="46"/>
      <c r="O753" s="1352">
        <f>SUMPRODUCT(G718:G752,O718:O752)</f>
        <v>125995</v>
      </c>
      <c r="P753" s="1353"/>
      <c r="Q753" s="1353"/>
      <c r="R753" s="1353"/>
      <c r="S753" s="1354"/>
      <c r="T753"/>
      <c r="U753"/>
      <c r="V753"/>
      <c r="W753"/>
      <c r="X753" s="904" t="s">
        <v>901</v>
      </c>
      <c r="Y753" s="903"/>
      <c r="Z753" s="903"/>
      <c r="AA753" s="903"/>
      <c r="AB753" s="905"/>
      <c r="AC753" s="1603">
        <f>BH753</f>
        <v>0.44857142857142857</v>
      </c>
      <c r="AD753" s="1604"/>
      <c r="AE753" s="1604"/>
      <c r="AF753" s="1604"/>
      <c r="AG753" s="1605"/>
      <c r="AH753" s="1603">
        <f>IFERROR(BU753,"")</f>
        <v>0.43421975438236748</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105</v>
      </c>
      <c r="BG753" s="300">
        <f>SUM(BG718:BG752)</f>
        <v>1</v>
      </c>
      <c r="BH753" s="300">
        <f>SUM(BH718:BH752)</f>
        <v>0.44857142857142857</v>
      </c>
      <c r="BI753"/>
      <c r="BJ753"/>
      <c r="BK753"/>
      <c r="BL753"/>
      <c r="BO753"/>
      <c r="BP753"/>
      <c r="BQ753"/>
      <c r="BR753"/>
      <c r="BS753" s="859">
        <f>SUM(BS718:BS752)</f>
        <v>105</v>
      </c>
      <c r="BT753" s="300">
        <f>SUM(BT718:BT752)</f>
        <v>1</v>
      </c>
      <c r="BU753" s="300">
        <f>SUM(BU718:BU752)</f>
        <v>0.43421975438236748</v>
      </c>
      <c r="CI753" s="1462">
        <f>SUM(CI718:CJ752)</f>
        <v>0</v>
      </c>
      <c r="CJ753" s="1463"/>
      <c r="CM753" s="1462">
        <f>SUM(CM718:CN752)</f>
        <v>53</v>
      </c>
      <c r="CN753" s="1463"/>
      <c r="CP753" s="1462">
        <f>SUM(CP718:CT752)</f>
        <v>10</v>
      </c>
      <c r="CQ753" s="1464"/>
      <c r="CR753" s="1464"/>
      <c r="CS753" s="1464"/>
      <c r="CT753" s="1463"/>
      <c r="CU753" s="1460">
        <f>SUM(CU718:CY752)</f>
        <v>18</v>
      </c>
      <c r="CV753" s="1460"/>
      <c r="CW753" s="1460"/>
      <c r="CX753" s="1460"/>
      <c r="CY753" s="1460"/>
      <c r="CZ753" s="1460">
        <f>SUM(CZ718:DD752)</f>
        <v>27</v>
      </c>
      <c r="DA753" s="1460"/>
      <c r="DB753" s="1460"/>
      <c r="DC753" s="1460"/>
      <c r="DD753" s="1460"/>
      <c r="DE753" s="1460">
        <f>SUM(DE718:DI752)</f>
        <v>42</v>
      </c>
      <c r="DF753" s="1460"/>
      <c r="DG753" s="1460"/>
      <c r="DH753" s="1460"/>
      <c r="DI753" s="1460"/>
      <c r="DJ753" s="1460">
        <f>SUM(DJ718:DN752)</f>
        <v>8</v>
      </c>
      <c r="DK753" s="1460"/>
      <c r="DL753" s="1460"/>
      <c r="DM753" s="1460"/>
      <c r="DN753" s="1460"/>
      <c r="DO753" s="1460">
        <f>SUM(DO718:DS752)</f>
        <v>0</v>
      </c>
      <c r="DP753" s="1460"/>
      <c r="DQ753" s="1460"/>
      <c r="DR753" s="1460"/>
      <c r="DS753" s="1460"/>
      <c r="DT753" s="354"/>
      <c r="DU753" s="1460">
        <f>SUM(DU718:DY752)</f>
        <v>5</v>
      </c>
      <c r="DV753" s="1460"/>
      <c r="DW753" s="1460"/>
      <c r="DX753" s="1460"/>
      <c r="DY753" s="1460"/>
      <c r="DZ753" s="1460">
        <f>SUM(DZ718:ED752)</f>
        <v>9</v>
      </c>
      <c r="EA753" s="1460"/>
      <c r="EB753" s="1460"/>
      <c r="EC753" s="1460"/>
      <c r="ED753" s="1460"/>
      <c r="EE753" s="1460">
        <f>SUM(EE718:EI752)</f>
        <v>14</v>
      </c>
      <c r="EF753" s="1460"/>
      <c r="EG753" s="1460"/>
      <c r="EH753" s="1460"/>
      <c r="EI753" s="1460"/>
      <c r="EJ753" s="1460">
        <f>SUM(EJ718:EN752)</f>
        <v>21</v>
      </c>
      <c r="EK753" s="1460"/>
      <c r="EL753" s="1460"/>
      <c r="EM753" s="1460"/>
      <c r="EN753" s="1460"/>
      <c r="EO753" s="1460">
        <f>SUM(EO718:ES752)</f>
        <v>4</v>
      </c>
      <c r="EP753" s="1460"/>
      <c r="EQ753" s="1460"/>
      <c r="ER753" s="1460"/>
      <c r="ES753" s="1460"/>
      <c r="ET753" s="1460">
        <f>SUM(ET718:EX752)</f>
        <v>0</v>
      </c>
      <c r="EU753" s="1460"/>
      <c r="EV753" s="1460"/>
      <c r="EW753" s="1460"/>
      <c r="EX753" s="1460"/>
      <c r="EY753"/>
      <c r="EZ753" s="1460">
        <f>SUM(EZ718:FD752)</f>
        <v>1348.4</v>
      </c>
      <c r="FA753" s="1460"/>
      <c r="FB753" s="1460"/>
      <c r="FC753" s="1460"/>
      <c r="FD753" s="1460"/>
      <c r="FE753" s="1460">
        <f>SUM(FE718:FI752)</f>
        <v>1934.4</v>
      </c>
      <c r="FF753" s="1460"/>
      <c r="FG753" s="1460"/>
      <c r="FH753" s="1460"/>
      <c r="FI753" s="1460"/>
      <c r="FJ753" s="1460">
        <f>SUM(FJ718:FN752)</f>
        <v>2428.6999999999998</v>
      </c>
      <c r="FK753" s="1460"/>
      <c r="FL753" s="1460"/>
      <c r="FM753" s="1460"/>
      <c r="FN753" s="1460"/>
      <c r="FO753" s="1460">
        <f>SUM(FO718:FS752)</f>
        <v>2748.1</v>
      </c>
      <c r="FP753" s="1460"/>
      <c r="FQ753" s="1460"/>
      <c r="FR753" s="1460"/>
      <c r="FS753" s="1460"/>
      <c r="FT753" s="1460">
        <f>SUM(FT718:FX752)</f>
        <v>2945</v>
      </c>
      <c r="FU753" s="1460"/>
      <c r="FV753" s="1460"/>
      <c r="FW753" s="1460"/>
      <c r="FX753" s="1460"/>
      <c r="FY753" s="1460">
        <f>SUM(FY718:GC752)</f>
        <v>0</v>
      </c>
      <c r="FZ753" s="1460"/>
      <c r="GA753" s="1460"/>
      <c r="GB753" s="1460"/>
      <c r="GC753" s="1460"/>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2">
        <f>CP753+CU753+CZ753+DE753+DJ753+DO753</f>
        <v>105</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10</v>
      </c>
      <c r="CU755" s="3"/>
      <c r="CV755" s="3"/>
      <c r="CW755" s="3"/>
      <c r="CX755" s="3"/>
      <c r="CY755" s="861">
        <f>CU753*1</f>
        <v>18</v>
      </c>
      <c r="CZ755" s="3"/>
      <c r="DA755" s="3"/>
      <c r="DB755" s="3"/>
      <c r="DC755" s="3"/>
      <c r="DD755" s="861">
        <f>CZ753*2</f>
        <v>54</v>
      </c>
      <c r="DE755" s="3"/>
      <c r="DF755" s="3"/>
      <c r="DG755" s="3"/>
      <c r="DH755" s="3"/>
      <c r="DI755" s="861">
        <f>DE753*3</f>
        <v>126</v>
      </c>
      <c r="DJ755" s="3"/>
      <c r="DK755" s="3"/>
      <c r="DL755" s="3"/>
      <c r="DM755" s="3"/>
      <c r="DN755" s="861">
        <f>DJ753*4</f>
        <v>32</v>
      </c>
      <c r="DO755" s="3"/>
      <c r="DP755" s="3"/>
      <c r="DQ755" s="3"/>
      <c r="DR755" s="3"/>
      <c r="DS755" s="861">
        <f>DO753*5</f>
        <v>0</v>
      </c>
      <c r="DU755" s="861">
        <f>CT755+CY755+DD755+DI755+DN755+DS755</f>
        <v>240</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0">
        <f>DU755</f>
        <v>240</v>
      </c>
      <c r="P756" s="1460"/>
      <c r="Q756" s="1460"/>
      <c r="R756" s="1460"/>
      <c r="S756" s="969"/>
      <c r="T756" s="969"/>
      <c r="U756" s="118" t="s">
        <v>1893</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8" t="s">
        <v>1680</v>
      </c>
      <c r="U769" s="1719"/>
      <c r="V769" s="1719"/>
      <c r="W769" s="1720"/>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v>735</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8" t="s">
        <v>1680</v>
      </c>
      <c r="U783" s="1719"/>
      <c r="V783" s="1719"/>
      <c r="W783" s="1720"/>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125995</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1511940</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10</v>
      </c>
      <c r="CQ802" s="1472"/>
      <c r="CR802" s="1472"/>
      <c r="CS802" s="1472"/>
      <c r="CT802" s="1473"/>
      <c r="CU802" s="1471">
        <f>CU753+CU777+CU797</f>
        <v>18</v>
      </c>
      <c r="CV802" s="1472"/>
      <c r="CW802" s="1472"/>
      <c r="CX802" s="1472"/>
      <c r="CY802" s="1473"/>
      <c r="CZ802" s="1471">
        <f>CZ753+CZ777+CZ797</f>
        <v>28</v>
      </c>
      <c r="DA802" s="1472"/>
      <c r="DB802" s="1472"/>
      <c r="DC802" s="1472"/>
      <c r="DD802" s="1473"/>
      <c r="DE802" s="1471">
        <f>DE753+DE777+DE797</f>
        <v>42</v>
      </c>
      <c r="DF802" s="1472"/>
      <c r="DG802" s="1472"/>
      <c r="DH802" s="1472"/>
      <c r="DI802" s="1473"/>
      <c r="DJ802" s="1471">
        <f>DJ753+DJ777+DJ797</f>
        <v>8</v>
      </c>
      <c r="DK802" s="1472"/>
      <c r="DL802" s="1472"/>
      <c r="DM802" s="1472"/>
      <c r="DN802" s="1473"/>
      <c r="DO802" s="1462">
        <f>DO797+DO777+DO753</f>
        <v>0</v>
      </c>
      <c r="DP802" s="1464"/>
      <c r="DQ802" s="1464"/>
      <c r="DR802" s="1464"/>
      <c r="DS802" s="1463"/>
      <c r="DT802" s="3"/>
      <c r="DU802" s="861">
        <f>DU755+DU800</f>
        <v>240</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106</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52963</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1140600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3224</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3224</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2655764</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2717</v>
      </c>
      <c r="G831" s="1593"/>
      <c r="H831" s="1593"/>
      <c r="I831" s="1593"/>
      <c r="J831" s="1593"/>
      <c r="K831" s="1593"/>
      <c r="L831" s="1593"/>
      <c r="M831" s="1641">
        <v>82</v>
      </c>
      <c r="N831" s="1641"/>
      <c r="O831" s="1641"/>
      <c r="P831" s="1641"/>
      <c r="Q831" s="1641">
        <v>69</v>
      </c>
      <c r="R831" s="1641"/>
      <c r="S831" s="1641"/>
      <c r="T831" s="1641"/>
      <c r="U831" s="1641">
        <v>88</v>
      </c>
      <c r="V831" s="1641"/>
      <c r="W831" s="1641"/>
      <c r="X831" s="1641"/>
      <c r="Y831" s="1641">
        <v>130</v>
      </c>
      <c r="Z831" s="1641"/>
      <c r="AA831" s="1641"/>
      <c r="AB831" s="1641"/>
      <c r="AC831" s="1474">
        <v>206</v>
      </c>
      <c r="AD831" s="1475"/>
      <c r="AE831" s="1475"/>
      <c r="AF831" s="1476"/>
      <c r="AG831" s="1474">
        <v>0</v>
      </c>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82</v>
      </c>
      <c r="N832" s="1635"/>
      <c r="O832" s="1635"/>
      <c r="P832" s="1635"/>
      <c r="Q832" s="1635">
        <f>SUM(Q825:T831)</f>
        <v>69</v>
      </c>
      <c r="R832" s="1635"/>
      <c r="S832" s="1635"/>
      <c r="T832" s="1635"/>
      <c r="U832" s="1635">
        <f>SUM(U825:X831)</f>
        <v>88</v>
      </c>
      <c r="V832" s="1635"/>
      <c r="W832" s="1635"/>
      <c r="X832" s="1635"/>
      <c r="Y832" s="1635">
        <f>SUM(Y825:AB831)</f>
        <v>130</v>
      </c>
      <c r="Z832" s="1635"/>
      <c r="AA832" s="1635"/>
      <c r="AB832" s="1635"/>
      <c r="AC832" s="1635">
        <f>SUM(AC825:AF831)</f>
        <v>206</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2718</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v>5400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2385</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21612</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40841</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2719</v>
      </c>
      <c r="N846" s="1593"/>
      <c r="O846" s="1593"/>
      <c r="P846" s="1593"/>
      <c r="Q846" s="1593"/>
      <c r="R846" s="1593"/>
      <c r="S846" s="1593"/>
      <c r="T846" s="1593"/>
      <c r="U846" s="1593"/>
      <c r="V846" s="1594"/>
      <c r="W846" s="1480">
        <v>24660</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94898</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87315</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7"/>
      <c r="BA851" s="1717"/>
      <c r="BB851" s="14"/>
      <c r="BC851" s="14"/>
    </row>
    <row r="852" spans="3:55" ht="12.95" customHeight="1">
      <c r="J852" s="45" t="s">
        <v>351</v>
      </c>
      <c r="K852" s="5"/>
      <c r="L852" s="5"/>
      <c r="M852" s="5"/>
      <c r="N852" s="5"/>
      <c r="O852" s="5"/>
      <c r="P852" s="5"/>
      <c r="Q852" s="5"/>
      <c r="R852" s="5"/>
      <c r="S852" s="5"/>
      <c r="T852" s="5"/>
      <c r="U852" s="5"/>
      <c r="V852" s="46"/>
      <c r="W852" s="1650">
        <v>50652</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17857</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71219</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4">
        <f>SUM(W851:W854)</f>
        <v>139728</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171217</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08">
        <v>2</v>
      </c>
      <c r="U858" s="1695"/>
      <c r="V858" s="170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113626</v>
      </c>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08">
        <v>1</v>
      </c>
      <c r="U860" s="1695"/>
      <c r="V860" s="1709"/>
      <c r="W860" s="874"/>
      <c r="X860" s="875"/>
      <c r="Y860" s="875"/>
      <c r="Z860" s="875"/>
      <c r="AA860" s="875"/>
      <c r="AB860" s="875"/>
      <c r="AC860" s="876"/>
      <c r="AD860" s="533"/>
      <c r="AZ860" s="34"/>
      <c r="BA860" s="34"/>
      <c r="BB860" s="34"/>
      <c r="BC860" s="34"/>
    </row>
    <row r="861" spans="3:55" ht="12.95" customHeight="1">
      <c r="J861" s="45" t="s">
        <v>170</v>
      </c>
      <c r="K861" s="5"/>
      <c r="L861" s="5"/>
      <c r="M861" s="1592" t="s">
        <v>2720</v>
      </c>
      <c r="N861" s="1593"/>
      <c r="O861" s="1593"/>
      <c r="P861" s="1593"/>
      <c r="Q861" s="1593"/>
      <c r="R861" s="1593"/>
      <c r="S861" s="1593"/>
      <c r="T861" s="1593"/>
      <c r="U861" s="1593"/>
      <c r="V861" s="1594"/>
      <c r="W861" s="1629">
        <v>42363</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0">
        <f>SUM(W857:W861)</f>
        <v>327206</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62209</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0">
        <v>11584</v>
      </c>
      <c r="X865" s="1480"/>
      <c r="Y865" s="1480"/>
      <c r="Z865" s="1480"/>
      <c r="AA865" s="1480"/>
      <c r="AB865" s="1480"/>
      <c r="AC865" s="1480"/>
      <c r="AU865" s="14"/>
      <c r="AZ865" s="34"/>
      <c r="BA865" s="34"/>
      <c r="BB865" s="34"/>
      <c r="BC865" s="34"/>
    </row>
    <row r="866" spans="3:55" ht="12.95" customHeight="1">
      <c r="J866" s="45" t="s">
        <v>523</v>
      </c>
      <c r="K866" s="5"/>
      <c r="L866" s="5"/>
      <c r="M866" s="5"/>
      <c r="N866" s="5"/>
      <c r="O866" s="5"/>
      <c r="P866" s="5"/>
      <c r="Q866" s="5"/>
      <c r="R866" s="5"/>
      <c r="S866" s="5"/>
      <c r="T866" s="5"/>
      <c r="U866" s="5"/>
      <c r="V866" s="46"/>
      <c r="W866" s="1480">
        <v>34049</v>
      </c>
      <c r="X866" s="1480"/>
      <c r="Y866" s="1480"/>
      <c r="Z866" s="1480"/>
      <c r="AA866" s="1480"/>
      <c r="AB866" s="1480"/>
      <c r="AC866" s="1480"/>
      <c r="AU866" s="4"/>
      <c r="AZ866" s="34"/>
      <c r="BA866" s="34"/>
      <c r="BB866" s="34"/>
      <c r="BC866" s="34"/>
    </row>
    <row r="867" spans="3:55" ht="12.95" customHeight="1">
      <c r="J867" s="45" t="s">
        <v>522</v>
      </c>
      <c r="K867" s="5"/>
      <c r="L867" s="5"/>
      <c r="M867" s="5"/>
      <c r="N867" s="5"/>
      <c r="O867" s="5"/>
      <c r="P867" s="5"/>
      <c r="Q867" s="5"/>
      <c r="R867" s="5"/>
      <c r="S867" s="5"/>
      <c r="T867" s="5"/>
      <c r="U867" s="5"/>
      <c r="V867" s="46"/>
      <c r="W867" s="1480">
        <v>37253</v>
      </c>
      <c r="X867" s="1480"/>
      <c r="Y867" s="1480"/>
      <c r="Z867" s="1480"/>
      <c r="AA867" s="1480"/>
      <c r="AB867" s="1480"/>
      <c r="AC867" s="1480"/>
      <c r="AU867" s="4"/>
      <c r="AZ867" s="34"/>
      <c r="BA867" s="34"/>
      <c r="BB867" s="34"/>
      <c r="BC867" s="34"/>
    </row>
    <row r="868" spans="3:55" ht="12.95" customHeight="1">
      <c r="J868" s="45" t="s">
        <v>521</v>
      </c>
      <c r="K868" s="5"/>
      <c r="L868" s="5"/>
      <c r="M868" s="5"/>
      <c r="N868" s="5"/>
      <c r="O868" s="5"/>
      <c r="P868" s="5"/>
      <c r="Q868" s="5"/>
      <c r="R868" s="5"/>
      <c r="S868" s="5"/>
      <c r="T868" s="5"/>
      <c r="U868" s="5"/>
      <c r="V868" s="46"/>
      <c r="W868" s="1480">
        <v>7723</v>
      </c>
      <c r="X868" s="1480"/>
      <c r="Y868" s="1480"/>
      <c r="Z868" s="1480"/>
      <c r="AA868" s="1480"/>
      <c r="AB868" s="1480"/>
      <c r="AC868" s="1480"/>
      <c r="AU868" s="4"/>
      <c r="AZ868" s="34"/>
      <c r="BA868" s="34"/>
      <c r="BB868" s="34"/>
      <c r="BC868" s="34"/>
    </row>
    <row r="869" spans="3:55" ht="12.95" customHeight="1">
      <c r="J869" s="45" t="s">
        <v>520</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519</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170</v>
      </c>
      <c r="K871" s="5"/>
      <c r="L871" s="5"/>
      <c r="M871" s="1592" t="s">
        <v>334</v>
      </c>
      <c r="N871" s="1593"/>
      <c r="O871" s="1593"/>
      <c r="P871" s="1593"/>
      <c r="Q871" s="1593"/>
      <c r="R871" s="1593"/>
      <c r="S871" s="1593"/>
      <c r="T871" s="1593"/>
      <c r="U871" s="1593"/>
      <c r="V871" s="1594"/>
      <c r="W871" s="1480"/>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SUM(W865:W871)</f>
        <v>90609</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1245</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801965</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3">
        <f>O797+O777+G753</f>
        <v>106</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7565</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f>'Sources and Uses Budget'!B75</f>
        <v>577308</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35000</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31800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3312</v>
      </c>
      <c r="AD891" s="1466"/>
      <c r="AE891" s="1466"/>
      <c r="AF891" s="1466"/>
      <c r="AG891" s="1466"/>
      <c r="AH891" s="1467"/>
      <c r="AZ891" s="34"/>
      <c r="BA891" s="34"/>
      <c r="BB891" s="34"/>
      <c r="BC891" s="34"/>
    </row>
    <row r="892" spans="3:55" ht="12.95" hidden="1" customHeight="1">
      <c r="C892" s="1448" t="s">
        <v>2233</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2.95" customHeight="1">
      <c r="C894" s="1632" t="s">
        <v>2721</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12200</v>
      </c>
      <c r="AD894" s="1480"/>
      <c r="AE894" s="1480"/>
      <c r="AF894" s="1480"/>
      <c r="AG894" s="1480"/>
      <c r="AH894" s="1480"/>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9685965</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AM555</f>
        <v>11571804</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546</v>
      </c>
      <c r="V920" s="1402"/>
      <c r="W920" s="1402"/>
      <c r="X920" s="1402"/>
      <c r="Y920" s="1402"/>
      <c r="Z920" s="1403"/>
      <c r="AA920" s="1407">
        <f>AM559</f>
        <v>2120000</v>
      </c>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2193</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2194</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2195</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2196</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2197</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2198</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2199</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2200</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2201</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2192</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592</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9">
        <v>1950936</v>
      </c>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2" t="s">
        <v>2722</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546</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v>1950936</v>
      </c>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331890</v>
      </c>
      <c r="S986" s="1551"/>
      <c r="T986" s="1551"/>
      <c r="U986" s="1551"/>
      <c r="V986" s="1551"/>
      <c r="W986" s="1551"/>
      <c r="X986" s="1551"/>
      <c r="Y986" s="1551"/>
      <c r="Z986" s="1551"/>
      <c r="AA986" s="1551"/>
      <c r="AB986" s="1389">
        <f>CP802</f>
        <v>10</v>
      </c>
      <c r="AC986" s="1390"/>
      <c r="AD986" s="1390"/>
      <c r="AE986" s="1390"/>
      <c r="AF986" s="1390"/>
      <c r="AG986" s="1390"/>
      <c r="AH986" s="1390"/>
      <c r="AI986" s="1391"/>
      <c r="AJ986" s="1487">
        <f>IF(ISERROR((R986*AB986)),0,(R986*AB986))</f>
        <v>3318900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382666</v>
      </c>
      <c r="S987" s="1551"/>
      <c r="T987" s="1551"/>
      <c r="U987" s="1551"/>
      <c r="V987" s="1551"/>
      <c r="W987" s="1551"/>
      <c r="X987" s="1551"/>
      <c r="Y987" s="1551"/>
      <c r="Z987" s="1551"/>
      <c r="AA987" s="1551"/>
      <c r="AB987" s="1389">
        <f>CU802</f>
        <v>18</v>
      </c>
      <c r="AC987" s="1390"/>
      <c r="AD987" s="1390"/>
      <c r="AE987" s="1390"/>
      <c r="AF987" s="1390"/>
      <c r="AG987" s="1390"/>
      <c r="AH987" s="1390"/>
      <c r="AI987" s="1391"/>
      <c r="AJ987" s="1487">
        <f>IF(ISERROR((R987*AB987)),0,(R987*AB987))</f>
        <v>6887988</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461600</v>
      </c>
      <c r="S988" s="1551"/>
      <c r="T988" s="1551"/>
      <c r="U988" s="1551"/>
      <c r="V988" s="1551"/>
      <c r="W988" s="1551"/>
      <c r="X988" s="1551"/>
      <c r="Y988" s="1551"/>
      <c r="Z988" s="1551"/>
      <c r="AA988" s="1551"/>
      <c r="AB988" s="1389">
        <f>CZ802</f>
        <v>28</v>
      </c>
      <c r="AC988" s="1390"/>
      <c r="AD988" s="1390"/>
      <c r="AE988" s="1390"/>
      <c r="AF988" s="1390"/>
      <c r="AG988" s="1390"/>
      <c r="AH988" s="1390"/>
      <c r="AI988" s="1391"/>
      <c r="AJ988" s="1487">
        <f>IF(ISERROR((R988*AB988)),0,(R988*AB988))</f>
        <v>12924800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590848</v>
      </c>
      <c r="S989" s="1551"/>
      <c r="T989" s="1551"/>
      <c r="U989" s="1551"/>
      <c r="V989" s="1551"/>
      <c r="W989" s="1551"/>
      <c r="X989" s="1551"/>
      <c r="Y989" s="1551"/>
      <c r="Z989" s="1551"/>
      <c r="AA989" s="1551"/>
      <c r="AB989" s="1389">
        <f>DE802</f>
        <v>42</v>
      </c>
      <c r="AC989" s="1390"/>
      <c r="AD989" s="1390"/>
      <c r="AE989" s="1390"/>
      <c r="AF989" s="1390"/>
      <c r="AG989" s="1390"/>
      <c r="AH989" s="1390"/>
      <c r="AI989" s="1391"/>
      <c r="AJ989" s="1487">
        <f>IF(ISERROR((R989*AB989)),0,(R989*AB989))</f>
        <v>24815616</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658242</v>
      </c>
      <c r="S990" s="1551"/>
      <c r="T990" s="1551"/>
      <c r="U990" s="1551"/>
      <c r="V990" s="1551"/>
      <c r="W990" s="1551"/>
      <c r="X990" s="1551"/>
      <c r="Y990" s="1551"/>
      <c r="Z990" s="1551"/>
      <c r="AA990" s="1551"/>
      <c r="AB990" s="1389">
        <f>DO802+DJ802</f>
        <v>8</v>
      </c>
      <c r="AC990" s="1390"/>
      <c r="AD990" s="1390"/>
      <c r="AE990" s="1390"/>
      <c r="AF990" s="1390"/>
      <c r="AG990" s="1390"/>
      <c r="AH990" s="1390"/>
      <c r="AI990" s="1391"/>
      <c r="AJ990" s="1487">
        <f>IF(ISERROR((R990*AB990)),0,(R990*AB990))</f>
        <v>5265936</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106</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53213240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2235</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2206</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105</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0.5</v>
      </c>
      <c r="AZ1006" s="34"/>
      <c r="BB1006" s="34"/>
    </row>
    <row r="1007" spans="1:55" ht="12.95" customHeight="1">
      <c r="A1007" s="14"/>
      <c r="B1007" s="255"/>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2607</v>
      </c>
    </row>
    <row r="1013" spans="1:52" ht="12.95"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3" t="s">
        <v>2236</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76934.292452830196</v>
      </c>
      <c r="BB1038" s="1183" t="s">
        <v>2489</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0.50476190476190474</v>
      </c>
      <c r="BB1039" s="3" t="s">
        <v>2493</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2491</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2492</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2073826.7999999998</v>
      </c>
      <c r="BA1046" s="1182">
        <f>IF(BA1040,20%,15%)</f>
        <v>0.15</v>
      </c>
      <c r="BB1046" s="3" t="s">
        <v>2479</v>
      </c>
      <c r="BC1046" s="3" t="s">
        <v>2480</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69">
        <f>AY1003</f>
        <v>105</v>
      </c>
      <c r="J1048" s="1570"/>
      <c r="K1048" s="7"/>
      <c r="L1048" s="133"/>
      <c r="M1048" s="133"/>
      <c r="N1048" s="133"/>
      <c r="O1048" s="133"/>
      <c r="P1048" s="133"/>
      <c r="Q1048" s="133"/>
      <c r="R1048" s="133"/>
      <c r="S1048" s="133"/>
      <c r="T1048" s="133"/>
      <c r="U1048" s="133"/>
      <c r="V1048" s="134" t="s">
        <v>974</v>
      </c>
      <c r="W1048" s="48"/>
      <c r="X1048" s="1567">
        <f>CI753</f>
        <v>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1096410</v>
      </c>
      <c r="BA1048" s="1182" cm="1">
        <f t="array" ref="BA1048">_xlfn.IFS(X180="Yes",5%,$BA$1038&gt;50000,15%,BA1039&gt;=30%,15%,TRUE,5%)</f>
        <v>0.05</v>
      </c>
      <c r="BB1048" s="3" t="s">
        <v>2479</v>
      </c>
      <c r="BC1048" s="3" t="s">
        <v>2482</v>
      </c>
      <c r="BD1048" s="3"/>
    </row>
    <row r="1049" spans="1:56" ht="12.95" customHeight="1">
      <c r="A1049" s="14"/>
      <c r="B1049" s="79"/>
      <c r="C1049" s="131" t="s">
        <v>1686</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53213240</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9">
        <f>AY1003</f>
        <v>105</v>
      </c>
      <c r="J1052" s="1570"/>
      <c r="K1052" s="14"/>
      <c r="L1052" s="133"/>
      <c r="M1052" s="133"/>
      <c r="N1052" s="133"/>
      <c r="O1052" s="133"/>
      <c r="P1052" s="133"/>
      <c r="Q1052" s="133"/>
      <c r="R1052" s="133"/>
      <c r="S1052" s="133"/>
      <c r="T1052" s="133"/>
      <c r="U1052" s="133"/>
      <c r="V1052" s="134" t="s">
        <v>975</v>
      </c>
      <c r="X1052" s="1567">
        <f>CM753</f>
        <v>53</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106426480</v>
      </c>
      <c r="AK1053" s="1579"/>
      <c r="AL1053" s="1579"/>
      <c r="AM1053" s="1579"/>
      <c r="AN1053" s="1579"/>
      <c r="AO1053" s="1579"/>
      <c r="AP1053" s="1579"/>
      <c r="AQ1053" s="1580"/>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37253712</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3170236.8</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0.70008351305051153</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1500000</v>
      </c>
      <c r="BB1058" s="3" t="s">
        <v>2494</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0</v>
      </c>
      <c r="BB1059" s="3" t="s">
        <v>2495</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B88" sqref="B8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 xml:space="preserve">1)PNC Bank </v>
      </c>
      <c r="G2" s="139" t="str">
        <f>Application!B628&amp;Application!C628</f>
        <v>2)Net Operating Income</v>
      </c>
      <c r="H2" s="139" t="str">
        <f>Application!B629&amp;Application!C629</f>
        <v>3)Seller Carryback Note (Reserves)</v>
      </c>
      <c r="I2" s="139" t="str">
        <f>Application!B630&amp;Application!C630</f>
        <v>4)Short Term Work Credit</v>
      </c>
      <c r="J2" s="139" t="str">
        <f>Application!B631&amp;Application!C631</f>
        <v>5)SHRA (HOME Funds)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t="shared" ref="E4:E7" si="0">C4-SUM(F4:Q4)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595</v>
      </c>
      <c r="B9" s="146">
        <f>SUM(C9+D9)</f>
        <v>21928200</v>
      </c>
      <c r="C9" s="147">
        <v>21928200</v>
      </c>
      <c r="D9" s="147"/>
      <c r="E9" s="147">
        <f t="shared" ref="E9:E10" si="2">C9-SUM(F9:Q9)</f>
        <v>670431</v>
      </c>
      <c r="F9" s="147">
        <f>F108</f>
        <v>21257769</v>
      </c>
      <c r="G9" s="147"/>
      <c r="H9" s="147"/>
      <c r="I9" s="147"/>
      <c r="J9" s="147"/>
      <c r="K9" s="147"/>
      <c r="L9" s="147"/>
      <c r="M9" s="147"/>
      <c r="N9" s="147"/>
      <c r="O9" s="147"/>
      <c r="P9" s="147"/>
      <c r="Q9" s="147"/>
      <c r="R9" s="516">
        <f>SUM(E9:Q9)</f>
        <v>21928200</v>
      </c>
      <c r="S9" s="148"/>
      <c r="T9" s="147">
        <f>C9</f>
        <v>21928200</v>
      </c>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597</v>
      </c>
      <c r="B11" s="146">
        <f>SUM(C11:D11)</f>
        <v>21928200</v>
      </c>
      <c r="C11" s="146">
        <f t="shared" ref="C11:Q11" si="3">SUM(C9:C10)</f>
        <v>21928200</v>
      </c>
      <c r="D11" s="146">
        <f t="shared" si="3"/>
        <v>0</v>
      </c>
      <c r="E11" s="146">
        <f t="shared" si="3"/>
        <v>670431</v>
      </c>
      <c r="F11" s="146">
        <f t="shared" si="3"/>
        <v>21257769</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21928200</v>
      </c>
      <c r="S11" s="148"/>
      <c r="T11" s="150">
        <f>SUM(T9:T10)</f>
        <v>21928200</v>
      </c>
      <c r="U11" s="143"/>
    </row>
    <row r="12" spans="1:21" s="144" customFormat="1">
      <c r="A12" s="149" t="s">
        <v>84</v>
      </c>
      <c r="B12" s="146">
        <f t="shared" ref="B12:Q12" si="4">SUM(B8+B11)</f>
        <v>21928200</v>
      </c>
      <c r="C12" s="146">
        <f t="shared" si="4"/>
        <v>21928200</v>
      </c>
      <c r="D12" s="146">
        <f t="shared" si="4"/>
        <v>0</v>
      </c>
      <c r="E12" s="146">
        <f t="shared" si="4"/>
        <v>670431</v>
      </c>
      <c r="F12" s="146">
        <f t="shared" si="4"/>
        <v>21257769</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21928200</v>
      </c>
      <c r="S12" s="148"/>
      <c r="T12" s="148"/>
      <c r="U12" s="143"/>
    </row>
    <row r="13" spans="1:21" s="144" customFormat="1">
      <c r="A13" s="287" t="s">
        <v>903</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f>C13</f>
        <v>0</v>
      </c>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850431</v>
      </c>
      <c r="C17" s="147">
        <v>850431</v>
      </c>
      <c r="D17" s="147"/>
      <c r="E17" s="147">
        <f>C17-SUM(F17:Q17)</f>
        <v>850431</v>
      </c>
      <c r="F17" s="147"/>
      <c r="G17" s="147"/>
      <c r="H17" s="147"/>
      <c r="I17" s="147"/>
      <c r="J17" s="147"/>
      <c r="K17" s="147"/>
      <c r="L17" s="147"/>
      <c r="M17" s="147"/>
      <c r="N17" s="147"/>
      <c r="O17" s="147"/>
      <c r="P17" s="147"/>
      <c r="Q17" s="147"/>
      <c r="R17" s="516">
        <f>SUM(E17:Q17)</f>
        <v>850431</v>
      </c>
      <c r="S17" s="147">
        <f t="shared" ref="S17:S25" si="7">C17</f>
        <v>850431</v>
      </c>
      <c r="T17" s="147"/>
      <c r="U17" s="143"/>
    </row>
    <row r="18" spans="1:21" s="144" customFormat="1">
      <c r="A18" s="145" t="s">
        <v>600</v>
      </c>
      <c r="B18" s="146">
        <f t="shared" si="6"/>
        <v>7304604</v>
      </c>
      <c r="C18" s="147">
        <v>7304604</v>
      </c>
      <c r="D18" s="147"/>
      <c r="E18" s="147">
        <f>C18-SUM(F18:Q18)</f>
        <v>2455810</v>
      </c>
      <c r="F18" s="147"/>
      <c r="G18" s="147">
        <f>G108</f>
        <v>1296726</v>
      </c>
      <c r="H18" s="147">
        <f>H108</f>
        <v>901469</v>
      </c>
      <c r="I18" s="147">
        <f>I108</f>
        <v>530599</v>
      </c>
      <c r="J18" s="147">
        <f>J108</f>
        <v>2120000</v>
      </c>
      <c r="K18" s="147"/>
      <c r="L18" s="147"/>
      <c r="M18" s="147"/>
      <c r="N18" s="147"/>
      <c r="O18" s="147"/>
      <c r="P18" s="147"/>
      <c r="Q18" s="147"/>
      <c r="R18" s="516">
        <f>SUM(E18:Q18)</f>
        <v>7304604</v>
      </c>
      <c r="S18" s="147">
        <f t="shared" si="7"/>
        <v>7304604</v>
      </c>
      <c r="T18" s="147"/>
      <c r="U18" s="143"/>
    </row>
    <row r="19" spans="1:21" s="144" customFormat="1">
      <c r="A19" s="145" t="s">
        <v>601</v>
      </c>
      <c r="B19" s="146">
        <f t="shared" si="6"/>
        <v>489302</v>
      </c>
      <c r="C19" s="147">
        <v>489302</v>
      </c>
      <c r="D19" s="147"/>
      <c r="E19" s="147">
        <f t="shared" ref="E19:E25" si="8">C19-SUM(F19:Q19)</f>
        <v>489302</v>
      </c>
      <c r="F19" s="147"/>
      <c r="G19" s="147"/>
      <c r="H19" s="147"/>
      <c r="I19" s="147"/>
      <c r="J19" s="147"/>
      <c r="K19" s="147"/>
      <c r="L19" s="147"/>
      <c r="M19" s="147"/>
      <c r="N19" s="147"/>
      <c r="O19" s="147"/>
      <c r="P19" s="147"/>
      <c r="Q19" s="147"/>
      <c r="R19" s="516">
        <f>SUM(E19:Q19)</f>
        <v>489302</v>
      </c>
      <c r="S19" s="147">
        <f t="shared" si="7"/>
        <v>489302</v>
      </c>
      <c r="T19" s="147"/>
      <c r="U19" s="143"/>
    </row>
    <row r="20" spans="1:21" s="144" customFormat="1">
      <c r="A20" s="145" t="s">
        <v>137</v>
      </c>
      <c r="B20" s="146">
        <f t="shared" si="6"/>
        <v>326202</v>
      </c>
      <c r="C20" s="147">
        <v>326202</v>
      </c>
      <c r="D20" s="147"/>
      <c r="E20" s="147">
        <f t="shared" si="8"/>
        <v>326202</v>
      </c>
      <c r="F20" s="147"/>
      <c r="G20" s="147"/>
      <c r="H20" s="147"/>
      <c r="I20" s="147"/>
      <c r="J20" s="147"/>
      <c r="K20" s="147"/>
      <c r="L20" s="147"/>
      <c r="M20" s="147"/>
      <c r="N20" s="147"/>
      <c r="O20" s="147"/>
      <c r="P20" s="147"/>
      <c r="Q20" s="147"/>
      <c r="R20" s="516">
        <f t="shared" ref="R20:R27" si="9">SUM(E20:Q20)</f>
        <v>326202</v>
      </c>
      <c r="S20" s="147">
        <f t="shared" si="7"/>
        <v>326202</v>
      </c>
      <c r="T20" s="147"/>
      <c r="U20" s="143"/>
    </row>
    <row r="21" spans="1:21" s="144" customFormat="1">
      <c r="A21" s="145" t="s">
        <v>138</v>
      </c>
      <c r="B21" s="146">
        <f t="shared" si="6"/>
        <v>326201</v>
      </c>
      <c r="C21" s="147">
        <v>326201</v>
      </c>
      <c r="D21" s="147"/>
      <c r="E21" s="147">
        <f t="shared" si="8"/>
        <v>326201</v>
      </c>
      <c r="F21" s="147"/>
      <c r="G21" s="147"/>
      <c r="H21" s="147"/>
      <c r="I21" s="147"/>
      <c r="J21" s="147"/>
      <c r="K21" s="147"/>
      <c r="L21" s="147"/>
      <c r="M21" s="147"/>
      <c r="N21" s="147"/>
      <c r="O21" s="147"/>
      <c r="P21" s="147"/>
      <c r="Q21" s="147"/>
      <c r="R21" s="516">
        <f t="shared" si="9"/>
        <v>326201</v>
      </c>
      <c r="S21" s="147">
        <f t="shared" si="7"/>
        <v>326201</v>
      </c>
      <c r="T21" s="147"/>
      <c r="U21" s="143"/>
    </row>
    <row r="22" spans="1:21" s="144" customFormat="1">
      <c r="A22" s="145" t="s">
        <v>139</v>
      </c>
      <c r="B22" s="146">
        <f t="shared" si="6"/>
        <v>0</v>
      </c>
      <c r="C22" s="147"/>
      <c r="D22" s="147"/>
      <c r="E22" s="147">
        <f t="shared" si="8"/>
        <v>0</v>
      </c>
      <c r="F22" s="147"/>
      <c r="G22" s="147"/>
      <c r="H22" s="147"/>
      <c r="I22" s="147"/>
      <c r="J22" s="147"/>
      <c r="K22" s="147"/>
      <c r="L22" s="147"/>
      <c r="M22" s="147"/>
      <c r="N22" s="147"/>
      <c r="O22" s="147"/>
      <c r="P22" s="147"/>
      <c r="Q22" s="147"/>
      <c r="R22" s="516">
        <f t="shared" si="9"/>
        <v>0</v>
      </c>
      <c r="S22" s="147">
        <f t="shared" si="7"/>
        <v>0</v>
      </c>
      <c r="T22" s="147"/>
      <c r="U22" s="143"/>
    </row>
    <row r="23" spans="1:21" s="144" customFormat="1">
      <c r="A23" s="145" t="s">
        <v>140</v>
      </c>
      <c r="B23" s="146">
        <f t="shared" si="6"/>
        <v>93783</v>
      </c>
      <c r="C23" s="147">
        <v>93783</v>
      </c>
      <c r="D23" s="147"/>
      <c r="E23" s="147">
        <f t="shared" si="8"/>
        <v>93783</v>
      </c>
      <c r="F23" s="147"/>
      <c r="G23" s="147"/>
      <c r="H23" s="147"/>
      <c r="I23" s="147"/>
      <c r="J23" s="147"/>
      <c r="K23" s="147"/>
      <c r="L23" s="147"/>
      <c r="M23" s="147"/>
      <c r="N23" s="147"/>
      <c r="O23" s="147"/>
      <c r="P23" s="147"/>
      <c r="Q23" s="147"/>
      <c r="R23" s="516">
        <f t="shared" si="9"/>
        <v>93783</v>
      </c>
      <c r="S23" s="147">
        <f t="shared" si="7"/>
        <v>93783</v>
      </c>
      <c r="T23" s="147"/>
      <c r="U23" s="143"/>
    </row>
    <row r="24" spans="1:21" s="144" customFormat="1">
      <c r="A24" s="508" t="s">
        <v>1641</v>
      </c>
      <c r="B24" s="146">
        <f t="shared" si="6"/>
        <v>0</v>
      </c>
      <c r="C24" s="147"/>
      <c r="D24" s="147"/>
      <c r="E24" s="147">
        <f t="shared" si="8"/>
        <v>0</v>
      </c>
      <c r="F24" s="147"/>
      <c r="G24" s="147"/>
      <c r="H24" s="147"/>
      <c r="I24" s="147"/>
      <c r="J24" s="147"/>
      <c r="K24" s="147"/>
      <c r="L24" s="147"/>
      <c r="M24" s="147"/>
      <c r="N24" s="147"/>
      <c r="O24" s="147"/>
      <c r="P24" s="147"/>
      <c r="Q24" s="147"/>
      <c r="R24" s="516">
        <f t="shared" si="9"/>
        <v>0</v>
      </c>
      <c r="S24" s="147">
        <f t="shared" si="7"/>
        <v>0</v>
      </c>
      <c r="T24" s="147"/>
      <c r="U24" s="143"/>
    </row>
    <row r="25" spans="1:21" s="144" customFormat="1">
      <c r="A25" s="1149" t="s">
        <v>34</v>
      </c>
      <c r="B25" s="146">
        <f t="shared" si="6"/>
        <v>0</v>
      </c>
      <c r="C25" s="147"/>
      <c r="D25" s="147"/>
      <c r="E25" s="147">
        <f t="shared" si="8"/>
        <v>0</v>
      </c>
      <c r="F25" s="147"/>
      <c r="G25" s="147"/>
      <c r="H25" s="147"/>
      <c r="I25" s="147"/>
      <c r="J25" s="147"/>
      <c r="K25" s="147"/>
      <c r="L25" s="147"/>
      <c r="M25" s="147"/>
      <c r="N25" s="147"/>
      <c r="O25" s="147"/>
      <c r="P25" s="147"/>
      <c r="Q25" s="147"/>
      <c r="R25" s="516">
        <f t="shared" si="9"/>
        <v>0</v>
      </c>
      <c r="S25" s="147">
        <f t="shared" si="7"/>
        <v>0</v>
      </c>
      <c r="T25" s="147"/>
      <c r="U25" s="143"/>
    </row>
    <row r="26" spans="1:21" s="144" customFormat="1">
      <c r="A26" s="149" t="s">
        <v>133</v>
      </c>
      <c r="B26" s="146">
        <f t="shared" si="6"/>
        <v>9390523</v>
      </c>
      <c r="C26" s="146">
        <f>SUM(C17:C25)</f>
        <v>9390523</v>
      </c>
      <c r="D26" s="146">
        <f t="shared" ref="D26:Q26" si="10">SUM(D17:D25)</f>
        <v>0</v>
      </c>
      <c r="E26" s="146">
        <f t="shared" si="10"/>
        <v>4541729</v>
      </c>
      <c r="F26" s="146">
        <f t="shared" si="10"/>
        <v>0</v>
      </c>
      <c r="G26" s="146">
        <f t="shared" si="10"/>
        <v>1296726</v>
      </c>
      <c r="H26" s="146">
        <f t="shared" si="10"/>
        <v>901469</v>
      </c>
      <c r="I26" s="146">
        <f t="shared" si="10"/>
        <v>530599</v>
      </c>
      <c r="J26" s="146">
        <f t="shared" si="10"/>
        <v>2120000</v>
      </c>
      <c r="K26" s="146">
        <f t="shared" si="10"/>
        <v>0</v>
      </c>
      <c r="L26" s="146">
        <f t="shared" si="10"/>
        <v>0</v>
      </c>
      <c r="M26" s="146">
        <f t="shared" si="10"/>
        <v>0</v>
      </c>
      <c r="N26" s="146">
        <f t="shared" si="10"/>
        <v>0</v>
      </c>
      <c r="O26" s="146">
        <f t="shared" si="10"/>
        <v>0</v>
      </c>
      <c r="P26" s="146">
        <f t="shared" si="10"/>
        <v>0</v>
      </c>
      <c r="Q26" s="146">
        <f t="shared" si="10"/>
        <v>0</v>
      </c>
      <c r="R26" s="342">
        <f>SUM(R17:R25)</f>
        <v>9390523</v>
      </c>
      <c r="S26" s="150">
        <f>SUM(S17:S25)</f>
        <v>9390523</v>
      </c>
      <c r="T26" s="150">
        <f>SUM(T17:T25)</f>
        <v>0</v>
      </c>
      <c r="U26" s="143"/>
    </row>
    <row r="27" spans="1:21" s="144" customFormat="1">
      <c r="A27" s="149" t="s">
        <v>141</v>
      </c>
      <c r="B27" s="146">
        <f>SUM(C27:D27)</f>
        <v>796645</v>
      </c>
      <c r="C27" s="147">
        <v>796645</v>
      </c>
      <c r="D27" s="147"/>
      <c r="E27" s="147">
        <f>C27-SUM(F27:Q27)</f>
        <v>796645</v>
      </c>
      <c r="F27" s="147"/>
      <c r="G27" s="147"/>
      <c r="H27" s="147"/>
      <c r="I27" s="147"/>
      <c r="J27" s="147"/>
      <c r="K27" s="147"/>
      <c r="L27" s="147"/>
      <c r="M27" s="147"/>
      <c r="N27" s="147"/>
      <c r="O27" s="147"/>
      <c r="P27" s="147"/>
      <c r="Q27" s="147"/>
      <c r="R27" s="516">
        <f t="shared" si="9"/>
        <v>796645</v>
      </c>
      <c r="S27" s="147">
        <v>746645</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1">SUM(C29+D29)</f>
        <v>0</v>
      </c>
      <c r="C29" s="147"/>
      <c r="D29" s="147"/>
      <c r="E29" s="147">
        <f t="shared" ref="E29:E37" si="12">C29-SUM(F29:Q29)</f>
        <v>0</v>
      </c>
      <c r="F29" s="147"/>
      <c r="G29" s="147"/>
      <c r="H29" s="147"/>
      <c r="I29" s="147"/>
      <c r="J29" s="147"/>
      <c r="K29" s="147"/>
      <c r="L29" s="147"/>
      <c r="M29" s="147"/>
      <c r="N29" s="147"/>
      <c r="O29" s="147"/>
      <c r="P29" s="147"/>
      <c r="Q29" s="147"/>
      <c r="R29" s="516">
        <f t="shared" ref="R29:R37" si="13">SUM(E29:Q29)</f>
        <v>0</v>
      </c>
      <c r="S29" s="147">
        <f t="shared" ref="S29:S37" si="14">C29</f>
        <v>0</v>
      </c>
      <c r="T29" s="147"/>
      <c r="U29" s="143"/>
    </row>
    <row r="30" spans="1:21" s="144" customFormat="1">
      <c r="A30" s="145" t="s">
        <v>600</v>
      </c>
      <c r="B30" s="146">
        <f t="shared" si="11"/>
        <v>0</v>
      </c>
      <c r="C30" s="147"/>
      <c r="D30" s="147"/>
      <c r="E30" s="147">
        <f t="shared" si="12"/>
        <v>0</v>
      </c>
      <c r="F30" s="147"/>
      <c r="G30" s="147"/>
      <c r="H30" s="147"/>
      <c r="I30" s="147"/>
      <c r="J30" s="147"/>
      <c r="K30" s="147"/>
      <c r="L30" s="147"/>
      <c r="M30" s="147"/>
      <c r="N30" s="147"/>
      <c r="O30" s="147"/>
      <c r="P30" s="147"/>
      <c r="Q30" s="147"/>
      <c r="R30" s="516">
        <f t="shared" si="13"/>
        <v>0</v>
      </c>
      <c r="S30" s="147">
        <f t="shared" si="14"/>
        <v>0</v>
      </c>
      <c r="T30" s="147"/>
      <c r="U30" s="143"/>
    </row>
    <row r="31" spans="1:21" s="144" customFormat="1">
      <c r="A31" s="145" t="s">
        <v>601</v>
      </c>
      <c r="B31" s="146">
        <f t="shared" si="11"/>
        <v>0</v>
      </c>
      <c r="C31" s="147"/>
      <c r="D31" s="147"/>
      <c r="E31" s="147">
        <f t="shared" si="12"/>
        <v>0</v>
      </c>
      <c r="F31" s="147"/>
      <c r="G31" s="147"/>
      <c r="H31" s="147"/>
      <c r="I31" s="147"/>
      <c r="J31" s="147"/>
      <c r="K31" s="147"/>
      <c r="L31" s="147"/>
      <c r="M31" s="147"/>
      <c r="N31" s="147"/>
      <c r="O31" s="147"/>
      <c r="P31" s="147"/>
      <c r="Q31" s="147"/>
      <c r="R31" s="516">
        <f t="shared" si="13"/>
        <v>0</v>
      </c>
      <c r="S31" s="147">
        <f t="shared" si="14"/>
        <v>0</v>
      </c>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16">
        <f t="shared" si="13"/>
        <v>0</v>
      </c>
      <c r="S32" s="147">
        <f t="shared" si="14"/>
        <v>0</v>
      </c>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6">
        <f t="shared" si="13"/>
        <v>0</v>
      </c>
      <c r="S33" s="147">
        <f t="shared" si="14"/>
        <v>0</v>
      </c>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6">
        <f t="shared" si="13"/>
        <v>0</v>
      </c>
      <c r="S34" s="147">
        <f t="shared" si="14"/>
        <v>0</v>
      </c>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16">
        <f t="shared" si="13"/>
        <v>0</v>
      </c>
      <c r="S35" s="147">
        <f t="shared" si="14"/>
        <v>0</v>
      </c>
      <c r="T35" s="147"/>
      <c r="U35" s="143"/>
    </row>
    <row r="36" spans="1:21" s="144" customFormat="1">
      <c r="A36" s="283" t="s">
        <v>1641</v>
      </c>
      <c r="B36" s="146">
        <f t="shared" si="11"/>
        <v>0</v>
      </c>
      <c r="C36" s="147"/>
      <c r="D36" s="147"/>
      <c r="E36" s="147">
        <f t="shared" si="12"/>
        <v>0</v>
      </c>
      <c r="F36" s="147"/>
      <c r="G36" s="147"/>
      <c r="H36" s="147"/>
      <c r="I36" s="147"/>
      <c r="J36" s="147"/>
      <c r="K36" s="147"/>
      <c r="L36" s="147"/>
      <c r="M36" s="147"/>
      <c r="N36" s="147"/>
      <c r="O36" s="147"/>
      <c r="P36" s="147"/>
      <c r="Q36" s="147"/>
      <c r="R36" s="516">
        <f t="shared" si="13"/>
        <v>0</v>
      </c>
      <c r="S36" s="147">
        <f t="shared" si="14"/>
        <v>0</v>
      </c>
      <c r="T36" s="147"/>
      <c r="U36" s="143"/>
    </row>
    <row r="37" spans="1:21" s="144" customFormat="1">
      <c r="A37" s="1149" t="s">
        <v>34</v>
      </c>
      <c r="B37" s="146">
        <f t="shared" si="11"/>
        <v>0</v>
      </c>
      <c r="C37" s="147"/>
      <c r="D37" s="147"/>
      <c r="E37" s="147">
        <f t="shared" si="12"/>
        <v>0</v>
      </c>
      <c r="F37" s="147"/>
      <c r="G37" s="147"/>
      <c r="H37" s="147"/>
      <c r="I37" s="147"/>
      <c r="J37" s="147"/>
      <c r="K37" s="147"/>
      <c r="L37" s="147"/>
      <c r="M37" s="147"/>
      <c r="N37" s="147"/>
      <c r="O37" s="147"/>
      <c r="P37" s="147"/>
      <c r="Q37" s="147"/>
      <c r="R37" s="516">
        <f t="shared" si="13"/>
        <v>0</v>
      </c>
      <c r="S37" s="147">
        <f t="shared" si="14"/>
        <v>0</v>
      </c>
      <c r="T37" s="147"/>
      <c r="U37" s="143"/>
    </row>
    <row r="38" spans="1:21" s="144" customFormat="1">
      <c r="A38" s="149" t="s">
        <v>143</v>
      </c>
      <c r="B38" s="146">
        <f t="shared" si="11"/>
        <v>0</v>
      </c>
      <c r="C38" s="146">
        <f>SUM(C29:C37)</f>
        <v>0</v>
      </c>
      <c r="D38" s="146">
        <f t="shared" ref="D38:Q38" si="15">SUM(D29:D37)</f>
        <v>0</v>
      </c>
      <c r="E38" s="146">
        <f t="shared" si="15"/>
        <v>0</v>
      </c>
      <c r="F38" s="146">
        <f t="shared" si="15"/>
        <v>0</v>
      </c>
      <c r="G38" s="146">
        <f t="shared" si="15"/>
        <v>0</v>
      </c>
      <c r="H38" s="146">
        <f t="shared" si="15"/>
        <v>0</v>
      </c>
      <c r="I38" s="146">
        <f t="shared" si="15"/>
        <v>0</v>
      </c>
      <c r="J38" s="146">
        <f t="shared" si="15"/>
        <v>0</v>
      </c>
      <c r="K38" s="146">
        <f t="shared" si="15"/>
        <v>0</v>
      </c>
      <c r="L38" s="146">
        <f t="shared" si="15"/>
        <v>0</v>
      </c>
      <c r="M38" s="146">
        <f t="shared" si="15"/>
        <v>0</v>
      </c>
      <c r="N38" s="146">
        <f t="shared" si="15"/>
        <v>0</v>
      </c>
      <c r="O38" s="146">
        <f t="shared" si="15"/>
        <v>0</v>
      </c>
      <c r="P38" s="146">
        <f t="shared" si="15"/>
        <v>0</v>
      </c>
      <c r="Q38" s="146">
        <f t="shared" si="15"/>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225000</v>
      </c>
      <c r="C40" s="147">
        <v>225000</v>
      </c>
      <c r="D40" s="147"/>
      <c r="E40" s="147">
        <f t="shared" ref="E40:E41" si="16">C40-SUM(F40:Q40)</f>
        <v>225000</v>
      </c>
      <c r="F40" s="147"/>
      <c r="G40" s="147"/>
      <c r="H40" s="147"/>
      <c r="I40" s="147"/>
      <c r="J40" s="147"/>
      <c r="K40" s="147"/>
      <c r="L40" s="147"/>
      <c r="M40" s="147"/>
      <c r="N40" s="147"/>
      <c r="O40" s="147"/>
      <c r="P40" s="147"/>
      <c r="Q40" s="147"/>
      <c r="R40" s="516">
        <f>SUM(E40:Q40)</f>
        <v>225000</v>
      </c>
      <c r="S40" s="147">
        <f>C40</f>
        <v>225000</v>
      </c>
      <c r="T40" s="147"/>
      <c r="U40" s="143"/>
    </row>
    <row r="41" spans="1:21" s="144" customFormat="1">
      <c r="A41" s="145" t="s">
        <v>146</v>
      </c>
      <c r="B41" s="146">
        <f>SUM(C41+D41)</f>
        <v>60000</v>
      </c>
      <c r="C41" s="147">
        <v>60000</v>
      </c>
      <c r="D41" s="147"/>
      <c r="E41" s="147">
        <f t="shared" si="16"/>
        <v>60000</v>
      </c>
      <c r="F41" s="147"/>
      <c r="G41" s="147"/>
      <c r="H41" s="147"/>
      <c r="I41" s="147"/>
      <c r="J41" s="147"/>
      <c r="K41" s="147"/>
      <c r="L41" s="147"/>
      <c r="M41" s="147"/>
      <c r="N41" s="147"/>
      <c r="O41" s="147"/>
      <c r="P41" s="147"/>
      <c r="Q41" s="147"/>
      <c r="R41" s="516">
        <f>SUM(E41:Q41)</f>
        <v>60000</v>
      </c>
      <c r="S41" s="147">
        <f>C41</f>
        <v>60000</v>
      </c>
      <c r="T41" s="147"/>
      <c r="U41" s="143"/>
    </row>
    <row r="42" spans="1:21" s="144" customFormat="1">
      <c r="A42" s="149" t="s">
        <v>147</v>
      </c>
      <c r="B42" s="146">
        <f>SUM(C42:D42)</f>
        <v>285000</v>
      </c>
      <c r="C42" s="146">
        <f>SUM(C39:C41)</f>
        <v>285000</v>
      </c>
      <c r="D42" s="146">
        <f>SUM(D39:D41)</f>
        <v>0</v>
      </c>
      <c r="E42" s="146">
        <f t="shared" ref="E42:T42" si="17">SUM(E40:E41)</f>
        <v>285000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285000</v>
      </c>
      <c r="S42" s="150">
        <f t="shared" si="17"/>
        <v>285000</v>
      </c>
      <c r="T42" s="150">
        <f t="shared" si="17"/>
        <v>0</v>
      </c>
      <c r="U42" s="143"/>
    </row>
    <row r="43" spans="1:21" s="144" customFormat="1">
      <c r="A43" s="149" t="s">
        <v>148</v>
      </c>
      <c r="B43" s="146">
        <f>SUM(C43:D43)</f>
        <v>90000</v>
      </c>
      <c r="C43" s="147">
        <v>90000</v>
      </c>
      <c r="D43" s="147"/>
      <c r="E43" s="147">
        <f>C43-SUM(F43:Q43)</f>
        <v>90000</v>
      </c>
      <c r="F43" s="147"/>
      <c r="G43" s="147"/>
      <c r="H43" s="147"/>
      <c r="I43" s="147"/>
      <c r="J43" s="147"/>
      <c r="K43" s="147"/>
      <c r="L43" s="147"/>
      <c r="M43" s="147"/>
      <c r="N43" s="147"/>
      <c r="O43" s="147"/>
      <c r="P43" s="147"/>
      <c r="Q43" s="147"/>
      <c r="R43" s="516">
        <f>SUM(E43:Q43)</f>
        <v>90000</v>
      </c>
      <c r="S43" s="147">
        <f>C43</f>
        <v>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2139803</v>
      </c>
      <c r="C45" s="147">
        <v>2139803</v>
      </c>
      <c r="D45" s="147"/>
      <c r="E45" s="147">
        <f t="shared" ref="E45:E53" si="19">C45-SUM(F45:Q45)</f>
        <v>2139803</v>
      </c>
      <c r="F45" s="147"/>
      <c r="G45" s="147"/>
      <c r="H45" s="147"/>
      <c r="I45" s="147"/>
      <c r="J45" s="147"/>
      <c r="K45" s="147"/>
      <c r="L45" s="147"/>
      <c r="M45" s="147"/>
      <c r="N45" s="147"/>
      <c r="O45" s="147"/>
      <c r="P45" s="147"/>
      <c r="Q45" s="147"/>
      <c r="R45" s="516">
        <f t="shared" ref="R45:R53" si="20">SUM(E45:Q45)</f>
        <v>2139803</v>
      </c>
      <c r="S45" s="147">
        <f>1328185+1</f>
        <v>1328186</v>
      </c>
      <c r="T45" s="147"/>
      <c r="U45" s="143"/>
    </row>
    <row r="46" spans="1:21" s="144" customFormat="1">
      <c r="A46" s="145" t="s">
        <v>151</v>
      </c>
      <c r="B46" s="146">
        <f t="shared" si="18"/>
        <v>363881</v>
      </c>
      <c r="C46" s="147">
        <v>363881</v>
      </c>
      <c r="D46" s="147"/>
      <c r="E46" s="147">
        <f t="shared" si="19"/>
        <v>363881</v>
      </c>
      <c r="F46" s="147"/>
      <c r="G46" s="147"/>
      <c r="H46" s="147"/>
      <c r="I46" s="147"/>
      <c r="J46" s="147"/>
      <c r="K46" s="147"/>
      <c r="L46" s="147"/>
      <c r="M46" s="147"/>
      <c r="N46" s="147"/>
      <c r="O46" s="147"/>
      <c r="P46" s="147"/>
      <c r="Q46" s="147"/>
      <c r="R46" s="516">
        <f t="shared" si="20"/>
        <v>363881</v>
      </c>
      <c r="S46" s="147">
        <v>111189</v>
      </c>
      <c r="T46" s="147"/>
      <c r="U46" s="143"/>
    </row>
    <row r="47" spans="1:21" s="144" customFormat="1">
      <c r="A47" s="186" t="s">
        <v>152</v>
      </c>
      <c r="B47" s="146">
        <f t="shared" si="18"/>
        <v>0</v>
      </c>
      <c r="C47" s="147"/>
      <c r="D47" s="147"/>
      <c r="E47" s="147">
        <f t="shared" si="19"/>
        <v>0</v>
      </c>
      <c r="F47" s="147"/>
      <c r="G47" s="147"/>
      <c r="H47" s="147"/>
      <c r="I47" s="147"/>
      <c r="J47" s="147"/>
      <c r="K47" s="147"/>
      <c r="L47" s="147"/>
      <c r="M47" s="147"/>
      <c r="N47" s="147"/>
      <c r="O47" s="147"/>
      <c r="P47" s="147"/>
      <c r="Q47" s="147"/>
      <c r="R47" s="516">
        <f t="shared" si="20"/>
        <v>0</v>
      </c>
      <c r="S47" s="147">
        <f>C47</f>
        <v>0</v>
      </c>
      <c r="T47" s="147"/>
      <c r="U47" s="143"/>
    </row>
    <row r="48" spans="1:21" s="144" customFormat="1">
      <c r="A48" s="145" t="s">
        <v>153</v>
      </c>
      <c r="B48" s="146">
        <f t="shared" si="18"/>
        <v>93783</v>
      </c>
      <c r="C48" s="147">
        <v>93783</v>
      </c>
      <c r="D48" s="147"/>
      <c r="E48" s="147">
        <f t="shared" si="19"/>
        <v>93783</v>
      </c>
      <c r="F48" s="147"/>
      <c r="G48" s="147"/>
      <c r="H48" s="147"/>
      <c r="I48" s="147"/>
      <c r="J48" s="147"/>
      <c r="K48" s="147"/>
      <c r="L48" s="147"/>
      <c r="M48" s="147"/>
      <c r="N48" s="147"/>
      <c r="O48" s="147"/>
      <c r="P48" s="147"/>
      <c r="Q48" s="147"/>
      <c r="R48" s="516">
        <f t="shared" si="20"/>
        <v>93783</v>
      </c>
      <c r="S48" s="147">
        <f>C48</f>
        <v>93783</v>
      </c>
      <c r="T48" s="147"/>
      <c r="U48" s="143"/>
    </row>
    <row r="49" spans="1:21" s="144" customFormat="1">
      <c r="A49" s="145" t="s">
        <v>57</v>
      </c>
      <c r="B49" s="146">
        <f t="shared" si="18"/>
        <v>304648</v>
      </c>
      <c r="C49" s="147">
        <v>304648</v>
      </c>
      <c r="D49" s="147"/>
      <c r="E49" s="147">
        <f t="shared" si="19"/>
        <v>304648</v>
      </c>
      <c r="F49" s="147"/>
      <c r="G49" s="147"/>
      <c r="H49" s="147"/>
      <c r="I49" s="147"/>
      <c r="J49" s="147"/>
      <c r="K49" s="147"/>
      <c r="L49" s="147"/>
      <c r="M49" s="147"/>
      <c r="N49" s="147"/>
      <c r="O49" s="147"/>
      <c r="P49" s="147"/>
      <c r="Q49" s="147"/>
      <c r="R49" s="516">
        <f t="shared" si="20"/>
        <v>304648</v>
      </c>
      <c r="S49" s="147">
        <v>11250</v>
      </c>
      <c r="T49" s="147"/>
      <c r="U49" s="143"/>
    </row>
    <row r="50" spans="1:21" s="144" customFormat="1">
      <c r="A50" s="145" t="s">
        <v>156</v>
      </c>
      <c r="B50" s="146">
        <f t="shared" si="18"/>
        <v>150000</v>
      </c>
      <c r="C50" s="147">
        <v>150000</v>
      </c>
      <c r="D50" s="147"/>
      <c r="E50" s="147">
        <f t="shared" si="19"/>
        <v>150000</v>
      </c>
      <c r="F50" s="147"/>
      <c r="G50" s="147"/>
      <c r="H50" s="147"/>
      <c r="I50" s="147"/>
      <c r="J50" s="147"/>
      <c r="K50" s="147"/>
      <c r="L50" s="147"/>
      <c r="M50" s="147"/>
      <c r="N50" s="147"/>
      <c r="O50" s="147"/>
      <c r="P50" s="147"/>
      <c r="Q50" s="147"/>
      <c r="R50" s="516">
        <f t="shared" si="20"/>
        <v>150000</v>
      </c>
      <c r="S50" s="147">
        <v>0</v>
      </c>
      <c r="T50" s="147"/>
      <c r="U50" s="143"/>
    </row>
    <row r="51" spans="1:21" s="144" customFormat="1">
      <c r="A51" s="283" t="s">
        <v>154</v>
      </c>
      <c r="B51" s="146">
        <f t="shared" si="18"/>
        <v>0</v>
      </c>
      <c r="C51" s="147"/>
      <c r="D51" s="147"/>
      <c r="E51" s="147">
        <f t="shared" si="19"/>
        <v>0</v>
      </c>
      <c r="F51" s="147"/>
      <c r="G51" s="147"/>
      <c r="H51" s="147"/>
      <c r="I51" s="147"/>
      <c r="J51" s="147"/>
      <c r="K51" s="147"/>
      <c r="L51" s="147"/>
      <c r="M51" s="147"/>
      <c r="N51" s="147"/>
      <c r="O51" s="147"/>
      <c r="P51" s="147"/>
      <c r="Q51" s="147"/>
      <c r="R51" s="516">
        <f t="shared" si="20"/>
        <v>0</v>
      </c>
      <c r="S51" s="147">
        <f>C51</f>
        <v>0</v>
      </c>
      <c r="T51" s="147"/>
      <c r="U51" s="143"/>
    </row>
    <row r="52" spans="1:21" s="144" customFormat="1">
      <c r="A52" s="145" t="s">
        <v>155</v>
      </c>
      <c r="B52" s="146">
        <f t="shared" si="18"/>
        <v>0</v>
      </c>
      <c r="C52" s="147"/>
      <c r="D52" s="147"/>
      <c r="E52" s="147">
        <f t="shared" si="19"/>
        <v>0</v>
      </c>
      <c r="F52" s="147"/>
      <c r="G52" s="147"/>
      <c r="H52" s="147"/>
      <c r="I52" s="147"/>
      <c r="J52" s="147"/>
      <c r="K52" s="147"/>
      <c r="L52" s="147"/>
      <c r="M52" s="147"/>
      <c r="N52" s="147"/>
      <c r="O52" s="147"/>
      <c r="P52" s="147"/>
      <c r="Q52" s="147"/>
      <c r="R52" s="516">
        <f t="shared" si="20"/>
        <v>0</v>
      </c>
      <c r="S52" s="147">
        <f>C52</f>
        <v>0</v>
      </c>
      <c r="T52" s="147"/>
      <c r="U52" s="143"/>
    </row>
    <row r="53" spans="1:21" s="144" customFormat="1">
      <c r="A53" s="1149" t="s">
        <v>34</v>
      </c>
      <c r="B53" s="146">
        <f t="shared" si="18"/>
        <v>0</v>
      </c>
      <c r="C53" s="147"/>
      <c r="D53" s="147"/>
      <c r="E53" s="147">
        <f t="shared" si="19"/>
        <v>0</v>
      </c>
      <c r="F53" s="147"/>
      <c r="G53" s="147"/>
      <c r="H53" s="147"/>
      <c r="I53" s="147"/>
      <c r="J53" s="147"/>
      <c r="K53" s="147"/>
      <c r="L53" s="147"/>
      <c r="M53" s="147"/>
      <c r="N53" s="147"/>
      <c r="O53" s="147"/>
      <c r="P53" s="147"/>
      <c r="Q53" s="147"/>
      <c r="R53" s="516">
        <f t="shared" si="20"/>
        <v>0</v>
      </c>
      <c r="S53" s="147">
        <f>C53</f>
        <v>0</v>
      </c>
      <c r="T53" s="147"/>
      <c r="U53" s="143"/>
    </row>
    <row r="54" spans="1:21" s="153" customFormat="1">
      <c r="A54" s="149" t="s">
        <v>157</v>
      </c>
      <c r="B54" s="150">
        <f>SUM(C54:D54)</f>
        <v>3052115</v>
      </c>
      <c r="C54" s="150">
        <f t="shared" ref="C54:T54" si="21">SUM(C45:C53)</f>
        <v>3052115</v>
      </c>
      <c r="D54" s="150">
        <f t="shared" si="21"/>
        <v>0</v>
      </c>
      <c r="E54" s="150">
        <f t="shared" si="21"/>
        <v>3052115</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2">
        <f t="shared" si="21"/>
        <v>3052115</v>
      </c>
      <c r="S54" s="150">
        <f t="shared" si="21"/>
        <v>1544408</v>
      </c>
      <c r="T54" s="150">
        <f t="shared" si="21"/>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0</v>
      </c>
      <c r="C56" s="147"/>
      <c r="D56" s="147"/>
      <c r="E56" s="147">
        <f t="shared" ref="E56:E61" si="23">C56-SUM(F56:Q56)</f>
        <v>0</v>
      </c>
      <c r="F56" s="147"/>
      <c r="G56" s="147"/>
      <c r="H56" s="147"/>
      <c r="I56" s="147"/>
      <c r="J56" s="147"/>
      <c r="K56" s="147"/>
      <c r="L56" s="147"/>
      <c r="M56" s="147"/>
      <c r="N56" s="147"/>
      <c r="O56" s="147"/>
      <c r="P56" s="147"/>
      <c r="Q56" s="147"/>
      <c r="R56" s="516">
        <f t="shared" ref="R56:R61" si="24">SUM(E56:Q56)</f>
        <v>0</v>
      </c>
      <c r="S56" s="148"/>
      <c r="T56" s="148"/>
      <c r="U56" s="143"/>
    </row>
    <row r="57" spans="1:21" s="192" customFormat="1">
      <c r="A57" s="186" t="s">
        <v>152</v>
      </c>
      <c r="B57" s="193">
        <f t="shared" si="22"/>
        <v>0</v>
      </c>
      <c r="C57" s="190"/>
      <c r="D57" s="190"/>
      <c r="E57" s="190">
        <f t="shared" si="23"/>
        <v>0</v>
      </c>
      <c r="F57" s="190"/>
      <c r="G57" s="190"/>
      <c r="H57" s="190"/>
      <c r="I57" s="190"/>
      <c r="J57" s="190"/>
      <c r="K57" s="190"/>
      <c r="L57" s="190"/>
      <c r="M57" s="190"/>
      <c r="N57" s="190"/>
      <c r="O57" s="190"/>
      <c r="P57" s="190"/>
      <c r="Q57" s="190"/>
      <c r="R57" s="516">
        <f t="shared" si="24"/>
        <v>0</v>
      </c>
      <c r="S57" s="194"/>
      <c r="T57" s="194"/>
      <c r="U57" s="191"/>
    </row>
    <row r="58" spans="1:21" s="144" customFormat="1">
      <c r="A58" s="145" t="s">
        <v>156</v>
      </c>
      <c r="B58" s="146">
        <f t="shared" si="22"/>
        <v>0</v>
      </c>
      <c r="C58" s="147"/>
      <c r="D58" s="147"/>
      <c r="E58" s="147">
        <f t="shared" si="23"/>
        <v>0</v>
      </c>
      <c r="F58" s="147"/>
      <c r="G58" s="147"/>
      <c r="H58" s="147"/>
      <c r="I58" s="147"/>
      <c r="J58" s="147"/>
      <c r="K58" s="147"/>
      <c r="L58" s="147"/>
      <c r="M58" s="147"/>
      <c r="N58" s="147"/>
      <c r="O58" s="147"/>
      <c r="P58" s="147"/>
      <c r="Q58" s="147"/>
      <c r="R58" s="516">
        <f t="shared" si="24"/>
        <v>0</v>
      </c>
      <c r="S58" s="148"/>
      <c r="T58" s="148"/>
      <c r="U58" s="143"/>
    </row>
    <row r="59" spans="1:21" s="144" customFormat="1">
      <c r="A59" s="283" t="s">
        <v>154</v>
      </c>
      <c r="B59" s="146">
        <f t="shared" si="22"/>
        <v>0</v>
      </c>
      <c r="C59" s="147"/>
      <c r="D59" s="147"/>
      <c r="E59" s="147">
        <f t="shared" si="23"/>
        <v>0</v>
      </c>
      <c r="F59" s="147"/>
      <c r="G59" s="147"/>
      <c r="H59" s="147"/>
      <c r="I59" s="147"/>
      <c r="J59" s="147"/>
      <c r="K59" s="147"/>
      <c r="L59" s="147"/>
      <c r="M59" s="147"/>
      <c r="N59" s="147"/>
      <c r="O59" s="147"/>
      <c r="P59" s="147"/>
      <c r="Q59" s="147"/>
      <c r="R59" s="516">
        <f t="shared" si="24"/>
        <v>0</v>
      </c>
      <c r="S59" s="148"/>
      <c r="T59" s="148"/>
      <c r="U59" s="143"/>
    </row>
    <row r="60" spans="1:21" s="144" customFormat="1">
      <c r="A60" s="145" t="s">
        <v>155</v>
      </c>
      <c r="B60" s="146">
        <f t="shared" si="22"/>
        <v>0</v>
      </c>
      <c r="C60" s="147"/>
      <c r="D60" s="147"/>
      <c r="E60" s="147">
        <f t="shared" si="23"/>
        <v>0</v>
      </c>
      <c r="F60" s="147"/>
      <c r="G60" s="147"/>
      <c r="H60" s="147"/>
      <c r="I60" s="147"/>
      <c r="J60" s="147"/>
      <c r="K60" s="147"/>
      <c r="L60" s="147"/>
      <c r="M60" s="147"/>
      <c r="N60" s="147"/>
      <c r="O60" s="147"/>
      <c r="P60" s="147"/>
      <c r="Q60" s="147"/>
      <c r="R60" s="516">
        <f t="shared" si="24"/>
        <v>0</v>
      </c>
      <c r="S60" s="148"/>
      <c r="T60" s="148"/>
      <c r="U60" s="143"/>
    </row>
    <row r="61" spans="1:21" s="144" customFormat="1">
      <c r="A61" s="1149" t="s">
        <v>2727</v>
      </c>
      <c r="B61" s="146">
        <f t="shared" si="22"/>
        <v>479625</v>
      </c>
      <c r="C61" s="147">
        <v>479625</v>
      </c>
      <c r="D61" s="147"/>
      <c r="E61" s="147">
        <f t="shared" si="23"/>
        <v>479625</v>
      </c>
      <c r="F61" s="147"/>
      <c r="G61" s="147"/>
      <c r="H61" s="147"/>
      <c r="I61" s="147"/>
      <c r="J61" s="147"/>
      <c r="K61" s="147"/>
      <c r="L61" s="147"/>
      <c r="M61" s="147"/>
      <c r="N61" s="147"/>
      <c r="O61" s="147"/>
      <c r="P61" s="147"/>
      <c r="Q61" s="147"/>
      <c r="R61" s="516">
        <f t="shared" si="24"/>
        <v>479625</v>
      </c>
      <c r="S61" s="148"/>
      <c r="T61" s="148"/>
      <c r="U61" s="143"/>
    </row>
    <row r="62" spans="1:21" s="144" customFormat="1" ht="13.7" customHeight="1">
      <c r="A62" s="149" t="s">
        <v>301</v>
      </c>
      <c r="B62" s="146">
        <f>SUM(C62:D62)</f>
        <v>479625</v>
      </c>
      <c r="C62" s="146">
        <f t="shared" ref="C62:R62" si="25">SUM(C56:C61)</f>
        <v>479625</v>
      </c>
      <c r="D62" s="146">
        <f t="shared" si="25"/>
        <v>0</v>
      </c>
      <c r="E62" s="146">
        <f t="shared" si="25"/>
        <v>479625</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479625</v>
      </c>
      <c r="S62" s="148"/>
      <c r="T62" s="148"/>
      <c r="U62" s="143"/>
    </row>
    <row r="63" spans="1:21" s="144" customFormat="1">
      <c r="A63" s="154" t="s">
        <v>302</v>
      </c>
      <c r="B63" s="146">
        <f t="shared" ref="B63:R63" si="26">SUM(B8+B11+B13+B14+B15+B26+B27+B38+B42+B43+B54+B62)</f>
        <v>36022108</v>
      </c>
      <c r="C63" s="146">
        <f t="shared" si="26"/>
        <v>36022108</v>
      </c>
      <c r="D63" s="146">
        <f t="shared" si="26"/>
        <v>0</v>
      </c>
      <c r="E63" s="146">
        <f t="shared" si="26"/>
        <v>9915545</v>
      </c>
      <c r="F63" s="146">
        <f t="shared" si="26"/>
        <v>21257769</v>
      </c>
      <c r="G63" s="146">
        <f t="shared" si="26"/>
        <v>1296726</v>
      </c>
      <c r="H63" s="146">
        <f t="shared" si="26"/>
        <v>901469</v>
      </c>
      <c r="I63" s="146">
        <f t="shared" si="26"/>
        <v>530599</v>
      </c>
      <c r="J63" s="146">
        <f t="shared" si="26"/>
        <v>2120000</v>
      </c>
      <c r="K63" s="146">
        <f t="shared" si="26"/>
        <v>0</v>
      </c>
      <c r="L63" s="146">
        <f t="shared" si="26"/>
        <v>0</v>
      </c>
      <c r="M63" s="146">
        <f t="shared" si="26"/>
        <v>0</v>
      </c>
      <c r="N63" s="146">
        <f t="shared" si="26"/>
        <v>0</v>
      </c>
      <c r="O63" s="146">
        <f t="shared" si="26"/>
        <v>0</v>
      </c>
      <c r="P63" s="146">
        <f t="shared" si="26"/>
        <v>0</v>
      </c>
      <c r="Q63" s="146">
        <f t="shared" si="26"/>
        <v>0</v>
      </c>
      <c r="R63" s="342">
        <f t="shared" si="26"/>
        <v>36022108</v>
      </c>
      <c r="S63" s="146">
        <f>SUM(S10+S13+S14+S15+S26+S27+S38+S42+S43+S54)</f>
        <v>12056576</v>
      </c>
      <c r="T63" s="146">
        <f>SUM(T11+T13+T14+T15+T26+T27+T38+T42+T43+T54)</f>
        <v>21928200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440000</v>
      </c>
      <c r="C65" s="147">
        <v>440000</v>
      </c>
      <c r="D65" s="147"/>
      <c r="E65" s="147">
        <f t="shared" ref="E65:E69" si="27">C65-SUM(F65:Q65)</f>
        <v>440000</v>
      </c>
      <c r="F65" s="147"/>
      <c r="G65" s="147"/>
      <c r="H65" s="147"/>
      <c r="I65" s="147"/>
      <c r="J65" s="147"/>
      <c r="K65" s="147"/>
      <c r="L65" s="147"/>
      <c r="M65" s="147"/>
      <c r="N65" s="147"/>
      <c r="O65" s="147"/>
      <c r="P65" s="147"/>
      <c r="Q65" s="147"/>
      <c r="R65" s="516">
        <f>SUM(E65:Q65)</f>
        <v>440000</v>
      </c>
      <c r="S65" s="147">
        <v>0</v>
      </c>
      <c r="T65" s="147"/>
      <c r="U65" s="143"/>
    </row>
    <row r="66" spans="1:21" s="144" customFormat="1" ht="24" customHeight="1">
      <c r="A66" s="283" t="s">
        <v>1642</v>
      </c>
      <c r="B66" s="146">
        <f>SUM(C66+D66)</f>
        <v>200000</v>
      </c>
      <c r="C66" s="147">
        <v>200000</v>
      </c>
      <c r="D66" s="147"/>
      <c r="E66" s="147">
        <f t="shared" si="27"/>
        <v>200000</v>
      </c>
      <c r="F66" s="147"/>
      <c r="G66" s="147"/>
      <c r="H66" s="147"/>
      <c r="I66" s="147"/>
      <c r="J66" s="147"/>
      <c r="K66" s="147"/>
      <c r="L66" s="147"/>
      <c r="M66" s="147"/>
      <c r="N66" s="147"/>
      <c r="O66" s="147"/>
      <c r="P66" s="147"/>
      <c r="Q66" s="147"/>
      <c r="R66" s="516">
        <f>SUM(E66:Q66)</f>
        <v>200000</v>
      </c>
      <c r="S66" s="147">
        <f>C66</f>
        <v>200000</v>
      </c>
      <c r="T66" s="147"/>
      <c r="U66" s="143"/>
    </row>
    <row r="67" spans="1:21" s="144" customFormat="1" ht="24" customHeight="1">
      <c r="A67" s="283" t="s">
        <v>1643</v>
      </c>
      <c r="B67" s="146">
        <f>SUM(C67+D67)</f>
        <v>60000</v>
      </c>
      <c r="C67" s="147">
        <v>60000</v>
      </c>
      <c r="D67" s="147"/>
      <c r="E67" s="147">
        <f t="shared" si="27"/>
        <v>60000</v>
      </c>
      <c r="F67" s="147"/>
      <c r="G67" s="147"/>
      <c r="H67" s="147"/>
      <c r="I67" s="147"/>
      <c r="J67" s="147"/>
      <c r="K67" s="147"/>
      <c r="L67" s="147"/>
      <c r="M67" s="147"/>
      <c r="N67" s="147"/>
      <c r="O67" s="147"/>
      <c r="P67" s="147"/>
      <c r="Q67" s="147"/>
      <c r="R67" s="516">
        <f>SUM(E67:Q67)</f>
        <v>60000</v>
      </c>
      <c r="S67" s="147">
        <f>C67</f>
        <v>60000</v>
      </c>
      <c r="T67" s="147"/>
      <c r="U67" s="143"/>
    </row>
    <row r="68" spans="1:21" s="144" customFormat="1" ht="12" customHeight="1">
      <c r="A68" s="283" t="s">
        <v>1649</v>
      </c>
      <c r="B68" s="146">
        <f>SUM(C68+D68)</f>
        <v>0</v>
      </c>
      <c r="C68" s="147"/>
      <c r="D68" s="147"/>
      <c r="E68" s="147">
        <f t="shared" si="27"/>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9" t="s">
        <v>2726</v>
      </c>
      <c r="B69" s="146">
        <f>SUM(C69+D69)</f>
        <v>116000</v>
      </c>
      <c r="C69" s="147">
        <v>116000</v>
      </c>
      <c r="D69" s="147"/>
      <c r="E69" s="147">
        <f t="shared" si="27"/>
        <v>116000</v>
      </c>
      <c r="F69" s="147"/>
      <c r="G69" s="147"/>
      <c r="H69" s="147"/>
      <c r="I69" s="147"/>
      <c r="J69" s="147"/>
      <c r="K69" s="147"/>
      <c r="L69" s="147"/>
      <c r="M69" s="147"/>
      <c r="N69" s="147"/>
      <c r="O69" s="147"/>
      <c r="P69" s="147"/>
      <c r="Q69" s="147"/>
      <c r="R69" s="516">
        <f>SUM(E69:Q69)</f>
        <v>116000</v>
      </c>
      <c r="S69" s="147">
        <v>26000</v>
      </c>
      <c r="T69" s="147"/>
      <c r="U69" s="143"/>
    </row>
    <row r="70" spans="1:21" s="144" customFormat="1">
      <c r="A70" s="149" t="s">
        <v>1646</v>
      </c>
      <c r="B70" s="146">
        <f>SUM(C70:D70)</f>
        <v>816000</v>
      </c>
      <c r="C70" s="146">
        <f>SUM(C65:C69)</f>
        <v>816000</v>
      </c>
      <c r="D70" s="146">
        <f>SUM(D65:D69)</f>
        <v>0</v>
      </c>
      <c r="E70" s="146">
        <f t="shared" ref="E70:T70" si="28">SUM(E65:E69)</f>
        <v>816000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816000</v>
      </c>
      <c r="S70" s="150">
        <f t="shared" si="28"/>
        <v>286000</v>
      </c>
      <c r="T70" s="150">
        <f t="shared" si="2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9">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9"/>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31800</v>
      </c>
      <c r="C74" s="147">
        <v>31800</v>
      </c>
      <c r="D74" s="147"/>
      <c r="E74" s="147">
        <f t="shared" si="29"/>
        <v>31800</v>
      </c>
      <c r="F74" s="147"/>
      <c r="G74" s="147"/>
      <c r="H74" s="147"/>
      <c r="I74" s="147"/>
      <c r="J74" s="147"/>
      <c r="K74" s="147"/>
      <c r="L74" s="147"/>
      <c r="M74" s="147"/>
      <c r="N74" s="147"/>
      <c r="O74" s="147"/>
      <c r="P74" s="147"/>
      <c r="Q74" s="147"/>
      <c r="R74" s="516">
        <f>SUM(E74:Q74)</f>
        <v>31800</v>
      </c>
      <c r="S74" s="148"/>
      <c r="T74" s="148"/>
      <c r="U74" s="143"/>
    </row>
    <row r="75" spans="1:21" s="144" customFormat="1">
      <c r="A75" s="145" t="s">
        <v>606</v>
      </c>
      <c r="B75" s="146">
        <f>SUM(C75+D75)</f>
        <v>577308</v>
      </c>
      <c r="C75" s="147">
        <v>577308</v>
      </c>
      <c r="D75" s="147"/>
      <c r="E75" s="147">
        <f t="shared" si="29"/>
        <v>577308</v>
      </c>
      <c r="F75" s="147"/>
      <c r="G75" s="147"/>
      <c r="H75" s="147"/>
      <c r="I75" s="147"/>
      <c r="J75" s="147"/>
      <c r="K75" s="147"/>
      <c r="L75" s="147"/>
      <c r="M75" s="147"/>
      <c r="N75" s="147"/>
      <c r="O75" s="147"/>
      <c r="P75" s="147"/>
      <c r="Q75" s="147"/>
      <c r="R75" s="516">
        <f>SUM(E75:Q75)</f>
        <v>577308</v>
      </c>
      <c r="S75" s="148"/>
      <c r="T75" s="148"/>
      <c r="U75" s="143"/>
    </row>
    <row r="76" spans="1:21" s="144" customFormat="1">
      <c r="A76" s="1149" t="s">
        <v>2733</v>
      </c>
      <c r="B76" s="146">
        <f>SUM(C76+D76)</f>
        <v>259600</v>
      </c>
      <c r="C76" s="147">
        <v>259600</v>
      </c>
      <c r="D76" s="147"/>
      <c r="E76" s="147">
        <f t="shared" si="29"/>
        <v>259600</v>
      </c>
      <c r="F76" s="147"/>
      <c r="G76" s="147"/>
      <c r="H76" s="147"/>
      <c r="I76" s="147"/>
      <c r="J76" s="147"/>
      <c r="K76" s="147"/>
      <c r="L76" s="147"/>
      <c r="M76" s="147"/>
      <c r="N76" s="147"/>
      <c r="O76" s="147"/>
      <c r="P76" s="147"/>
      <c r="Q76" s="147"/>
      <c r="R76" s="516">
        <f>SUM(E76:Q76)</f>
        <v>259600</v>
      </c>
      <c r="S76" s="148"/>
      <c r="T76" s="148"/>
      <c r="U76" s="143"/>
    </row>
    <row r="77" spans="1:21" s="144" customFormat="1">
      <c r="A77" s="149" t="s">
        <v>607</v>
      </c>
      <c r="B77" s="146">
        <f>SUM(C77:D77)</f>
        <v>868708</v>
      </c>
      <c r="C77" s="146">
        <f>SUM(C72:C76)</f>
        <v>868708</v>
      </c>
      <c r="D77" s="146">
        <f>SUM(D72:D76)</f>
        <v>0</v>
      </c>
      <c r="E77" s="146">
        <f t="shared" ref="E77:Q77" si="30">SUM(E72:E76)</f>
        <v>868708</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868708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939052</v>
      </c>
      <c r="C79" s="147">
        <v>939052</v>
      </c>
      <c r="D79" s="147"/>
      <c r="E79" s="147">
        <f t="shared" ref="E79:E80" si="31">C79-SUM(F79:Q79)</f>
        <v>939052</v>
      </c>
      <c r="F79" s="147"/>
      <c r="G79" s="147"/>
      <c r="H79" s="147"/>
      <c r="I79" s="147"/>
      <c r="J79" s="147"/>
      <c r="K79" s="147"/>
      <c r="L79" s="147"/>
      <c r="M79" s="147"/>
      <c r="N79" s="147"/>
      <c r="O79" s="147"/>
      <c r="P79" s="147"/>
      <c r="Q79" s="147"/>
      <c r="R79" s="516">
        <f>SUM(E79:Q79)</f>
        <v>939052</v>
      </c>
      <c r="S79" s="147">
        <f>C79</f>
        <v>939052</v>
      </c>
      <c r="T79" s="147"/>
      <c r="U79" s="143"/>
    </row>
    <row r="80" spans="1:21" s="144" customFormat="1">
      <c r="A80" s="283" t="s">
        <v>58</v>
      </c>
      <c r="B80" s="146">
        <f>SUM(C80:D80)</f>
        <v>339160</v>
      </c>
      <c r="C80" s="147">
        <v>339160</v>
      </c>
      <c r="D80" s="147"/>
      <c r="E80" s="147">
        <f t="shared" si="31"/>
        <v>339160</v>
      </c>
      <c r="F80" s="147"/>
      <c r="G80" s="147"/>
      <c r="H80" s="147"/>
      <c r="I80" s="147"/>
      <c r="J80" s="147"/>
      <c r="K80" s="147"/>
      <c r="L80" s="147"/>
      <c r="M80" s="147"/>
      <c r="N80" s="147"/>
      <c r="O80" s="147"/>
      <c r="P80" s="147"/>
      <c r="Q80" s="147"/>
      <c r="R80" s="516">
        <f>SUM(E80:Q80)</f>
        <v>339160</v>
      </c>
      <c r="S80" s="147">
        <f>C80</f>
        <v>339160</v>
      </c>
      <c r="T80" s="147"/>
      <c r="U80" s="143"/>
    </row>
    <row r="81" spans="1:21" s="144" customFormat="1">
      <c r="A81" s="149" t="s">
        <v>1210</v>
      </c>
      <c r="B81" s="146">
        <f>SUM(C81:D81)</f>
        <v>1278212</v>
      </c>
      <c r="C81" s="509">
        <f>SUM(C79:C80)</f>
        <v>1278212</v>
      </c>
      <c r="D81" s="509">
        <f t="shared" ref="D81:T81" si="32">SUM(D79:D80)</f>
        <v>0</v>
      </c>
      <c r="E81" s="509">
        <f t="shared" si="32"/>
        <v>1278212</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1278212</v>
      </c>
      <c r="S81" s="509">
        <f t="shared" si="32"/>
        <v>1278212</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3">SUM(C83+D83)</f>
        <v>95631</v>
      </c>
      <c r="C83" s="147">
        <v>95631</v>
      </c>
      <c r="D83" s="147"/>
      <c r="E83" s="147">
        <f t="shared" ref="E83:E95" si="34">C83-SUM(F83:Q83)</f>
        <v>95631</v>
      </c>
      <c r="F83" s="147"/>
      <c r="G83" s="147"/>
      <c r="H83" s="147"/>
      <c r="I83" s="147"/>
      <c r="J83" s="147"/>
      <c r="K83" s="147"/>
      <c r="L83" s="147"/>
      <c r="M83" s="147"/>
      <c r="N83" s="147"/>
      <c r="O83" s="147"/>
      <c r="P83" s="147"/>
      <c r="Q83" s="147"/>
      <c r="R83" s="516">
        <f t="shared" ref="R83:R95" si="35">SUM(E83:Q83)</f>
        <v>95631</v>
      </c>
      <c r="S83" s="148"/>
      <c r="T83" s="148"/>
      <c r="U83" s="143"/>
    </row>
    <row r="84" spans="1:21" s="144" customFormat="1">
      <c r="A84" s="145" t="s">
        <v>768</v>
      </c>
      <c r="B84" s="146">
        <f t="shared" si="33"/>
        <v>0</v>
      </c>
      <c r="C84" s="147"/>
      <c r="D84" s="147"/>
      <c r="E84" s="147">
        <f t="shared" si="34"/>
        <v>0</v>
      </c>
      <c r="F84" s="147"/>
      <c r="G84" s="147"/>
      <c r="H84" s="147"/>
      <c r="I84" s="147"/>
      <c r="J84" s="147"/>
      <c r="K84" s="147"/>
      <c r="L84" s="147"/>
      <c r="M84" s="147"/>
      <c r="N84" s="147"/>
      <c r="O84" s="147"/>
      <c r="P84" s="147"/>
      <c r="Q84" s="147"/>
      <c r="R84" s="516">
        <f t="shared" si="35"/>
        <v>0</v>
      </c>
      <c r="S84" s="147">
        <f>C84</f>
        <v>0</v>
      </c>
      <c r="T84" s="147"/>
      <c r="U84" s="143"/>
    </row>
    <row r="85" spans="1:21" s="144" customFormat="1">
      <c r="A85" s="145" t="s">
        <v>769</v>
      </c>
      <c r="B85" s="146">
        <f t="shared" si="33"/>
        <v>0</v>
      </c>
      <c r="C85" s="147"/>
      <c r="D85" s="147"/>
      <c r="E85" s="147">
        <f t="shared" si="34"/>
        <v>0</v>
      </c>
      <c r="F85" s="147"/>
      <c r="G85" s="147"/>
      <c r="H85" s="147"/>
      <c r="I85" s="147"/>
      <c r="J85" s="147"/>
      <c r="K85" s="147"/>
      <c r="L85" s="147"/>
      <c r="M85" s="147"/>
      <c r="N85" s="147"/>
      <c r="O85" s="147"/>
      <c r="P85" s="147"/>
      <c r="Q85" s="147"/>
      <c r="R85" s="516">
        <f t="shared" si="35"/>
        <v>0</v>
      </c>
      <c r="S85" s="147">
        <f>C85</f>
        <v>0</v>
      </c>
      <c r="T85" s="147"/>
      <c r="U85" s="143"/>
    </row>
    <row r="86" spans="1:21" s="144" customFormat="1">
      <c r="A86" s="145" t="s">
        <v>770</v>
      </c>
      <c r="B86" s="146">
        <f t="shared" si="33"/>
        <v>0</v>
      </c>
      <c r="C86" s="147"/>
      <c r="D86" s="147"/>
      <c r="E86" s="147">
        <f t="shared" si="34"/>
        <v>0</v>
      </c>
      <c r="F86" s="147"/>
      <c r="G86" s="147"/>
      <c r="H86" s="147"/>
      <c r="I86" s="147"/>
      <c r="J86" s="147"/>
      <c r="K86" s="147"/>
      <c r="L86" s="147"/>
      <c r="M86" s="147"/>
      <c r="N86" s="147"/>
      <c r="O86" s="147"/>
      <c r="P86" s="147"/>
      <c r="Q86" s="147"/>
      <c r="R86" s="516">
        <f t="shared" si="35"/>
        <v>0</v>
      </c>
      <c r="S86" s="147">
        <f>C86</f>
        <v>0</v>
      </c>
      <c r="T86" s="147"/>
      <c r="U86" s="143"/>
    </row>
    <row r="87" spans="1:21" s="144" customFormat="1">
      <c r="A87" s="145" t="s">
        <v>771</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C87</f>
        <v>0</v>
      </c>
      <c r="T87" s="147"/>
      <c r="U87" s="143"/>
    </row>
    <row r="88" spans="1:21" s="144" customFormat="1">
      <c r="A88" s="145" t="s">
        <v>772</v>
      </c>
      <c r="B88" s="146">
        <f t="shared" si="33"/>
        <v>0</v>
      </c>
      <c r="C88" s="147"/>
      <c r="D88" s="147"/>
      <c r="E88" s="147">
        <f t="shared" si="34"/>
        <v>0</v>
      </c>
      <c r="F88" s="147"/>
      <c r="G88" s="147"/>
      <c r="H88" s="147"/>
      <c r="I88" s="147"/>
      <c r="J88" s="147"/>
      <c r="K88" s="147"/>
      <c r="L88" s="147"/>
      <c r="M88" s="147"/>
      <c r="N88" s="147"/>
      <c r="O88" s="147"/>
      <c r="P88" s="147"/>
      <c r="Q88" s="147"/>
      <c r="R88" s="516">
        <f t="shared" si="35"/>
        <v>0</v>
      </c>
      <c r="S88" s="148"/>
      <c r="T88" s="148"/>
      <c r="U88" s="143"/>
    </row>
    <row r="89" spans="1:21" s="144" customFormat="1">
      <c r="A89" s="145" t="s">
        <v>773</v>
      </c>
      <c r="B89" s="146">
        <f t="shared" si="33"/>
        <v>40315</v>
      </c>
      <c r="C89" s="147">
        <v>40315</v>
      </c>
      <c r="D89" s="147"/>
      <c r="E89" s="147">
        <f t="shared" si="34"/>
        <v>40315</v>
      </c>
      <c r="F89" s="147"/>
      <c r="G89" s="147"/>
      <c r="H89" s="147"/>
      <c r="I89" s="147"/>
      <c r="J89" s="147"/>
      <c r="K89" s="147"/>
      <c r="L89" s="147"/>
      <c r="M89" s="147"/>
      <c r="N89" s="147"/>
      <c r="O89" s="147"/>
      <c r="P89" s="147"/>
      <c r="Q89" s="147"/>
      <c r="R89" s="516">
        <f t="shared" si="35"/>
        <v>40315</v>
      </c>
      <c r="S89" s="147">
        <f>C89</f>
        <v>40315</v>
      </c>
      <c r="T89" s="147"/>
      <c r="U89" s="143"/>
    </row>
    <row r="90" spans="1:21" s="144" customFormat="1">
      <c r="A90" s="145" t="s">
        <v>774</v>
      </c>
      <c r="B90" s="146">
        <f t="shared" si="33"/>
        <v>16950</v>
      </c>
      <c r="C90" s="147">
        <v>16950</v>
      </c>
      <c r="D90" s="147"/>
      <c r="E90" s="147">
        <f t="shared" si="34"/>
        <v>16950</v>
      </c>
      <c r="F90" s="147"/>
      <c r="G90" s="147"/>
      <c r="H90" s="147"/>
      <c r="I90" s="147"/>
      <c r="J90" s="147"/>
      <c r="K90" s="147"/>
      <c r="L90" s="147"/>
      <c r="M90" s="147"/>
      <c r="N90" s="147"/>
      <c r="O90" s="147"/>
      <c r="P90" s="147"/>
      <c r="Q90" s="147"/>
      <c r="R90" s="516">
        <f t="shared" si="35"/>
        <v>16950</v>
      </c>
      <c r="S90" s="147">
        <f>C90</f>
        <v>16950</v>
      </c>
      <c r="T90" s="147"/>
      <c r="U90" s="143"/>
    </row>
    <row r="91" spans="1:21" s="144" customFormat="1">
      <c r="A91" s="145" t="s">
        <v>372</v>
      </c>
      <c r="B91" s="146">
        <f t="shared" si="33"/>
        <v>50250</v>
      </c>
      <c r="C91" s="147">
        <v>50250</v>
      </c>
      <c r="D91" s="147"/>
      <c r="E91" s="147">
        <f t="shared" si="34"/>
        <v>50250</v>
      </c>
      <c r="F91" s="147"/>
      <c r="G91" s="147"/>
      <c r="H91" s="147"/>
      <c r="I91" s="147"/>
      <c r="J91" s="147"/>
      <c r="K91" s="147"/>
      <c r="L91" s="147"/>
      <c r="M91" s="147"/>
      <c r="N91" s="147"/>
      <c r="O91" s="147"/>
      <c r="P91" s="147"/>
      <c r="Q91" s="147"/>
      <c r="R91" s="516">
        <f t="shared" si="35"/>
        <v>50250</v>
      </c>
      <c r="S91" s="147">
        <f>C91</f>
        <v>50250</v>
      </c>
      <c r="T91" s="147"/>
      <c r="U91" s="143"/>
    </row>
    <row r="92" spans="1:21" s="144" customFormat="1">
      <c r="A92" s="283" t="s">
        <v>1212</v>
      </c>
      <c r="B92" s="146">
        <f t="shared" si="33"/>
        <v>10000</v>
      </c>
      <c r="C92" s="147">
        <v>10000</v>
      </c>
      <c r="D92" s="147"/>
      <c r="E92" s="147">
        <f t="shared" si="34"/>
        <v>10000</v>
      </c>
      <c r="F92" s="147"/>
      <c r="G92" s="147"/>
      <c r="H92" s="147"/>
      <c r="I92" s="147"/>
      <c r="J92" s="147"/>
      <c r="K92" s="147"/>
      <c r="L92" s="147"/>
      <c r="M92" s="147"/>
      <c r="N92" s="147"/>
      <c r="O92" s="147"/>
      <c r="P92" s="147"/>
      <c r="Q92" s="147"/>
      <c r="R92" s="516">
        <f t="shared" si="35"/>
        <v>10000</v>
      </c>
      <c r="S92" s="147">
        <f>C92</f>
        <v>10000</v>
      </c>
      <c r="T92" s="147"/>
      <c r="U92" s="143"/>
    </row>
    <row r="93" spans="1:21" s="144" customFormat="1">
      <c r="A93" s="1149" t="s">
        <v>2723</v>
      </c>
      <c r="B93" s="146">
        <f t="shared" si="33"/>
        <v>25000</v>
      </c>
      <c r="C93" s="147">
        <v>25000</v>
      </c>
      <c r="D93" s="147"/>
      <c r="E93" s="147">
        <f t="shared" si="34"/>
        <v>25000</v>
      </c>
      <c r="F93" s="147"/>
      <c r="G93" s="147"/>
      <c r="H93" s="147"/>
      <c r="I93" s="147"/>
      <c r="J93" s="147"/>
      <c r="K93" s="147"/>
      <c r="L93" s="147"/>
      <c r="M93" s="147"/>
      <c r="N93" s="147"/>
      <c r="O93" s="147"/>
      <c r="P93" s="147"/>
      <c r="Q93" s="147"/>
      <c r="R93" s="516">
        <f t="shared" si="35"/>
        <v>25000</v>
      </c>
      <c r="S93" s="147">
        <f>C93</f>
        <v>25000</v>
      </c>
      <c r="T93" s="147"/>
      <c r="U93" s="143"/>
    </row>
    <row r="94" spans="1:21" s="144" customFormat="1">
      <c r="A94" s="1149" t="s">
        <v>2724</v>
      </c>
      <c r="B94" s="146">
        <f t="shared" si="33"/>
        <v>32761</v>
      </c>
      <c r="C94" s="147">
        <v>32761</v>
      </c>
      <c r="D94" s="147"/>
      <c r="E94" s="147">
        <f t="shared" si="34"/>
        <v>32761</v>
      </c>
      <c r="F94" s="147"/>
      <c r="G94" s="147"/>
      <c r="H94" s="147"/>
      <c r="I94" s="147"/>
      <c r="J94" s="147"/>
      <c r="K94" s="147"/>
      <c r="L94" s="147"/>
      <c r="M94" s="147"/>
      <c r="N94" s="147"/>
      <c r="O94" s="147"/>
      <c r="P94" s="147"/>
      <c r="Q94" s="147"/>
      <c r="R94" s="516">
        <f t="shared" si="35"/>
        <v>32761</v>
      </c>
      <c r="S94" s="147">
        <v>0</v>
      </c>
      <c r="T94" s="147"/>
      <c r="U94" s="143"/>
    </row>
    <row r="95" spans="1:21" s="144" customFormat="1">
      <c r="A95" s="1149" t="s">
        <v>2725</v>
      </c>
      <c r="B95" s="146">
        <f t="shared" si="33"/>
        <v>62209</v>
      </c>
      <c r="C95" s="147">
        <v>62209</v>
      </c>
      <c r="D95" s="147"/>
      <c r="E95" s="147">
        <f t="shared" si="34"/>
        <v>62209</v>
      </c>
      <c r="F95" s="147"/>
      <c r="G95" s="147"/>
      <c r="H95" s="147"/>
      <c r="I95" s="147"/>
      <c r="J95" s="147"/>
      <c r="K95" s="147"/>
      <c r="L95" s="147"/>
      <c r="M95" s="147"/>
      <c r="N95" s="147"/>
      <c r="O95" s="147"/>
      <c r="P95" s="147"/>
      <c r="Q95" s="147"/>
      <c r="R95" s="516">
        <f t="shared" si="35"/>
        <v>62209</v>
      </c>
      <c r="S95" s="147">
        <f>C95</f>
        <v>62209</v>
      </c>
      <c r="T95" s="147"/>
      <c r="U95" s="143"/>
    </row>
    <row r="96" spans="1:21" s="144" customFormat="1">
      <c r="A96" s="149" t="s">
        <v>775</v>
      </c>
      <c r="B96" s="146">
        <f>SUM(C96:D96)</f>
        <v>333116</v>
      </c>
      <c r="C96" s="146">
        <f t="shared" ref="C96:R96" si="36">SUM(C83:C95)</f>
        <v>333116</v>
      </c>
      <c r="D96" s="146">
        <f t="shared" si="36"/>
        <v>0</v>
      </c>
      <c r="E96" s="146">
        <f t="shared" si="36"/>
        <v>333116</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333116</v>
      </c>
      <c r="S96" s="150">
        <f>SUM(S84:S87,S89:S95)</f>
        <v>204724</v>
      </c>
      <c r="T96" s="146">
        <f>SUM(T84:T87,T89:T95)</f>
        <v>0</v>
      </c>
      <c r="U96" s="143"/>
    </row>
    <row r="97" spans="1:21" s="144" customFormat="1">
      <c r="A97" s="149" t="s">
        <v>776</v>
      </c>
      <c r="B97" s="146">
        <f>SUM(C97:D97)</f>
        <v>39318144</v>
      </c>
      <c r="C97" s="146">
        <f t="shared" ref="C97:R97" si="37">SUM(C63+C70+C77+C81+C96)</f>
        <v>39318144</v>
      </c>
      <c r="D97" s="146">
        <f t="shared" si="37"/>
        <v>0</v>
      </c>
      <c r="E97" s="146">
        <f t="shared" si="37"/>
        <v>13211581</v>
      </c>
      <c r="F97" s="146">
        <f t="shared" si="37"/>
        <v>21257769</v>
      </c>
      <c r="G97" s="146">
        <f t="shared" si="37"/>
        <v>1296726</v>
      </c>
      <c r="H97" s="146">
        <f t="shared" si="37"/>
        <v>901469</v>
      </c>
      <c r="I97" s="146">
        <f t="shared" si="37"/>
        <v>530599</v>
      </c>
      <c r="J97" s="146">
        <f t="shared" si="37"/>
        <v>2120000</v>
      </c>
      <c r="K97" s="146">
        <f t="shared" si="37"/>
        <v>0</v>
      </c>
      <c r="L97" s="146">
        <f t="shared" si="37"/>
        <v>0</v>
      </c>
      <c r="M97" s="146">
        <f t="shared" si="37"/>
        <v>0</v>
      </c>
      <c r="N97" s="146">
        <f t="shared" si="37"/>
        <v>0</v>
      </c>
      <c r="O97" s="146">
        <f t="shared" si="37"/>
        <v>0</v>
      </c>
      <c r="P97" s="146">
        <f t="shared" si="37"/>
        <v>0</v>
      </c>
      <c r="Q97" s="146">
        <f t="shared" si="37"/>
        <v>0</v>
      </c>
      <c r="R97" s="146">
        <f t="shared" si="37"/>
        <v>39318144</v>
      </c>
      <c r="S97" s="146">
        <f>SUM(S63+S70+S81+S96)</f>
        <v>13825512</v>
      </c>
      <c r="T97" s="146">
        <f>SUM(T63+T70+T81+T96)</f>
        <v>21928200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1500000</v>
      </c>
      <c r="C99" s="979">
        <v>1500000</v>
      </c>
      <c r="D99" s="979"/>
      <c r="E99" s="979">
        <f t="shared" ref="E99:E103" si="38">C99-SUM(F99:Q99)</f>
        <v>849066</v>
      </c>
      <c r="F99" s="147"/>
      <c r="G99" s="147"/>
      <c r="H99" s="147"/>
      <c r="I99" s="147"/>
      <c r="J99" s="147"/>
      <c r="K99" s="147">
        <f>K108</f>
        <v>650934</v>
      </c>
      <c r="L99" s="147"/>
      <c r="M99" s="147"/>
      <c r="N99" s="147"/>
      <c r="O99" s="147"/>
      <c r="P99" s="147"/>
      <c r="Q99" s="147"/>
      <c r="R99" s="516">
        <f>SUM(E99:Q99)</f>
        <v>1500000</v>
      </c>
      <c r="S99" s="147">
        <f>C99</f>
        <v>1500000</v>
      </c>
      <c r="T99" s="147"/>
      <c r="U99" s="143"/>
    </row>
    <row r="100" spans="1:21" s="144" customFormat="1">
      <c r="A100" s="283" t="s">
        <v>1647</v>
      </c>
      <c r="B100" s="146">
        <f>SUM(C100+D100)</f>
        <v>0</v>
      </c>
      <c r="C100" s="147"/>
      <c r="D100" s="147"/>
      <c r="E100" s="147">
        <f t="shared" si="38"/>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779</v>
      </c>
      <c r="B101" s="146">
        <f>SUM(C101+D101)</f>
        <v>0</v>
      </c>
      <c r="C101" s="147"/>
      <c r="D101" s="147"/>
      <c r="E101" s="147">
        <f t="shared" si="38"/>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1648</v>
      </c>
      <c r="B102" s="146">
        <f>SUM(C102+D102)</f>
        <v>0</v>
      </c>
      <c r="C102" s="147"/>
      <c r="D102" s="147"/>
      <c r="E102" s="147">
        <f t="shared" si="38"/>
        <v>0</v>
      </c>
      <c r="F102" s="147"/>
      <c r="G102" s="147"/>
      <c r="H102" s="147"/>
      <c r="I102" s="147"/>
      <c r="J102" s="147"/>
      <c r="K102" s="147"/>
      <c r="L102" s="147"/>
      <c r="M102" s="147"/>
      <c r="N102" s="147"/>
      <c r="O102" s="147"/>
      <c r="P102" s="147"/>
      <c r="Q102" s="147"/>
      <c r="R102" s="516">
        <f>SUM(E102:Q102)</f>
        <v>0</v>
      </c>
      <c r="S102" s="147">
        <f>C102</f>
        <v>0</v>
      </c>
      <c r="T102" s="147"/>
      <c r="U102" s="143"/>
    </row>
    <row r="103" spans="1:21" s="144" customFormat="1">
      <c r="A103" s="1149" t="s">
        <v>34</v>
      </c>
      <c r="B103" s="146">
        <f>SUM(C103+D103)</f>
        <v>0</v>
      </c>
      <c r="C103" s="147"/>
      <c r="D103" s="147"/>
      <c r="E103" s="147">
        <f t="shared" si="38"/>
        <v>0</v>
      </c>
      <c r="F103" s="147"/>
      <c r="G103" s="147"/>
      <c r="H103" s="147"/>
      <c r="I103" s="147"/>
      <c r="J103" s="147"/>
      <c r="K103" s="147"/>
      <c r="L103" s="147"/>
      <c r="M103" s="147"/>
      <c r="N103" s="147"/>
      <c r="O103" s="147"/>
      <c r="P103" s="147"/>
      <c r="Q103" s="147"/>
      <c r="R103" s="516">
        <f>SUM(E103:Q103)</f>
        <v>0</v>
      </c>
      <c r="S103" s="147">
        <f>C103</f>
        <v>0</v>
      </c>
      <c r="T103" s="147"/>
      <c r="U103" s="143"/>
    </row>
    <row r="104" spans="1:21" s="144" customFormat="1">
      <c r="A104" s="149" t="s">
        <v>780</v>
      </c>
      <c r="B104" s="146">
        <f>SUM(C104:D104)</f>
        <v>1500000</v>
      </c>
      <c r="C104" s="146">
        <f>SUM(C99:C103)</f>
        <v>1500000</v>
      </c>
      <c r="D104" s="146">
        <f t="shared" ref="D104:T104" si="39">SUM(D99:D103)</f>
        <v>0</v>
      </c>
      <c r="E104" s="146">
        <f t="shared" si="39"/>
        <v>849066</v>
      </c>
      <c r="F104" s="146">
        <f t="shared" si="39"/>
        <v>0</v>
      </c>
      <c r="G104" s="146">
        <f t="shared" si="39"/>
        <v>0</v>
      </c>
      <c r="H104" s="146">
        <f t="shared" si="39"/>
        <v>0</v>
      </c>
      <c r="I104" s="146">
        <f t="shared" si="39"/>
        <v>0</v>
      </c>
      <c r="J104" s="146">
        <f t="shared" si="39"/>
        <v>0</v>
      </c>
      <c r="K104" s="146">
        <f t="shared" si="39"/>
        <v>650934</v>
      </c>
      <c r="L104" s="146">
        <f t="shared" si="39"/>
        <v>0</v>
      </c>
      <c r="M104" s="146">
        <f t="shared" si="39"/>
        <v>0</v>
      </c>
      <c r="N104" s="146">
        <f t="shared" si="39"/>
        <v>0</v>
      </c>
      <c r="O104" s="146">
        <f t="shared" si="39"/>
        <v>0</v>
      </c>
      <c r="P104" s="146">
        <f t="shared" si="39"/>
        <v>0</v>
      </c>
      <c r="Q104" s="146">
        <f t="shared" si="39"/>
        <v>0</v>
      </c>
      <c r="R104" s="342">
        <f t="shared" si="39"/>
        <v>1500000</v>
      </c>
      <c r="S104" s="150">
        <f t="shared" si="39"/>
        <v>1500000</v>
      </c>
      <c r="T104" s="150">
        <f t="shared" si="39"/>
        <v>0</v>
      </c>
      <c r="U104" s="143"/>
    </row>
    <row r="105" spans="1:21" s="144" customFormat="1">
      <c r="A105" s="149" t="s">
        <v>781</v>
      </c>
      <c r="B105" s="150">
        <f>SUM(C105:D105)</f>
        <v>40818144</v>
      </c>
      <c r="C105" s="150">
        <f t="shared" ref="C105:R105" si="40">SUM(C97+C104)</f>
        <v>40818144</v>
      </c>
      <c r="D105" s="150">
        <f t="shared" si="40"/>
        <v>0</v>
      </c>
      <c r="E105" s="150">
        <f t="shared" si="40"/>
        <v>14060647</v>
      </c>
      <c r="F105" s="150">
        <f t="shared" si="40"/>
        <v>21257769</v>
      </c>
      <c r="G105" s="150">
        <f t="shared" si="40"/>
        <v>1296726</v>
      </c>
      <c r="H105" s="150">
        <f t="shared" si="40"/>
        <v>901469</v>
      </c>
      <c r="I105" s="150">
        <f t="shared" si="40"/>
        <v>530599</v>
      </c>
      <c r="J105" s="150">
        <f t="shared" si="40"/>
        <v>2120000</v>
      </c>
      <c r="K105" s="150">
        <f t="shared" si="40"/>
        <v>650934</v>
      </c>
      <c r="L105" s="150">
        <f t="shared" si="40"/>
        <v>0</v>
      </c>
      <c r="M105" s="150">
        <f t="shared" si="40"/>
        <v>0</v>
      </c>
      <c r="N105" s="150">
        <f t="shared" si="40"/>
        <v>0</v>
      </c>
      <c r="O105" s="150">
        <f t="shared" si="40"/>
        <v>0</v>
      </c>
      <c r="P105" s="150">
        <f t="shared" si="40"/>
        <v>0</v>
      </c>
      <c r="Q105" s="150">
        <f t="shared" si="40"/>
        <v>0</v>
      </c>
      <c r="R105" s="342">
        <f t="shared" si="40"/>
        <v>40818144</v>
      </c>
      <c r="S105" s="150">
        <f>S97+S104</f>
        <v>15325512</v>
      </c>
      <c r="T105" s="150">
        <f>T97+T104</f>
        <v>21928200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15325512</v>
      </c>
      <c r="T107" s="150">
        <f>T105+T106</f>
        <v>21928200</v>
      </c>
    </row>
    <row r="108" spans="1:21" s="189" customFormat="1">
      <c r="A108" s="162" t="s">
        <v>880</v>
      </c>
      <c r="B108" s="157"/>
      <c r="C108" s="157"/>
      <c r="D108" s="157"/>
      <c r="E108" s="301">
        <f>Application!AO640</f>
        <v>14060647</v>
      </c>
      <c r="F108" s="301">
        <f>Application!AO627</f>
        <v>21257769</v>
      </c>
      <c r="G108" s="301">
        <f>Application!AO628</f>
        <v>1296726</v>
      </c>
      <c r="H108" s="301">
        <f>Application!AO629</f>
        <v>901469</v>
      </c>
      <c r="I108" s="301">
        <f>Application!AO630</f>
        <v>530599</v>
      </c>
      <c r="J108" s="301">
        <f>Application!AO631</f>
        <v>2120000</v>
      </c>
      <c r="K108" s="301">
        <f>Application!AO632</f>
        <v>650934</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994</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21928200</v>
      </c>
      <c r="C9" s="362"/>
      <c r="D9" s="362"/>
      <c r="E9" s="363"/>
      <c r="F9" s="363"/>
      <c r="G9" s="363"/>
      <c r="H9" s="361">
        <f>'Sources and Uses Budget'!T9</f>
        <v>21928200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21928200</v>
      </c>
      <c r="C11" s="361">
        <f>SUM(C9:C10)</f>
        <v>0</v>
      </c>
      <c r="D11" s="361">
        <f>SUM(D9:D10)</f>
        <v>0</v>
      </c>
      <c r="E11" s="363"/>
      <c r="F11" s="363"/>
      <c r="G11" s="363"/>
      <c r="H11" s="361">
        <f>'Sources and Uses Budget'!T11</f>
        <v>21928200</v>
      </c>
      <c r="I11" s="361">
        <f>SUM(I9:I10)</f>
        <v>0</v>
      </c>
      <c r="J11" s="361">
        <f>SUM(J9:J10)</f>
        <v>0</v>
      </c>
      <c r="K11" s="359"/>
    </row>
    <row r="12" spans="1:11" s="360" customFormat="1">
      <c r="A12" s="365" t="s">
        <v>84</v>
      </c>
      <c r="B12" s="361">
        <f>'Sources and Uses Budget'!C12</f>
        <v>21928200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850431</v>
      </c>
      <c r="C17" s="362"/>
      <c r="D17" s="362"/>
      <c r="E17" s="361">
        <f>'Sources and Uses Budget'!S17</f>
        <v>850431</v>
      </c>
      <c r="F17" s="362"/>
      <c r="G17" s="362"/>
      <c r="H17" s="361">
        <f>'Sources and Uses Budget'!T17</f>
        <v>0</v>
      </c>
      <c r="I17" s="362"/>
      <c r="J17" s="362"/>
      <c r="K17" s="359"/>
    </row>
    <row r="18" spans="1:11" s="360" customFormat="1">
      <c r="A18" s="364" t="s">
        <v>600</v>
      </c>
      <c r="B18" s="361">
        <f>'Sources and Uses Budget'!C18</f>
        <v>7304604</v>
      </c>
      <c r="C18" s="362"/>
      <c r="D18" s="362"/>
      <c r="E18" s="361">
        <f>'Sources and Uses Budget'!S18</f>
        <v>7304604</v>
      </c>
      <c r="F18" s="362"/>
      <c r="G18" s="362"/>
      <c r="H18" s="361">
        <f>'Sources and Uses Budget'!T18</f>
        <v>0</v>
      </c>
      <c r="I18" s="362"/>
      <c r="J18" s="362"/>
      <c r="K18" s="359"/>
    </row>
    <row r="19" spans="1:11" s="360" customFormat="1">
      <c r="A19" s="364" t="s">
        <v>601</v>
      </c>
      <c r="B19" s="361">
        <f>'Sources and Uses Budget'!C19</f>
        <v>489302</v>
      </c>
      <c r="C19" s="362"/>
      <c r="D19" s="362"/>
      <c r="E19" s="361">
        <f>'Sources and Uses Budget'!S19</f>
        <v>489302</v>
      </c>
      <c r="F19" s="362"/>
      <c r="G19" s="362"/>
      <c r="H19" s="361">
        <f>'Sources and Uses Budget'!T19</f>
        <v>0</v>
      </c>
      <c r="I19" s="362"/>
      <c r="J19" s="362"/>
      <c r="K19" s="359"/>
    </row>
    <row r="20" spans="1:11" s="360" customFormat="1">
      <c r="A20" s="364" t="s">
        <v>137</v>
      </c>
      <c r="B20" s="361">
        <f>'Sources and Uses Budget'!C20</f>
        <v>326202</v>
      </c>
      <c r="C20" s="362"/>
      <c r="D20" s="362"/>
      <c r="E20" s="361">
        <f>'Sources and Uses Budget'!S20</f>
        <v>326202</v>
      </c>
      <c r="F20" s="362"/>
      <c r="G20" s="362"/>
      <c r="H20" s="361">
        <f>'Sources and Uses Budget'!T20</f>
        <v>0</v>
      </c>
      <c r="I20" s="362"/>
      <c r="J20" s="362"/>
      <c r="K20" s="359"/>
    </row>
    <row r="21" spans="1:11" s="360" customFormat="1">
      <c r="A21" s="364" t="s">
        <v>138</v>
      </c>
      <c r="B21" s="361">
        <f>'Sources and Uses Budget'!C21</f>
        <v>326201</v>
      </c>
      <c r="C21" s="362"/>
      <c r="D21" s="362"/>
      <c r="E21" s="361">
        <f>'Sources and Uses Budget'!S21</f>
        <v>326201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93783</v>
      </c>
      <c r="C23" s="362"/>
      <c r="D23" s="362"/>
      <c r="E23" s="361">
        <f>'Sources and Uses Budget'!S23</f>
        <v>93783</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9390523</v>
      </c>
      <c r="C26" s="361">
        <f>SUM(C17:C25)</f>
        <v>0</v>
      </c>
      <c r="D26" s="361">
        <f>SUM(D17:D25)</f>
        <v>0</v>
      </c>
      <c r="E26" s="361">
        <f>'Sources and Uses Budget'!S26</f>
        <v>9390523</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796645</v>
      </c>
      <c r="C27" s="362"/>
      <c r="D27" s="362"/>
      <c r="E27" s="361">
        <f>'Sources and Uses Budget'!S27</f>
        <v>746645</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225000</v>
      </c>
      <c r="C40" s="362"/>
      <c r="D40" s="362"/>
      <c r="E40" s="361">
        <f>'Sources and Uses Budget'!S40</f>
        <v>225000</v>
      </c>
      <c r="F40" s="362"/>
      <c r="G40" s="362"/>
      <c r="H40" s="361">
        <f>'Sources and Uses Budget'!T40</f>
        <v>0</v>
      </c>
      <c r="I40" s="362"/>
      <c r="J40" s="362"/>
      <c r="K40" s="359"/>
    </row>
    <row r="41" spans="1:11" s="360" customFormat="1">
      <c r="A41" s="364" t="s">
        <v>146</v>
      </c>
      <c r="B41" s="361">
        <f>'Sources and Uses Budget'!C41</f>
        <v>60000</v>
      </c>
      <c r="C41" s="362"/>
      <c r="D41" s="362"/>
      <c r="E41" s="361">
        <f>'Sources and Uses Budget'!S41</f>
        <v>60000</v>
      </c>
      <c r="F41" s="362"/>
      <c r="G41" s="362"/>
      <c r="H41" s="361">
        <f>'Sources and Uses Budget'!T41</f>
        <v>0</v>
      </c>
      <c r="I41" s="362"/>
      <c r="J41" s="362"/>
      <c r="K41" s="359"/>
    </row>
    <row r="42" spans="1:11" s="360" customFormat="1">
      <c r="A42" s="365" t="s">
        <v>147</v>
      </c>
      <c r="B42" s="361">
        <f>'Sources and Uses Budget'!C42</f>
        <v>285000</v>
      </c>
      <c r="C42" s="361">
        <f>SUM(C39:C41)</f>
        <v>0</v>
      </c>
      <c r="D42" s="361">
        <f>SUM(D39:D41)</f>
        <v>0</v>
      </c>
      <c r="E42" s="361">
        <f>'Sources and Uses Budget'!S42</f>
        <v>285000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90000</v>
      </c>
      <c r="C43" s="362"/>
      <c r="D43" s="362"/>
      <c r="E43" s="361">
        <f>'Sources and Uses Budget'!S43</f>
        <v>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2139803</v>
      </c>
      <c r="C45" s="362"/>
      <c r="D45" s="362"/>
      <c r="E45" s="361">
        <f>'Sources and Uses Budget'!S45</f>
        <v>1328186</v>
      </c>
      <c r="F45" s="362"/>
      <c r="G45" s="362"/>
      <c r="H45" s="361">
        <f>'Sources and Uses Budget'!T45</f>
        <v>0</v>
      </c>
      <c r="I45" s="362"/>
      <c r="J45" s="362"/>
      <c r="K45" s="359"/>
    </row>
    <row r="46" spans="1:11" s="360" customFormat="1">
      <c r="A46" s="364" t="s">
        <v>151</v>
      </c>
      <c r="B46" s="361">
        <f>'Sources and Uses Budget'!C46</f>
        <v>363881</v>
      </c>
      <c r="C46" s="362"/>
      <c r="D46" s="362"/>
      <c r="E46" s="361">
        <f>'Sources and Uses Budget'!S46</f>
        <v>111189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93783</v>
      </c>
      <c r="C48" s="362"/>
      <c r="D48" s="362"/>
      <c r="E48" s="361">
        <f>'Sources and Uses Budget'!S48</f>
        <v>93783</v>
      </c>
      <c r="F48" s="362"/>
      <c r="G48" s="362"/>
      <c r="H48" s="361">
        <f>'Sources and Uses Budget'!T48</f>
        <v>0</v>
      </c>
      <c r="I48" s="362"/>
      <c r="J48" s="362"/>
      <c r="K48" s="359"/>
    </row>
    <row r="49" spans="1:11" s="360" customFormat="1">
      <c r="A49" s="283" t="s">
        <v>57</v>
      </c>
      <c r="B49" s="361">
        <f>'Sources and Uses Budget'!C49</f>
        <v>304648</v>
      </c>
      <c r="C49" s="362"/>
      <c r="D49" s="362"/>
      <c r="E49" s="361">
        <f>'Sources and Uses Budget'!S49</f>
        <v>11250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3052115</v>
      </c>
      <c r="C54" s="367">
        <f>SUM(C45:C53)</f>
        <v>0</v>
      </c>
      <c r="D54" s="367">
        <f>SUM(D45:D53)</f>
        <v>0</v>
      </c>
      <c r="E54" s="361">
        <f>'Sources and Uses Budget'!S54</f>
        <v>1544408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(Equity Bridge Loan)</v>
      </c>
      <c r="B61" s="361">
        <f>'Sources and Uses Budget'!C61</f>
        <v>479625</v>
      </c>
      <c r="C61" s="362"/>
      <c r="D61" s="362"/>
      <c r="E61" s="363"/>
      <c r="F61" s="363"/>
      <c r="G61" s="363"/>
      <c r="H61" s="363"/>
      <c r="I61" s="363"/>
      <c r="J61" s="363"/>
      <c r="K61" s="359"/>
    </row>
    <row r="62" spans="1:11" s="360" customFormat="1" ht="13.7" customHeight="1">
      <c r="A62" s="365" t="s">
        <v>301</v>
      </c>
      <c r="B62" s="361">
        <f>'Sources and Uses Budget'!C62</f>
        <v>479625</v>
      </c>
      <c r="C62" s="361">
        <f>SUM(C56:C61)</f>
        <v>0</v>
      </c>
      <c r="D62" s="361">
        <f>SUM(D56:D61)</f>
        <v>0</v>
      </c>
      <c r="E62" s="363"/>
      <c r="F62" s="363"/>
      <c r="G62" s="363"/>
      <c r="H62" s="363"/>
      <c r="I62" s="363"/>
      <c r="J62" s="363"/>
      <c r="K62" s="359"/>
    </row>
    <row r="63" spans="1:11" s="360" customFormat="1">
      <c r="A63" s="370" t="s">
        <v>302</v>
      </c>
      <c r="B63" s="361">
        <f>'Sources and Uses Budget'!C63</f>
        <v>36022108</v>
      </c>
      <c r="C63" s="361">
        <f>SUM(C8+C11+C13+C14+C15+C26+C27+C38+C42+C43+C54+C62)</f>
        <v>0</v>
      </c>
      <c r="D63" s="361">
        <f>SUM(D8+D11+D13+D14+D15+D26+D27+D38+D42+D43+D54+D62)</f>
        <v>0</v>
      </c>
      <c r="E63" s="361">
        <f>'Sources and Uses Budget'!S63</f>
        <v>12056576</v>
      </c>
      <c r="F63" s="361">
        <f>SUM(F10+F13+F14+F15+F26+F27+F38+F42+F43+F54)</f>
        <v>0</v>
      </c>
      <c r="G63" s="361">
        <f>SUM(G10+G13+G14+G15+G26+G27+G38+G42+G43+G54)</f>
        <v>0</v>
      </c>
      <c r="H63" s="361">
        <f>'Sources and Uses Budget'!T63</f>
        <v>21928200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440000</v>
      </c>
      <c r="C65" s="362"/>
      <c r="D65" s="362"/>
      <c r="E65" s="361">
        <f>'Sources and Uses Budget'!S65</f>
        <v>0</v>
      </c>
      <c r="F65" s="362"/>
      <c r="G65" s="362"/>
      <c r="H65" s="361">
        <f>'Sources and Uses Budget'!T65</f>
        <v>0</v>
      </c>
      <c r="I65" s="362"/>
      <c r="J65" s="362"/>
      <c r="K65" s="359"/>
    </row>
    <row r="66" spans="1:11" s="360" customFormat="1" ht="24">
      <c r="A66" s="283" t="s">
        <v>1642</v>
      </c>
      <c r="B66" s="361">
        <f>'Sources and Uses Budget'!C66</f>
        <v>200000</v>
      </c>
      <c r="C66" s="362"/>
      <c r="D66" s="362"/>
      <c r="E66" s="361">
        <f>'Sources and Uses Budget'!S66</f>
        <v>200000</v>
      </c>
      <c r="F66" s="362"/>
      <c r="G66" s="362"/>
      <c r="H66" s="361">
        <f>'Sources and Uses Budget'!T66</f>
        <v>0</v>
      </c>
      <c r="I66" s="362"/>
      <c r="J66" s="362"/>
      <c r="K66" s="359"/>
    </row>
    <row r="67" spans="1:11" s="360" customFormat="1" ht="24">
      <c r="A67" s="283" t="s">
        <v>1643</v>
      </c>
      <c r="B67" s="361">
        <f>'Sources and Uses Budget'!C67</f>
        <v>60000</v>
      </c>
      <c r="C67" s="362"/>
      <c r="D67" s="362"/>
      <c r="E67" s="361">
        <f>'Sources and Uses Budget'!S67</f>
        <v>60000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(Admin Fees)</v>
      </c>
      <c r="B69" s="361">
        <f>'Sources and Uses Budget'!C69</f>
        <v>116000</v>
      </c>
      <c r="C69" s="362"/>
      <c r="D69" s="362"/>
      <c r="E69" s="361">
        <f>'Sources and Uses Budget'!S69</f>
        <v>26000</v>
      </c>
      <c r="F69" s="362"/>
      <c r="G69" s="362"/>
      <c r="H69" s="361">
        <f>'Sources and Uses Budget'!T69</f>
        <v>0</v>
      </c>
      <c r="I69" s="362"/>
      <c r="J69" s="362"/>
      <c r="K69" s="359"/>
    </row>
    <row r="70" spans="1:11" s="360" customFormat="1">
      <c r="A70" s="365" t="s">
        <v>602</v>
      </c>
      <c r="B70" s="361">
        <f>'Sources and Uses Budget'!C70</f>
        <v>816000</v>
      </c>
      <c r="C70" s="361">
        <f>SUM(C64:C69)</f>
        <v>0</v>
      </c>
      <c r="D70" s="361">
        <f>SUM(D64:D69)</f>
        <v>0</v>
      </c>
      <c r="E70" s="361">
        <f>'Sources and Uses Budget'!S70</f>
        <v>286000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31800</v>
      </c>
      <c r="C74" s="362"/>
      <c r="D74" s="362"/>
      <c r="E74" s="363"/>
      <c r="F74" s="363"/>
      <c r="G74" s="363"/>
      <c r="H74" s="363"/>
      <c r="I74" s="363"/>
      <c r="J74" s="363"/>
      <c r="K74" s="359"/>
    </row>
    <row r="75" spans="1:11" s="360" customFormat="1">
      <c r="A75" s="364" t="s">
        <v>606</v>
      </c>
      <c r="B75" s="361">
        <f>'Sources and Uses Budget'!C75</f>
        <v>577308</v>
      </c>
      <c r="C75" s="362"/>
      <c r="D75" s="362"/>
      <c r="E75" s="363"/>
      <c r="F75" s="363"/>
      <c r="G75" s="363"/>
      <c r="H75" s="363"/>
      <c r="I75" s="363"/>
      <c r="J75" s="363"/>
      <c r="K75" s="359"/>
    </row>
    <row r="76" spans="1:11" s="360" customFormat="1">
      <c r="A76" s="364" t="str">
        <f>'Sources and Uses Budget'!$A76</f>
        <v>Other: (Additional Reserves)</v>
      </c>
      <c r="B76" s="361">
        <f>'Sources and Uses Budget'!C76</f>
        <v>259600</v>
      </c>
      <c r="C76" s="362"/>
      <c r="D76" s="362"/>
      <c r="E76" s="363"/>
      <c r="F76" s="363"/>
      <c r="G76" s="363"/>
      <c r="H76" s="363"/>
      <c r="I76" s="363"/>
      <c r="J76" s="363"/>
      <c r="K76" s="359"/>
    </row>
    <row r="77" spans="1:11" s="360" customFormat="1">
      <c r="A77" s="365" t="s">
        <v>607</v>
      </c>
      <c r="B77" s="361">
        <f>'Sources and Uses Budget'!C77</f>
        <v>868708</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939052</v>
      </c>
      <c r="C79" s="362"/>
      <c r="D79" s="362"/>
      <c r="E79" s="361">
        <f>'Sources and Uses Budget'!S79</f>
        <v>939052</v>
      </c>
      <c r="F79" s="362"/>
      <c r="G79" s="362"/>
      <c r="H79" s="361">
        <f>'Sources and Uses Budget'!T79</f>
        <v>0</v>
      </c>
      <c r="I79" s="362"/>
      <c r="J79" s="362"/>
      <c r="K79" s="359"/>
    </row>
    <row r="80" spans="1:11" s="360" customFormat="1">
      <c r="A80" s="364" t="s">
        <v>58</v>
      </c>
      <c r="B80" s="361">
        <f>'Sources and Uses Budget'!C80</f>
        <v>339160</v>
      </c>
      <c r="C80" s="362"/>
      <c r="D80" s="362"/>
      <c r="E80" s="361">
        <f>'Sources and Uses Budget'!S80</f>
        <v>339160</v>
      </c>
      <c r="F80" s="362"/>
      <c r="G80" s="362"/>
      <c r="H80" s="361">
        <f>'Sources and Uses Budget'!T80</f>
        <v>0</v>
      </c>
      <c r="I80" s="362"/>
      <c r="J80" s="362"/>
      <c r="K80" s="359"/>
    </row>
    <row r="81" spans="1:11" s="360" customFormat="1">
      <c r="A81" s="365" t="s">
        <v>1210</v>
      </c>
      <c r="B81" s="361">
        <f>'Sources and Uses Budget'!C81</f>
        <v>1278212</v>
      </c>
      <c r="C81" s="361">
        <f>SUM(C79:C80)</f>
        <v>0</v>
      </c>
      <c r="D81" s="361">
        <f>SUM(D79:D80)</f>
        <v>0</v>
      </c>
      <c r="E81" s="361">
        <f>'Sources and Uses Budget'!S81</f>
        <v>1278212</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95631</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40315</v>
      </c>
      <c r="C89" s="362"/>
      <c r="D89" s="362"/>
      <c r="E89" s="361">
        <f>'Sources and Uses Budget'!S89</f>
        <v>40315</v>
      </c>
      <c r="F89" s="362"/>
      <c r="G89" s="362"/>
      <c r="H89" s="361">
        <f>'Sources and Uses Budget'!T89</f>
        <v>0</v>
      </c>
      <c r="I89" s="362"/>
      <c r="J89" s="362"/>
      <c r="K89" s="359"/>
    </row>
    <row r="90" spans="1:11" s="360" customFormat="1">
      <c r="A90" s="145" t="s">
        <v>774</v>
      </c>
      <c r="B90" s="361">
        <f>'Sources and Uses Budget'!C90</f>
        <v>16950</v>
      </c>
      <c r="C90" s="362"/>
      <c r="D90" s="362"/>
      <c r="E90" s="361">
        <f>'Sources and Uses Budget'!S90</f>
        <v>16950</v>
      </c>
      <c r="F90" s="362"/>
      <c r="G90" s="362"/>
      <c r="H90" s="361">
        <f>'Sources and Uses Budget'!T90</f>
        <v>0</v>
      </c>
      <c r="I90" s="362"/>
      <c r="J90" s="362"/>
      <c r="K90" s="359"/>
    </row>
    <row r="91" spans="1:11" s="360" customFormat="1">
      <c r="A91" s="155" t="s">
        <v>372</v>
      </c>
      <c r="B91" s="361">
        <f>'Sources and Uses Budget'!C91</f>
        <v>50250</v>
      </c>
      <c r="C91" s="362"/>
      <c r="D91" s="362"/>
      <c r="E91" s="361">
        <f>'Sources and Uses Budget'!S91</f>
        <v>50250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(PNA)</v>
      </c>
      <c r="B93" s="361">
        <f>'Sources and Uses Budget'!C93</f>
        <v>25000</v>
      </c>
      <c r="C93" s="362"/>
      <c r="D93" s="362"/>
      <c r="E93" s="361">
        <f>'Sources and Uses Budget'!S93</f>
        <v>25000</v>
      </c>
      <c r="F93" s="362"/>
      <c r="G93" s="362"/>
      <c r="H93" s="361">
        <f>'Sources and Uses Budget'!T93</f>
        <v>0</v>
      </c>
      <c r="I93" s="362"/>
      <c r="J93" s="362"/>
      <c r="K93" s="359"/>
    </row>
    <row r="94" spans="1:11" s="360" customFormat="1">
      <c r="A94" s="364" t="str">
        <f>'Sources and Uses Budget'!$A94</f>
        <v>Other: (Escrow)</v>
      </c>
      <c r="B94" s="361">
        <f>'Sources and Uses Budget'!C94</f>
        <v>32761</v>
      </c>
      <c r="C94" s="362"/>
      <c r="D94" s="362"/>
      <c r="E94" s="361">
        <f>'Sources and Uses Budget'!S94</f>
        <v>0</v>
      </c>
      <c r="F94" s="362"/>
      <c r="G94" s="362"/>
      <c r="H94" s="361">
        <f>'Sources and Uses Budget'!T94</f>
        <v>0</v>
      </c>
      <c r="I94" s="362"/>
      <c r="J94" s="362"/>
      <c r="K94" s="359"/>
    </row>
    <row r="95" spans="1:11" s="360" customFormat="1">
      <c r="A95" s="364" t="str">
        <f>'Sources and Uses Budget'!$A95</f>
        <v>Other: (Prepaid Insurance)</v>
      </c>
      <c r="B95" s="361">
        <f>'Sources and Uses Budget'!C95</f>
        <v>62209</v>
      </c>
      <c r="C95" s="362"/>
      <c r="D95" s="362"/>
      <c r="E95" s="361">
        <f>'Sources and Uses Budget'!S95</f>
        <v>62209</v>
      </c>
      <c r="F95" s="362"/>
      <c r="G95" s="362"/>
      <c r="H95" s="361">
        <f>'Sources and Uses Budget'!T95</f>
        <v>0</v>
      </c>
      <c r="I95" s="362"/>
      <c r="J95" s="362"/>
      <c r="K95" s="359"/>
    </row>
    <row r="96" spans="1:11" s="360" customFormat="1">
      <c r="A96" s="365" t="s">
        <v>775</v>
      </c>
      <c r="B96" s="361">
        <f>'Sources and Uses Budget'!C96</f>
        <v>333116</v>
      </c>
      <c r="C96" s="361">
        <f>SUM(C83:C95)</f>
        <v>0</v>
      </c>
      <c r="D96" s="361">
        <f>SUM(D83:D95)</f>
        <v>0</v>
      </c>
      <c r="E96" s="361">
        <f>'Sources and Uses Budget'!S96</f>
        <v>204724</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39318144</v>
      </c>
      <c r="C97" s="361">
        <f>SUM(C63+C70+C77+C81+C96)</f>
        <v>0</v>
      </c>
      <c r="D97" s="361">
        <f>SUM(D63+D70+D77+D81+D96)</f>
        <v>0</v>
      </c>
      <c r="E97" s="361">
        <f>'Sources and Uses Budget'!S97</f>
        <v>13825512</v>
      </c>
      <c r="F97" s="367">
        <f>SUM(+F63+F70+F81+F96)</f>
        <v>0</v>
      </c>
      <c r="G97" s="367">
        <f>SUM(+G63+G70+G81+G96)</f>
        <v>0</v>
      </c>
      <c r="H97" s="361">
        <f>'Sources and Uses Budget'!T97</f>
        <v>21928200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1500000</v>
      </c>
      <c r="C99" s="362"/>
      <c r="D99" s="362"/>
      <c r="E99" s="361">
        <f>'Sources and Uses Budget'!S99</f>
        <v>1500000</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1500000</v>
      </c>
      <c r="C104" s="361">
        <f>SUM(C99:C103)</f>
        <v>0</v>
      </c>
      <c r="D104" s="361">
        <f>SUM(D99:D103)</f>
        <v>0</v>
      </c>
      <c r="E104" s="361">
        <f>'Sources and Uses Budget'!S104</f>
        <v>1500000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40818144</v>
      </c>
      <c r="C105" s="367">
        <f>SUM(C97+C104)</f>
        <v>0</v>
      </c>
      <c r="D105" s="367">
        <f>SUM(D97+D104)</f>
        <v>0</v>
      </c>
      <c r="E105" s="361">
        <f>'Sources and Uses Budget'!S105</f>
        <v>15325512</v>
      </c>
      <c r="F105" s="367">
        <f>F97+F104</f>
        <v>0</v>
      </c>
      <c r="G105" s="367">
        <f>G97+G104</f>
        <v>0</v>
      </c>
      <c r="H105" s="361">
        <f>'Sources and Uses Budget'!T105</f>
        <v>21928200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15325512</v>
      </c>
      <c r="F107" s="367">
        <f>F105+F106</f>
        <v>0</v>
      </c>
      <c r="G107" s="367">
        <f>G105+G106</f>
        <v>0</v>
      </c>
      <c r="H107" s="361">
        <f>'Sources and Uses Budget'!T107</f>
        <v>21928200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11" workbookViewId="0">
      <selection activeCell="H232" sqref="H232:AZ23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Shiloh Arms</v>
      </c>
      <c r="M4" s="2313"/>
      <c r="N4" s="2313"/>
      <c r="O4" s="2313"/>
      <c r="P4" s="2313"/>
      <c r="Q4" s="2313"/>
      <c r="R4" s="2313"/>
      <c r="S4" s="2313"/>
      <c r="T4" s="2313"/>
      <c r="U4" s="2313"/>
      <c r="V4" s="2313"/>
      <c r="W4" s="2313"/>
      <c r="X4" s="2313"/>
      <c r="Y4" s="2313"/>
      <c r="Z4" s="2313"/>
      <c r="AA4" s="2313"/>
      <c r="AB4" s="2313"/>
      <c r="AC4" s="2314"/>
      <c r="AD4" s="1190"/>
      <c r="AE4" s="1190"/>
      <c r="AF4" s="2308" t="s">
        <v>2455</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2454</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2" t="str">
        <f>IF(Application!H16="","",Application!H16)</f>
        <v>OAHS Shiloh TC LP</v>
      </c>
      <c r="M6" s="2313"/>
      <c r="N6" s="2313"/>
      <c r="O6" s="2313"/>
      <c r="P6" s="2313"/>
      <c r="Q6" s="2313"/>
      <c r="R6" s="2313"/>
      <c r="S6" s="2313"/>
      <c r="T6" s="2313"/>
      <c r="U6" s="2313"/>
      <c r="V6" s="2313"/>
      <c r="W6" s="2313"/>
      <c r="X6" s="2313"/>
      <c r="Y6" s="2313"/>
      <c r="Z6" s="2313"/>
      <c r="AA6" s="2313"/>
      <c r="AB6" s="2313"/>
      <c r="AC6" s="2314"/>
      <c r="AD6" s="1190"/>
      <c r="AE6" s="1190"/>
      <c r="AF6" s="2315" t="s">
        <v>2452</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2451</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2449</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2448</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1">
        <f>Application!AO627</f>
        <v>21257769</v>
      </c>
      <c r="O10" s="2311"/>
      <c r="P10" s="2311"/>
      <c r="Q10" s="2311"/>
      <c r="R10" s="2311"/>
      <c r="S10" s="2311"/>
      <c r="T10" s="2311"/>
      <c r="U10" s="1190"/>
      <c r="V10" s="1190"/>
      <c r="W10" s="1190"/>
      <c r="X10" s="1193"/>
      <c r="Y10" s="1193"/>
      <c r="Z10" s="1193"/>
      <c r="AA10" s="1193"/>
      <c r="AB10" s="1193"/>
      <c r="AC10" s="1193"/>
      <c r="AD10" s="1193"/>
      <c r="AE10" s="1193"/>
      <c r="AF10" s="2308" t="s">
        <v>2445</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2442</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9" t="s">
        <v>2440</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2439</v>
      </c>
      <c r="AB13" s="2289"/>
      <c r="AC13" s="2289"/>
      <c r="AD13" s="2289"/>
      <c r="AE13" s="2289"/>
      <c r="AF13" s="2289"/>
      <c r="AG13" s="2289"/>
      <c r="AH13" s="2289"/>
      <c r="AI13" s="2289"/>
      <c r="AJ13" s="2289"/>
      <c r="AK13" s="2289"/>
      <c r="AL13" s="2289"/>
      <c r="AM13" s="2289"/>
      <c r="AN13" s="2289"/>
      <c r="AO13" s="2305">
        <f>Application!W473</f>
        <v>9</v>
      </c>
      <c r="AP13" s="2306"/>
      <c r="AQ13" s="2306"/>
      <c r="AR13" s="2306"/>
      <c r="AS13" s="2306"/>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2437</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2436</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2435</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2434</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2433</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2432</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53</v>
      </c>
      <c r="K19" s="2282"/>
      <c r="L19" s="2282"/>
      <c r="M19" s="2282"/>
      <c r="N19" s="2282"/>
      <c r="O19" s="2283"/>
      <c r="P19" s="2281" cm="1">
        <f t="array" ref="P19">SUMPRODUCT((Application!$B$718:$B$752 = 'CalHFA Addendum'!P$18)*(Application!$AC$718:$AC$752 = 'CalHFA Addendum'!$B19),Application!$G$718:$G$752)</f>
        <v>5</v>
      </c>
      <c r="Q19" s="2282"/>
      <c r="R19" s="2282"/>
      <c r="S19" s="2282"/>
      <c r="T19" s="2282"/>
      <c r="U19" s="2283"/>
      <c r="V19" s="2281" cm="1">
        <f t="array" ref="V19">SUMPRODUCT((Application!$B$714:$B$738 = 'CalHFA Addendum'!V$18)*(Application!$AC$714:$AC$738 = 'CalHFA Addendum'!$B19),Application!$G$714:$G$738)</f>
        <v>9</v>
      </c>
      <c r="W19" s="2282"/>
      <c r="X19" s="2282"/>
      <c r="Y19" s="2282"/>
      <c r="Z19" s="2282"/>
      <c r="AA19" s="2283"/>
      <c r="AB19" s="2281" cm="1">
        <f t="array" ref="AB19">SUMPRODUCT((Application!$B$714:$B$738 = 'CalHFA Addendum'!AB$18)*(Application!$AC$714:$AC$738 = 'CalHFA Addendum'!$B19),Application!$G$714:$G$738)</f>
        <v>14</v>
      </c>
      <c r="AC19" s="2282"/>
      <c r="AD19" s="2282"/>
      <c r="AE19" s="2282"/>
      <c r="AF19" s="2282"/>
      <c r="AG19" s="2283"/>
      <c r="AH19" s="2281" cm="1">
        <f t="array" ref="AH19">SUMPRODUCT((Application!$B$714:$B$738 = 'CalHFA Addendum'!AH$18)*(Application!$AC$714:$AC$738 = 'CalHFA Addendum'!$B19),Application!$G$714:$G$738)</f>
        <v>21</v>
      </c>
      <c r="AI19" s="2282"/>
      <c r="AJ19" s="2282"/>
      <c r="AK19" s="2282"/>
      <c r="AL19" s="2282"/>
      <c r="AM19" s="2283"/>
      <c r="AN19" s="2281" cm="1">
        <f t="array" ref="AN19">SUMPRODUCT((Application!$B$714:$B$738 = 'CalHFA Addendum'!AN$18)*(Application!$AC$714:$AC$738 = 'CalHFA Addendum'!$B19),Application!$G$714:$G$738)</f>
        <v>4</v>
      </c>
      <c r="AO19" s="2282"/>
      <c r="AP19" s="2282"/>
      <c r="AQ19" s="2282"/>
      <c r="AR19" s="2282"/>
      <c r="AS19" s="2283"/>
      <c r="AT19" s="2266">
        <f t="shared" ref="AT19:AT29" si="1">J19/$J$29</f>
        <v>0.5</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0</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52</v>
      </c>
      <c r="K22" s="2282"/>
      <c r="L22" s="2282"/>
      <c r="M22" s="2282"/>
      <c r="N22" s="2282"/>
      <c r="O22" s="2283"/>
      <c r="P22" s="2281" cm="1">
        <f t="array" ref="P22">SUMPRODUCT((Application!$B$714:$B$738 = 'CalHFA Addendum'!P$18)*(Application!$AC$714:$AC$738 = 'CalHFA Addendum'!$B22),Application!$G$714:$G$738)</f>
        <v>5</v>
      </c>
      <c r="Q22" s="2282"/>
      <c r="R22" s="2282"/>
      <c r="S22" s="2282"/>
      <c r="T22" s="2282"/>
      <c r="U22" s="2283"/>
      <c r="V22" s="2281" cm="1">
        <f t="array" ref="V22">SUMPRODUCT((Application!$B$714:$B$738 = 'CalHFA Addendum'!V$18)*(Application!$AC$714:$AC$738 = 'CalHFA Addendum'!$B22),Application!$G$714:$G$738)</f>
        <v>9</v>
      </c>
      <c r="W22" s="2282"/>
      <c r="X22" s="2282"/>
      <c r="Y22" s="2282"/>
      <c r="Z22" s="2282"/>
      <c r="AA22" s="2283"/>
      <c r="AB22" s="2281" cm="1">
        <f t="array" ref="AB22">SUMPRODUCT((Application!$B$714:$B$738 = 'CalHFA Addendum'!AB$18)*(Application!$AC$714:$AC$738 = 'CalHFA Addendum'!$B22),Application!$G$714:$G$738)</f>
        <v>13</v>
      </c>
      <c r="AC22" s="2282"/>
      <c r="AD22" s="2282"/>
      <c r="AE22" s="2282"/>
      <c r="AF22" s="2282"/>
      <c r="AG22" s="2283"/>
      <c r="AH22" s="2281" cm="1">
        <f t="array" ref="AH22">SUMPRODUCT((Application!$B$714:$B$738 = 'CalHFA Addendum'!AH$18)*(Application!$AC$714:$AC$738 = 'CalHFA Addendum'!$B22),Application!$G$714:$G$738)</f>
        <v>21</v>
      </c>
      <c r="AI22" s="2282"/>
      <c r="AJ22" s="2282"/>
      <c r="AK22" s="2282"/>
      <c r="AL22" s="2282"/>
      <c r="AM22" s="2283"/>
      <c r="AN22" s="2281" cm="1">
        <f t="array" ref="AN22">SUMPRODUCT((Application!$B$714:$B$738 = 'CalHFA Addendum'!AN$18)*(Application!$AC$714:$AC$738 = 'CalHFA Addendum'!$B22),Application!$G$714:$G$738)</f>
        <v>4</v>
      </c>
      <c r="AO22" s="2282"/>
      <c r="AP22" s="2282"/>
      <c r="AQ22" s="2282"/>
      <c r="AR22" s="2282"/>
      <c r="AS22" s="2283"/>
      <c r="AT22" s="2266">
        <f t="shared" si="1"/>
        <v>0.49056603773584906</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2431</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9.433962264150943E-3</v>
      </c>
      <c r="AU28" s="2276"/>
      <c r="AV28" s="2276"/>
      <c r="AW28" s="2276"/>
      <c r="AX28" s="2276"/>
      <c r="AY28" s="2277"/>
      <c r="AZ28" s="1190"/>
      <c r="BA28" s="1190"/>
      <c r="BB28" s="1190"/>
      <c r="BC28" s="1190"/>
      <c r="BD28" s="1190"/>
      <c r="BE28" s="1194"/>
    </row>
    <row r="29" spans="1:58" thickBot="1">
      <c r="A29" s="1190"/>
      <c r="B29" s="2252" t="s">
        <v>1587</v>
      </c>
      <c r="C29" s="2225"/>
      <c r="D29" s="2225"/>
      <c r="E29" s="2225"/>
      <c r="F29" s="2225"/>
      <c r="G29" s="2225"/>
      <c r="H29" s="2225"/>
      <c r="I29" s="2226"/>
      <c r="J29" s="2224">
        <f>SUM(J19:O28)</f>
        <v>106</v>
      </c>
      <c r="K29" s="2225"/>
      <c r="L29" s="2225"/>
      <c r="M29" s="2225"/>
      <c r="N29" s="2225"/>
      <c r="O29" s="2226"/>
      <c r="P29" s="2224">
        <f>SUM(P19:U28)</f>
        <v>10</v>
      </c>
      <c r="Q29" s="2225"/>
      <c r="R29" s="2225"/>
      <c r="S29" s="2225"/>
      <c r="T29" s="2225"/>
      <c r="U29" s="2226"/>
      <c r="V29" s="2224">
        <f>SUM(V19:AA28)</f>
        <v>18</v>
      </c>
      <c r="W29" s="2225"/>
      <c r="X29" s="2225"/>
      <c r="Y29" s="2225"/>
      <c r="Z29" s="2225"/>
      <c r="AA29" s="2226"/>
      <c r="AB29" s="2224">
        <f>SUM(AB19:AG28)</f>
        <v>28</v>
      </c>
      <c r="AC29" s="2225"/>
      <c r="AD29" s="2225"/>
      <c r="AE29" s="2225"/>
      <c r="AF29" s="2225"/>
      <c r="AG29" s="2226"/>
      <c r="AH29" s="2224">
        <f>SUM(AH19:AM28)</f>
        <v>42</v>
      </c>
      <c r="AI29" s="2225"/>
      <c r="AJ29" s="2225"/>
      <c r="AK29" s="2225"/>
      <c r="AL29" s="2225"/>
      <c r="AM29" s="2226"/>
      <c r="AN29" s="2224">
        <f>SUM(AN19:AS28)</f>
        <v>8</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2429</v>
      </c>
      <c r="C32" s="2234"/>
      <c r="D32" s="2234"/>
      <c r="E32" s="2234"/>
      <c r="F32" s="2234"/>
      <c r="G32" s="2234"/>
      <c r="H32" s="2234"/>
      <c r="I32" s="2234"/>
      <c r="J32" s="2237" t="s">
        <v>2428</v>
      </c>
      <c r="K32" s="2238"/>
      <c r="L32" s="2238"/>
      <c r="M32" s="2238"/>
      <c r="N32" s="2237" t="s">
        <v>2427</v>
      </c>
      <c r="O32" s="2238"/>
      <c r="P32" s="2238"/>
      <c r="Q32" s="2240"/>
      <c r="R32" s="2242" t="s">
        <v>2426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2424</v>
      </c>
      <c r="AT35" s="2254"/>
      <c r="AU35" s="2254"/>
      <c r="AV35" s="2254"/>
      <c r="AW35" s="2254"/>
      <c r="AX35" s="2262"/>
      <c r="AY35" s="2253" t="s">
        <v>2423</v>
      </c>
      <c r="AZ35" s="2254"/>
      <c r="BA35" s="2254"/>
      <c r="BB35" s="2254"/>
      <c r="BC35" s="2254"/>
      <c r="BD35" s="2255"/>
      <c r="BE35" s="1194"/>
    </row>
    <row r="36" spans="1:58" ht="15.75" customHeight="1">
      <c r="A36" s="1190"/>
      <c r="B36" s="2157" t="s">
        <v>2422</v>
      </c>
      <c r="C36" s="2158"/>
      <c r="D36" s="2158"/>
      <c r="E36" s="2158"/>
      <c r="F36" s="2158"/>
      <c r="G36" s="2158"/>
      <c r="H36" s="2158"/>
      <c r="I36" s="2158"/>
      <c r="J36" s="2222" t="s">
        <v>2421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2420</v>
      </c>
      <c r="C37" s="2158"/>
      <c r="D37" s="2158"/>
      <c r="E37" s="2158"/>
      <c r="F37" s="2158"/>
      <c r="G37" s="2158"/>
      <c r="H37" s="2158"/>
      <c r="I37" s="2158"/>
      <c r="J37" s="2222" t="s">
        <v>2419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2418</v>
      </c>
      <c r="C38" s="2158"/>
      <c r="D38" s="2158"/>
      <c r="E38" s="2158"/>
      <c r="F38" s="2158"/>
      <c r="G38" s="2158"/>
      <c r="H38" s="2158"/>
      <c r="I38" s="2158"/>
      <c r="J38" s="2222" t="s">
        <v>2417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2336</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2409</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2402</v>
      </c>
      <c r="C51" s="2100"/>
      <c r="D51" s="2100"/>
      <c r="E51" s="2100"/>
      <c r="F51" s="2100"/>
      <c r="G51" s="2100"/>
      <c r="H51" s="2100"/>
      <c r="I51" s="2100"/>
      <c r="J51" s="2100" t="s">
        <v>2408</v>
      </c>
      <c r="K51" s="2100"/>
      <c r="L51" s="2100"/>
      <c r="M51" s="2100"/>
      <c r="N51" s="2100"/>
      <c r="O51" s="2100"/>
      <c r="P51" s="2100"/>
      <c r="Q51" s="2100"/>
      <c r="R51" s="2201" t="s">
        <v>2407</v>
      </c>
      <c r="S51" s="2201"/>
      <c r="T51" s="2201"/>
      <c r="U51" s="2201"/>
      <c r="V51" s="2201"/>
      <c r="W51" s="2201"/>
      <c r="X51" s="2201"/>
      <c r="Y51" s="2201"/>
      <c r="Z51" s="2201" t="s">
        <v>2406</v>
      </c>
      <c r="AA51" s="2201"/>
      <c r="AB51" s="2201"/>
      <c r="AC51" s="2201"/>
      <c r="AD51" s="2201"/>
      <c r="AE51" s="2201"/>
      <c r="AF51" s="2201"/>
      <c r="AG51" s="2201"/>
      <c r="AH51" s="2201" t="s">
        <v>2405</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2404</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2403</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2402</v>
      </c>
      <c r="C59" s="2191"/>
      <c r="D59" s="2191"/>
      <c r="E59" s="2191"/>
      <c r="F59" s="2191"/>
      <c r="G59" s="2191"/>
      <c r="H59" s="2191"/>
      <c r="I59" s="2192"/>
      <c r="J59" s="2098" t="s">
        <v>2401</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2399</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2398</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2397</v>
      </c>
    </row>
    <row r="69" spans="1:94" ht="15.75" customHeight="1" thickTop="1" thickBot="1">
      <c r="A69" s="1190"/>
      <c r="B69" s="2175" t="s">
        <v>2396</v>
      </c>
      <c r="C69" s="2176"/>
      <c r="D69" s="2176"/>
      <c r="E69" s="2176"/>
      <c r="F69" s="2176"/>
      <c r="G69" s="2176"/>
      <c r="H69" s="2176"/>
      <c r="I69" s="2176"/>
      <c r="J69" s="2176"/>
      <c r="K69" s="2176"/>
      <c r="L69" s="2176"/>
      <c r="M69" s="2176"/>
      <c r="N69" s="2176"/>
      <c r="O69" s="2177" t="s">
        <v>2395</v>
      </c>
      <c r="P69" s="2178"/>
      <c r="Q69" s="2178"/>
      <c r="R69" s="2178"/>
      <c r="S69" s="2178"/>
      <c r="T69" s="2178"/>
      <c r="U69" s="2178"/>
      <c r="V69" s="2178"/>
      <c r="W69" s="2178"/>
      <c r="X69" s="2178"/>
      <c r="Y69" s="2178"/>
      <c r="Z69" s="2178"/>
      <c r="AA69" s="2179"/>
      <c r="AB69" s="1190"/>
      <c r="AC69" s="2180" t="s">
        <v>2394</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2393</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2392</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2391</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2390</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2389</v>
      </c>
    </row>
    <row r="72" spans="1:94" ht="15.75" customHeight="1">
      <c r="A72" s="1190"/>
      <c r="B72" s="2157" t="s">
        <v>2388</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2387</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2386</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2331</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2384</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2383</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2382</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2381</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2371</v>
      </c>
      <c r="J84" s="2100"/>
      <c r="K84" s="2100"/>
      <c r="L84" s="2100"/>
      <c r="M84" s="2100"/>
      <c r="N84" s="2100"/>
      <c r="O84" s="2100" t="s">
        <v>2347</v>
      </c>
      <c r="P84" s="2100"/>
      <c r="Q84" s="2100"/>
      <c r="R84" s="2100"/>
      <c r="S84" s="2100"/>
      <c r="T84" s="2100"/>
      <c r="U84" s="2100"/>
      <c r="V84" s="2136" t="s">
        <v>2346</v>
      </c>
      <c r="W84" s="2136"/>
      <c r="X84" s="2136"/>
      <c r="Y84" s="2136"/>
      <c r="Z84" s="2136"/>
      <c r="AA84" s="2136"/>
      <c r="AB84" s="2070" t="s">
        <v>2370</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2369</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2368</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2375</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2367</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2379</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2378</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2377</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2376</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Kingdom Vivante, LLC (Kingdom Development, Inc.)</v>
      </c>
      <c r="BR96" s="1259">
        <f>Application!AH246</f>
        <v>1E-3</v>
      </c>
      <c r="CM96" s="1188"/>
      <c r="CN96" s="1188"/>
      <c r="CO96" s="1188"/>
      <c r="CP96" s="1188"/>
    </row>
    <row r="97" spans="1:94" ht="15.75" customHeight="1">
      <c r="A97" s="1190"/>
      <c r="B97" s="2132"/>
      <c r="C97" s="2100"/>
      <c r="D97" s="2100"/>
      <c r="E97" s="2100"/>
      <c r="F97" s="2100"/>
      <c r="G97" s="2100"/>
      <c r="H97" s="2100"/>
      <c r="I97" s="2100" t="s">
        <v>2371</v>
      </c>
      <c r="J97" s="2100"/>
      <c r="K97" s="2100"/>
      <c r="L97" s="2100"/>
      <c r="M97" s="2100"/>
      <c r="N97" s="2100"/>
      <c r="O97" s="2100" t="s">
        <v>2347</v>
      </c>
      <c r="P97" s="2100"/>
      <c r="Q97" s="2100"/>
      <c r="R97" s="2100"/>
      <c r="S97" s="2100"/>
      <c r="T97" s="2100"/>
      <c r="U97" s="2100"/>
      <c r="V97" s="2136" t="s">
        <v>2346</v>
      </c>
      <c r="W97" s="2136"/>
      <c r="X97" s="2136"/>
      <c r="Y97" s="2136"/>
      <c r="Z97" s="2136"/>
      <c r="AA97" s="2136"/>
      <c r="AB97" s="2070" t="s">
        <v>2370</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OAHS Shiloh AGP LLC (Orbach Affordable Housing Solutions, LLC)</v>
      </c>
      <c r="BR97" s="1259">
        <f>Application!AH254</f>
        <v>8.9999999999999993E-3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2369</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2368</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2375</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2367</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Orbach Affordable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2372</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2371</v>
      </c>
      <c r="J108" s="2100"/>
      <c r="K108" s="2100"/>
      <c r="L108" s="2100"/>
      <c r="M108" s="2100"/>
      <c r="N108" s="2100"/>
      <c r="O108" s="2100" t="s">
        <v>2347</v>
      </c>
      <c r="P108" s="2100"/>
      <c r="Q108" s="2100"/>
      <c r="R108" s="2100"/>
      <c r="S108" s="2100"/>
      <c r="T108" s="2100"/>
      <c r="U108" s="2100"/>
      <c r="V108" s="2136" t="s">
        <v>2346</v>
      </c>
      <c r="W108" s="2136"/>
      <c r="X108" s="2136"/>
      <c r="Y108" s="2136"/>
      <c r="Z108" s="2136"/>
      <c r="AA108" s="2136"/>
      <c r="AB108" s="2070" t="s">
        <v>2370</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2369</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2368</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2367</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2365</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2365</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2363</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2362</v>
      </c>
      <c r="J127" s="2100"/>
      <c r="K127" s="2100"/>
      <c r="L127" s="2100"/>
      <c r="M127" s="2100"/>
      <c r="N127" s="2100"/>
      <c r="O127" s="2101" t="s">
        <v>2361</v>
      </c>
      <c r="P127" s="2101"/>
      <c r="Q127" s="2101"/>
      <c r="R127" s="2101"/>
      <c r="S127" s="2101"/>
      <c r="T127" s="2101"/>
      <c r="U127" s="2102"/>
      <c r="V127" s="1190"/>
      <c r="W127" s="1190"/>
      <c r="X127" s="2040" t="s">
        <v>2331</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2345</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2344</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2359</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2347</v>
      </c>
      <c r="J134" s="2075"/>
      <c r="K134" s="2075"/>
      <c r="L134" s="2075"/>
      <c r="M134" s="2075"/>
      <c r="N134" s="2075"/>
      <c r="O134" s="2075"/>
      <c r="P134" s="2075" t="s">
        <v>2346</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2345</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2344</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2358</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2357</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2356</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2355</v>
      </c>
      <c r="C142" s="2083"/>
      <c r="D142" s="2083"/>
      <c r="E142" s="2083"/>
      <c r="F142" s="2083"/>
      <c r="G142" s="2083"/>
      <c r="H142" s="2083"/>
      <c r="I142" s="2083"/>
      <c r="J142" s="2083"/>
      <c r="K142" s="2083"/>
      <c r="L142" s="2083"/>
      <c r="M142" s="2083"/>
      <c r="N142" s="2083"/>
      <c r="O142" s="2083"/>
      <c r="P142" s="2083"/>
      <c r="Q142" s="2083"/>
      <c r="R142" s="2084" t="s">
        <v>2354</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2353</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2347</v>
      </c>
      <c r="J157" s="2075"/>
      <c r="K157" s="2075"/>
      <c r="L157" s="2075"/>
      <c r="M157" s="2075"/>
      <c r="N157" s="2075"/>
      <c r="O157" s="2075"/>
      <c r="P157" s="2075" t="s">
        <v>2348</v>
      </c>
      <c r="Q157" s="2075"/>
      <c r="R157" s="2075"/>
      <c r="S157" s="2075"/>
      <c r="T157" s="2075"/>
      <c r="U157" s="2076"/>
      <c r="V157" s="1190"/>
      <c r="W157" s="1190"/>
      <c r="X157" s="2037"/>
      <c r="Y157" s="2038"/>
      <c r="Z157" s="2038"/>
      <c r="AA157" s="2038"/>
      <c r="AB157" s="2038"/>
      <c r="AC157" s="2038"/>
      <c r="AD157" s="2038"/>
      <c r="AE157" s="2075" t="s">
        <v>2347</v>
      </c>
      <c r="AF157" s="2075"/>
      <c r="AG157" s="2075"/>
      <c r="AH157" s="2075"/>
      <c r="AI157" s="2075"/>
      <c r="AJ157" s="2075"/>
      <c r="AK157" s="2075"/>
      <c r="AL157" s="2075" t="s">
        <v>2346</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2345</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2345</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2344</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2328</v>
      </c>
      <c r="D163" s="2038"/>
      <c r="E163" s="2038"/>
      <c r="F163" s="2038"/>
      <c r="G163" s="2038"/>
      <c r="H163" s="2038"/>
      <c r="I163" s="2038"/>
      <c r="J163" s="2038"/>
      <c r="K163" s="2038"/>
      <c r="L163" s="2038"/>
      <c r="M163" s="2038"/>
      <c r="N163" s="2038"/>
      <c r="O163" s="2038"/>
      <c r="P163" s="2038"/>
      <c r="Q163" s="2038" t="s">
        <v>2342</v>
      </c>
      <c r="R163" s="2038"/>
      <c r="S163" s="2038"/>
      <c r="T163" s="2070" t="s">
        <v>2341</v>
      </c>
      <c r="U163" s="2070"/>
      <c r="V163" s="2070"/>
      <c r="W163" s="2070"/>
      <c r="X163" s="2070"/>
      <c r="Y163" s="2070"/>
      <c r="Z163" s="2070"/>
      <c r="AA163" s="2070"/>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2339</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2338</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2337</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2336</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2317</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2317</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2317</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2331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2330</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2328</v>
      </c>
      <c r="D184" s="2024"/>
      <c r="E184" s="2024"/>
      <c r="F184" s="2024"/>
      <c r="G184" s="2024"/>
      <c r="H184" s="2024"/>
      <c r="I184" s="2024"/>
      <c r="J184" s="2024"/>
      <c r="K184" s="2024"/>
      <c r="L184" s="2024"/>
      <c r="M184" s="2024"/>
      <c r="N184" s="2024" t="s">
        <v>2329</v>
      </c>
      <c r="O184" s="2024"/>
      <c r="P184" s="2024"/>
      <c r="Q184" s="2024"/>
      <c r="R184" s="2024"/>
      <c r="S184" s="2024"/>
      <c r="T184" s="2024"/>
      <c r="U184" s="2025" t="s">
        <v>2328</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2327</v>
      </c>
      <c r="D185" s="2003"/>
      <c r="E185" s="2003"/>
      <c r="F185" s="2003"/>
      <c r="G185" s="2003"/>
      <c r="H185" s="2003"/>
      <c r="I185" s="2003"/>
      <c r="J185" s="2003"/>
      <c r="K185" s="2003"/>
      <c r="L185" s="2003"/>
      <c r="M185" s="2003"/>
      <c r="N185" s="2013">
        <f>'Sources and Uses Budget'!B105</f>
        <v>40818144</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2326</v>
      </c>
      <c r="D186" s="2003"/>
      <c r="E186" s="2003"/>
      <c r="F186" s="2003"/>
      <c r="G186" s="2003"/>
      <c r="H186" s="2003"/>
      <c r="I186" s="2003"/>
      <c r="J186" s="2003"/>
      <c r="K186" s="2003"/>
      <c r="L186" s="2003"/>
      <c r="M186" s="2003"/>
      <c r="N186" s="2013">
        <f>N185/J29</f>
        <v>385076.83018867922</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2325</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2324</v>
      </c>
      <c r="D188" s="2003"/>
      <c r="E188" s="2003"/>
      <c r="F188" s="2003"/>
      <c r="G188" s="2003"/>
      <c r="H188" s="2003"/>
      <c r="I188" s="2003"/>
      <c r="J188" s="2003"/>
      <c r="K188" s="2003"/>
      <c r="L188" s="2003"/>
      <c r="M188" s="2003"/>
      <c r="N188" s="2032">
        <f>SUM('Sources and Uses Budget'!B85:B86)</f>
        <v>0</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2323</v>
      </c>
      <c r="D189" s="2003"/>
      <c r="E189" s="2003"/>
      <c r="F189" s="2003"/>
      <c r="G189" s="2003"/>
      <c r="H189" s="2003"/>
      <c r="I189" s="2003"/>
      <c r="J189" s="2003"/>
      <c r="K189" s="2003"/>
      <c r="L189" s="2003"/>
      <c r="M189" s="2003"/>
      <c r="N189" s="2032">
        <f>'Sources and Uses Budget'!B8</f>
        <v>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2321</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2322</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2321</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2320</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2319</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2317</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2318</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2317</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2317</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2316</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2315</v>
      </c>
      <c r="D195" s="1957"/>
      <c r="E195" s="1957"/>
      <c r="F195" s="1957"/>
      <c r="G195" s="1957"/>
      <c r="H195" s="1957"/>
      <c r="I195" s="1957"/>
      <c r="J195" s="1957"/>
      <c r="K195" s="1957"/>
      <c r="L195" s="1957"/>
      <c r="M195" s="1957"/>
      <c r="N195" s="1958">
        <f>SUM(N187:T194)</f>
        <v>0</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2314</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2313</v>
      </c>
      <c r="D196" s="1967"/>
      <c r="E196" s="1967"/>
      <c r="F196" s="1967"/>
      <c r="G196" s="1967"/>
      <c r="H196" s="1967"/>
      <c r="I196" s="1967"/>
      <c r="J196" s="1967"/>
      <c r="K196" s="1967"/>
      <c r="L196" s="1967"/>
      <c r="M196" s="1967"/>
      <c r="N196" s="1968">
        <f>(N185-N195)/J29</f>
        <v>385076.83018867922</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2312</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2311</v>
      </c>
      <c r="D200" s="1954"/>
      <c r="E200" s="1954"/>
      <c r="F200" s="1954"/>
      <c r="G200" s="1954"/>
      <c r="H200" s="1954"/>
      <c r="I200" s="1954"/>
      <c r="J200" s="1954"/>
      <c r="K200" s="1954"/>
      <c r="L200" s="1954"/>
      <c r="M200" s="1954"/>
      <c r="N200" s="1954"/>
      <c r="O200" s="1955" t="s">
        <v>2310</v>
      </c>
      <c r="P200" s="1955"/>
      <c r="Q200" s="1955"/>
      <c r="R200" s="1955"/>
      <c r="S200" s="1955"/>
      <c r="T200" s="1955"/>
      <c r="U200" s="1955"/>
      <c r="V200" s="1955"/>
      <c r="W200" s="1955"/>
      <c r="X200" s="1955" t="s">
        <v>2309</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2308</v>
      </c>
      <c r="D201" s="1946"/>
      <c r="E201" s="1946"/>
      <c r="F201" s="1946"/>
      <c r="G201" s="1946"/>
      <c r="H201" s="1946"/>
      <c r="I201" s="1946"/>
      <c r="J201" s="1946"/>
      <c r="K201" s="1946"/>
      <c r="L201" s="1946"/>
      <c r="M201" s="1946"/>
      <c r="N201" s="1946"/>
      <c r="O201" s="1947" t="s">
        <v>2307</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2307</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2306</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2305</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2304</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2303</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2302</v>
      </c>
      <c r="D207" s="1925"/>
      <c r="E207" s="1925"/>
      <c r="F207" s="1926"/>
      <c r="G207" s="1930" t="s">
        <v>2301</v>
      </c>
      <c r="H207" s="1925"/>
      <c r="I207" s="1925"/>
      <c r="J207" s="1925"/>
      <c r="K207" s="1925"/>
      <c r="L207" s="1925"/>
      <c r="M207" s="1925"/>
      <c r="N207" s="1925"/>
      <c r="O207" s="1926"/>
      <c r="P207" s="1932" t="s">
        <v>2300</v>
      </c>
      <c r="Q207" s="1933"/>
      <c r="R207" s="1933"/>
      <c r="S207" s="1933"/>
      <c r="T207" s="1934"/>
      <c r="U207" s="1938" t="s">
        <v>2299</v>
      </c>
      <c r="V207" s="1939"/>
      <c r="W207" s="1939"/>
      <c r="X207" s="1940"/>
      <c r="Y207" s="1938" t="s">
        <v>2298</v>
      </c>
      <c r="Z207" s="1939"/>
      <c r="AA207" s="1939"/>
      <c r="AB207" s="1940"/>
      <c r="AC207" s="1938" t="s">
        <v>2297</v>
      </c>
      <c r="AD207" s="1939"/>
      <c r="AE207" s="1939"/>
      <c r="AF207" s="1940"/>
      <c r="AG207" s="1930" t="s">
        <v>2296</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2295</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2293</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2292</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2291</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2290</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2288</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2287</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2286</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2285</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2284</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2283</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2282</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C13" sqref="C13:S1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15325512</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21928200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63" t="s">
        <v>961</v>
      </c>
      <c r="D18" s="1563"/>
      <c r="E18" s="1563"/>
      <c r="F18" s="1563"/>
      <c r="G18" s="1563"/>
      <c r="H18" s="1563"/>
      <c r="I18" s="1563"/>
      <c r="J18" s="1563"/>
      <c r="K18" s="1563"/>
      <c r="L18" s="1563"/>
      <c r="M18" s="1563"/>
      <c r="N18" s="1563"/>
      <c r="O18" s="1563"/>
      <c r="P18" s="1563"/>
      <c r="Q18" s="1563"/>
      <c r="R18" s="1563"/>
      <c r="S18" s="156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63" t="s">
        <v>961</v>
      </c>
      <c r="D19" s="1563"/>
      <c r="E19" s="1563"/>
      <c r="F19" s="1563"/>
      <c r="G19" s="1563"/>
      <c r="H19" s="1563"/>
      <c r="I19" s="1563"/>
      <c r="J19" s="1563"/>
      <c r="K19" s="1563"/>
      <c r="L19" s="1563"/>
      <c r="M19" s="1563"/>
      <c r="N19" s="1563"/>
      <c r="O19" s="1563"/>
      <c r="P19" s="1563"/>
      <c r="Q19" s="1563"/>
      <c r="R19" s="1563"/>
      <c r="S19" s="156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15325512</v>
      </c>
      <c r="U23" s="2333"/>
      <c r="V23" s="2333"/>
      <c r="W23" s="2333"/>
      <c r="X23" s="2333"/>
      <c r="Y23" s="2352">
        <f>Y11+Y22</f>
        <v>0</v>
      </c>
      <c r="Z23" s="2333"/>
      <c r="AA23" s="2333"/>
      <c r="AB23" s="2333"/>
      <c r="AC23" s="2333"/>
      <c r="AD23" s="2352">
        <f>AD11+AD22</f>
        <v>21928200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106426480</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19923165.600000001</v>
      </c>
      <c r="U26" s="2333"/>
      <c r="V26" s="2333"/>
      <c r="W26" s="2333"/>
      <c r="X26" s="2333"/>
      <c r="Y26" s="2352">
        <f>Y23*Y25</f>
        <v>0</v>
      </c>
      <c r="Z26" s="2333"/>
      <c r="AA26" s="2333"/>
      <c r="AB26" s="2333"/>
      <c r="AC26" s="2333"/>
      <c r="AD26" s="2352">
        <f>AD23*AD25</f>
        <v>21928200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19923165.600000001</v>
      </c>
      <c r="U28" s="2333"/>
      <c r="V28" s="2333"/>
      <c r="W28" s="2333"/>
      <c r="X28" s="2333"/>
      <c r="Y28" s="2352">
        <f>IF(ISERROR((Y26*Y27)),0,(Y26*Y27))</f>
        <v>0</v>
      </c>
      <c r="Z28" s="2333"/>
      <c r="AA28" s="2333"/>
      <c r="AB28" s="2333"/>
      <c r="AC28" s="2333"/>
      <c r="AD28" s="2352">
        <f>IF(ISERROR((AD26*AD27)),0,(AD26*AD27))</f>
        <v>21928200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41851365.600000001</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19923165.600000001</v>
      </c>
      <c r="Z38" s="2333"/>
      <c r="AA38" s="2333"/>
      <c r="AB38" s="2333"/>
      <c r="AC38" s="2333"/>
      <c r="AD38" s="2333">
        <f>IF(T24&gt;=(T23+Y23+AD23+AI23),AD28+AI28,0)</f>
        <v>21928200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796927</v>
      </c>
      <c r="Z40" s="2333"/>
      <c r="AA40" s="2333"/>
      <c r="AB40" s="2333"/>
      <c r="AC40" s="2333"/>
      <c r="AD40" s="2352">
        <f>ROUND(AD38*AD39,0)</f>
        <v>877128</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1674055</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40818144</v>
      </c>
      <c r="AC47" s="2348"/>
      <c r="AD47" s="2348"/>
      <c r="AE47" s="2348"/>
      <c r="AF47" s="2349"/>
    </row>
    <row r="48" spans="1:76" ht="12.95" customHeight="1">
      <c r="D48" s="404" t="s">
        <v>21</v>
      </c>
      <c r="AB48" s="2347">
        <f>Application!AO639-MAX(IF('Sources and Uses Budget'!B15="",0,'Sources and Uses Budget'!B15),IF(Application!AG394="",0,Application!AG394))</f>
        <v>26757497</v>
      </c>
      <c r="AC48" s="2348"/>
      <c r="AD48" s="2348"/>
      <c r="AE48" s="2348"/>
      <c r="AF48" s="2349"/>
    </row>
    <row r="49" spans="1:76" ht="12.95" customHeight="1">
      <c r="D49" s="404" t="s">
        <v>91</v>
      </c>
      <c r="AB49" s="2347">
        <f>AB47-AB48</f>
        <v>14060647</v>
      </c>
      <c r="AC49" s="2348"/>
      <c r="AD49" s="2348"/>
      <c r="AE49" s="2348"/>
      <c r="AF49" s="2349"/>
    </row>
    <row r="50" spans="1:76" ht="12.95" customHeight="1">
      <c r="D50" s="404" t="s">
        <v>682</v>
      </c>
      <c r="AA50" s="415"/>
      <c r="AB50" s="2335">
        <f>AB49/(Y41*10)</f>
        <v>0.83991547470065198</v>
      </c>
      <c r="AC50" s="2336"/>
      <c r="AD50" s="2336"/>
      <c r="AE50" s="2336"/>
      <c r="AF50" s="2337"/>
    </row>
    <row r="51" spans="1:76" s="417" customFormat="1" ht="12.95" customHeight="1">
      <c r="A51" s="402"/>
      <c r="B51" s="402"/>
      <c r="C51" s="402"/>
      <c r="D51" s="402"/>
      <c r="E51" s="2346" t="s">
        <v>2612</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16740550</v>
      </c>
      <c r="AC54" s="2348"/>
      <c r="AD54" s="2348"/>
      <c r="AE54" s="2348"/>
      <c r="AF54" s="2349"/>
    </row>
    <row r="55" spans="1:76" ht="12.95" customHeight="1">
      <c r="D55" s="404" t="s">
        <v>333</v>
      </c>
      <c r="AB55" s="2347">
        <f>(AB54/10)</f>
        <v>1674055</v>
      </c>
      <c r="AC55" s="2348"/>
      <c r="AD55" s="2348"/>
      <c r="AE55" s="2348"/>
      <c r="AF55" s="2349"/>
    </row>
    <row r="56" spans="1:76" ht="12.95" customHeight="1">
      <c r="D56" s="404" t="s">
        <v>757</v>
      </c>
      <c r="AB56" s="2347">
        <f>ROUND((IF((Y41&lt;AB55),Y41,AB55)),0)</f>
        <v>1674055</v>
      </c>
      <c r="AC56" s="2348"/>
      <c r="AD56" s="2348"/>
      <c r="AE56" s="2348"/>
      <c r="AF56" s="2349"/>
    </row>
    <row r="57" spans="1:76" ht="12.95" customHeight="1">
      <c r="D57" s="404" t="s">
        <v>756</v>
      </c>
      <c r="AB57" s="2347">
        <f>ROUND((10*AB56*AB50),0)</f>
        <v>14060647</v>
      </c>
      <c r="AC57" s="2348"/>
      <c r="AD57" s="2348"/>
      <c r="AE57" s="2348"/>
      <c r="AF57" s="2349"/>
    </row>
    <row r="58" spans="1:76" ht="12.95" customHeight="1">
      <c r="D58" s="404"/>
      <c r="AB58" s="423"/>
      <c r="AC58" s="423"/>
      <c r="AD58" s="423"/>
      <c r="AE58" s="423"/>
      <c r="AF58" s="423"/>
    </row>
    <row r="59" spans="1:76" ht="12.95" customHeight="1">
      <c r="D59" s="404" t="s">
        <v>755</v>
      </c>
      <c r="AB59" s="2331">
        <f>AB49-AB57</f>
        <v>0</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1249</v>
      </c>
      <c r="Y63" s="2342" t="s">
        <v>985</v>
      </c>
      <c r="Z63" s="2342"/>
      <c r="AA63" s="2342"/>
      <c r="AB63" s="2342"/>
      <c r="AC63" s="2342"/>
      <c r="AD63" s="2342" t="s">
        <v>369</v>
      </c>
      <c r="AE63" s="2342"/>
      <c r="AF63" s="2342"/>
      <c r="AG63" s="2342"/>
      <c r="AH63" s="234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0</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v>
      </c>
      <c r="Z67" s="2332"/>
      <c r="AA67" s="2332"/>
      <c r="AB67" s="2332"/>
      <c r="AC67" s="2332"/>
      <c r="AD67" s="2332">
        <f>IF(Application!Z205="15% set-aside with qualifying low value rehab", 0.95,IF(OR(Application!D211="At-Risk",'Points System'!B13="Yes"),0.13,0))</f>
        <v>0</v>
      </c>
      <c r="AE67" s="2332"/>
      <c r="AF67" s="2332"/>
      <c r="AG67" s="2332"/>
      <c r="AH67" s="2332"/>
    </row>
    <row r="68" spans="1:36" ht="12.95" customHeight="1">
      <c r="C68" s="404"/>
      <c r="D68" s="205" t="s">
        <v>2225</v>
      </c>
      <c r="Y68" s="2333">
        <f>ROUND(Y64*Y67,0)</f>
        <v>0</v>
      </c>
      <c r="Z68" s="2334"/>
      <c r="AA68" s="2334"/>
      <c r="AB68" s="2334"/>
      <c r="AC68" s="2334"/>
      <c r="AD68" s="2333">
        <f>ROUND(AD64*AD67,0)</f>
        <v>0</v>
      </c>
      <c r="AE68" s="2334"/>
      <c r="AF68" s="2334"/>
      <c r="AG68" s="2334"/>
      <c r="AH68" s="2334"/>
    </row>
    <row r="69" spans="1:36" ht="12.95"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5"/>
      <c r="AC72" s="2336"/>
      <c r="AD72" s="2336"/>
      <c r="AE72" s="2336"/>
      <c r="AF72" s="2337"/>
    </row>
    <row r="73" spans="1:36" ht="12.95"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6">
        <f>ROUND(IF(ISERROR((AB59/AB72)),0,(AB59/AB72)),0)</f>
        <v>0</v>
      </c>
      <c r="AC77" s="2326"/>
      <c r="AD77" s="2326"/>
      <c r="AE77" s="2326"/>
      <c r="AF77" s="2326"/>
    </row>
    <row r="78" spans="1:36" ht="12.95" customHeight="1">
      <c r="C78" s="404"/>
      <c r="D78" s="205" t="s">
        <v>1254</v>
      </c>
      <c r="AB78" s="2327">
        <f>ROUNDUP(MIN(Y69,AB77),0)</f>
        <v>0</v>
      </c>
      <c r="AC78" s="2328"/>
      <c r="AD78" s="2328"/>
      <c r="AE78" s="2328"/>
      <c r="AF78" s="2329"/>
    </row>
    <row r="79" spans="1:36" ht="12.95" customHeight="1">
      <c r="C79" s="404"/>
      <c r="D79" s="205" t="s">
        <v>1255</v>
      </c>
      <c r="AB79" s="2330">
        <f>AB78*AB72</f>
        <v>0</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00" zoomScale="85" zoomScaleNormal="85" workbookViewId="0">
      <selection activeCell="E115" sqref="E115:AJ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2249</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395" t="s">
        <v>592</v>
      </c>
      <c r="C33" s="2395"/>
      <c r="D33" s="547"/>
      <c r="E33" s="2431" t="s">
        <v>2251</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2252</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5" t="s">
        <v>592</v>
      </c>
      <c r="C40" s="2395"/>
      <c r="D40" s="547"/>
      <c r="E40" s="2396" t="s">
        <v>2250</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546</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546</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546</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20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1316</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592</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0.44857142857142857</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0.14999999999999997</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20</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0.44857142857142857</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0.50476190476190474</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0</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SRO/Studio</v>
      </c>
      <c r="AQ112" s="536">
        <f>Application!O718</f>
        <v>593.4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654.4</v>
      </c>
    </row>
    <row r="115" spans="1:52" s="536" customFormat="1" ht="12.75" customHeight="1">
      <c r="A115" s="540"/>
      <c r="B115" s="2395" t="s">
        <v>592</v>
      </c>
      <c r="C115" s="2395"/>
      <c r="D115" s="547" t="s">
        <v>1316</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1 Bedroom</v>
      </c>
      <c r="AQ115" s="536">
        <f>Application!O721</f>
        <v>1280</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780.2</v>
      </c>
      <c r="AU116" s="856" t="str">
        <f>E124</f>
        <v>Studio/SRO</v>
      </c>
      <c r="AV116" s="536">
        <f t="array" ref="AV116">SUM(IF(Application!B718:F752="SRO/Studio",Application!G718:J752))</f>
        <v>10</v>
      </c>
      <c r="AW116" s="1011">
        <f>AV116/AV122</f>
        <v>9.5238095238095233E-2</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1648.5</v>
      </c>
      <c r="AU117" s="856" t="str">
        <f>J124</f>
        <v>1-bedroom</v>
      </c>
      <c r="AV117" s="536">
        <f t="array" ref="AV117">SUM(IF(Application!B718:F752="1 Bedroom",Application!G718:J752))</f>
        <v>18</v>
      </c>
      <c r="AW117" s="1011">
        <f>AV117/AV122</f>
        <v>0.17142857142857143</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3 Bedrooms</v>
      </c>
      <c r="AQ118" s="536">
        <f>Application!O724</f>
        <v>872.6</v>
      </c>
      <c r="AU118" s="856" t="str">
        <f>O124</f>
        <v>2-bedroom</v>
      </c>
      <c r="AV118" s="536">
        <f t="array" ref="AV118">SUM(IF(Application!B718:F752="2 Bedrooms",Application!G718:J752))</f>
        <v>27</v>
      </c>
      <c r="AW118" s="1011">
        <f>AV118/AV122</f>
        <v>0.25714285714285712</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3 Bedrooms</v>
      </c>
      <c r="AQ119" s="536">
        <f>Application!O725</f>
        <v>1875.5</v>
      </c>
      <c r="AU119" s="856" t="str">
        <f>T124</f>
        <v>3-bedroom</v>
      </c>
      <c r="AV119" s="536">
        <f t="array" ref="AV119">SUM(IF(Application!B718:F752="3 Bedrooms",Application!G718:J752))</f>
        <v>42</v>
      </c>
      <c r="AW119" s="1011">
        <f>AV119/AV122</f>
        <v>0.4</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4 Bedrooms</v>
      </c>
      <c r="AQ120" s="536">
        <f>Application!O726</f>
        <v>913</v>
      </c>
      <c r="AU120" s="856" t="str">
        <f>Y124</f>
        <v>4-bedroom</v>
      </c>
      <c r="AV120" s="536">
        <f t="array" ref="AV120">SUM(IF(Application!B718:F752="4 Bedrooms",Application!G718:J752))</f>
        <v>8</v>
      </c>
      <c r="AW120" s="1011">
        <f>AV120/AV122</f>
        <v>7.6190476190476197E-2</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t="str">
        <f>Application!B727</f>
        <v>4 Bedrooms</v>
      </c>
      <c r="AQ121" s="536">
        <f>Application!O727</f>
        <v>2032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105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v>1414</v>
      </c>
      <c r="F127" s="2450"/>
      <c r="G127" s="2450"/>
      <c r="H127" s="2450"/>
      <c r="I127" s="864"/>
      <c r="J127" s="2450">
        <v>1735</v>
      </c>
      <c r="K127" s="2450"/>
      <c r="L127" s="2450"/>
      <c r="M127" s="2450"/>
      <c r="N127" s="864"/>
      <c r="O127" s="2450">
        <v>2079</v>
      </c>
      <c r="P127" s="2450"/>
      <c r="Q127" s="2450"/>
      <c r="R127" s="2450"/>
      <c r="S127" s="864"/>
      <c r="T127" s="2450">
        <v>2762</v>
      </c>
      <c r="U127" s="2450"/>
      <c r="V127" s="2450"/>
      <c r="W127" s="2450"/>
      <c r="X127" s="864"/>
      <c r="Y127" s="2450">
        <v>2912</v>
      </c>
      <c r="Z127" s="2450"/>
      <c r="AA127" s="2450"/>
      <c r="AB127" s="2450"/>
      <c r="AC127" s="864"/>
      <c r="AD127" s="2450">
        <v>0</v>
      </c>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674.2</v>
      </c>
      <c r="F130" s="2443"/>
      <c r="G130" s="2443"/>
      <c r="H130" s="2443"/>
      <c r="I130" s="864"/>
      <c r="J130" s="2443">
        <f>Application!EC670</f>
        <v>967.2</v>
      </c>
      <c r="K130" s="2443"/>
      <c r="L130" s="2443"/>
      <c r="M130" s="2443"/>
      <c r="N130" s="864"/>
      <c r="O130" s="2443">
        <f>Application!EH670</f>
        <v>1198.2703703703703</v>
      </c>
      <c r="P130" s="2443"/>
      <c r="Q130" s="2443"/>
      <c r="R130" s="2443"/>
      <c r="S130" s="868"/>
      <c r="T130" s="2443">
        <f>Application!EM670</f>
        <v>1374.05</v>
      </c>
      <c r="U130" s="2443"/>
      <c r="V130" s="2443"/>
      <c r="W130" s="2443"/>
      <c r="X130" s="868"/>
      <c r="Y130" s="2443">
        <f>Application!ER670</f>
        <v>1472.5</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f>(E127-E130)/E127</f>
        <v>0.52319660537482315</v>
      </c>
      <c r="F133" s="2392"/>
      <c r="G133" s="2392"/>
      <c r="H133" s="2642"/>
      <c r="I133" s="577"/>
      <c r="J133" s="2641">
        <f>(J127-J130)/J127</f>
        <v>0.44253602305475503</v>
      </c>
      <c r="K133" s="2392"/>
      <c r="L133" s="2392"/>
      <c r="M133" s="2642"/>
      <c r="N133" s="577"/>
      <c r="O133" s="2641">
        <f>(O127-O130)/O127</f>
        <v>0.42363137548322738</v>
      </c>
      <c r="P133" s="2392"/>
      <c r="Q133" s="2392"/>
      <c r="R133" s="2642"/>
      <c r="S133" s="577"/>
      <c r="T133" s="2641">
        <f>(T127-T130)/T127</f>
        <v>0.50251629254163654</v>
      </c>
      <c r="U133" s="2392"/>
      <c r="V133" s="2392"/>
      <c r="W133" s="2642"/>
      <c r="X133" s="577"/>
      <c r="Y133" s="2641">
        <f>(Y127-Y130)/Y127</f>
        <v>0.49433379120879123</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f>IF(((E133-0.1)*AW116)&gt;0,((E133-0.1)*AW116),0)</f>
        <v>4.0304438607126014E-2</v>
      </c>
      <c r="F136" s="2445"/>
      <c r="G136" s="2445"/>
      <c r="H136" s="2446"/>
      <c r="I136" s="577"/>
      <c r="J136" s="2444">
        <f>IF(((J133-0.1)*AW117)&gt;0,((J133-0.1)*AW117),0)</f>
        <v>5.8720461095100866E-2</v>
      </c>
      <c r="K136" s="2445"/>
      <c r="L136" s="2445"/>
      <c r="M136" s="2446"/>
      <c r="N136" s="577"/>
      <c r="O136" s="2444">
        <f>IF(((O133-0.1)*AW118)&gt;0,((O133-0.1)*AW118),0)</f>
        <v>8.3219496552829897E-2</v>
      </c>
      <c r="P136" s="2445"/>
      <c r="Q136" s="2445"/>
      <c r="R136" s="2446"/>
      <c r="S136" s="577"/>
      <c r="T136" s="2444">
        <f>IF(((T133-0.1)*AW119)&gt;0,((T133-0.1)*AW119),0)</f>
        <v>0.16100651701665464</v>
      </c>
      <c r="U136" s="2445"/>
      <c r="V136" s="2445"/>
      <c r="W136" s="2446"/>
      <c r="X136" s="577"/>
      <c r="Y136" s="2444">
        <f>IF(((Y133-0.1)*AW120)&gt;0,((Y133-0.1)*AW120),0)</f>
        <v>3.0044479330193618E-2</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0.37</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2643</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1342</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2476</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2477</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2475</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592</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Orbach Affordable Management, LLC</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1361</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2728</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Application!AM559</f>
        <v>2120000</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11933616.689284768</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14053616.689284768</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324</v>
      </c>
      <c r="C224" s="2458"/>
      <c r="D224" s="2458"/>
      <c r="E224" s="2458"/>
      <c r="F224" s="2458"/>
      <c r="G224" s="2458"/>
      <c r="H224" s="852"/>
      <c r="I224" s="2457">
        <v>10</v>
      </c>
      <c r="J224" s="2457"/>
      <c r="K224" s="2457"/>
      <c r="L224" s="1008"/>
      <c r="N224" s="2462">
        <f>SUM(901-Application!M832)</f>
        <v>819</v>
      </c>
      <c r="O224" s="2462"/>
      <c r="P224" s="2462"/>
      <c r="Q224" s="2462"/>
      <c r="R224" s="2462"/>
      <c r="T224" s="2610">
        <v>1435</v>
      </c>
      <c r="U224" s="2610"/>
      <c r="V224" s="2610"/>
      <c r="W224" s="2610"/>
      <c r="X224" s="2610"/>
      <c r="Y224" s="2610"/>
      <c r="Z224" s="851"/>
      <c r="AA224" s="851"/>
      <c r="AB224" s="2459">
        <f t="shared" ref="AB224:AB233" si="0">MAX(($T224-$N224)*$I224*12,0)</f>
        <v>73920</v>
      </c>
      <c r="AC224" s="2459"/>
      <c r="AD224" s="2459"/>
      <c r="AE224" s="2459"/>
      <c r="AF224" s="2459"/>
      <c r="AG224" s="2459"/>
      <c r="AH224" s="827"/>
      <c r="AI224" s="827"/>
      <c r="AJ224" s="827"/>
      <c r="AK224" s="610"/>
    </row>
    <row r="225" spans="1:37">
      <c r="A225" s="605"/>
      <c r="B225" s="2458" t="s">
        <v>2729</v>
      </c>
      <c r="C225" s="2458"/>
      <c r="D225" s="2458"/>
      <c r="E225" s="2458"/>
      <c r="F225" s="2458"/>
      <c r="G225" s="2458"/>
      <c r="I225" s="2457">
        <v>18</v>
      </c>
      <c r="J225" s="2457"/>
      <c r="K225" s="2457"/>
      <c r="L225" s="1008"/>
      <c r="N225" s="2462">
        <f>SUM(965-Application!Q832)</f>
        <v>896</v>
      </c>
      <c r="O225" s="2462"/>
      <c r="P225" s="2462"/>
      <c r="Q225" s="2462"/>
      <c r="R225" s="2462"/>
      <c r="T225" s="2610">
        <v>1675</v>
      </c>
      <c r="U225" s="2610"/>
      <c r="V225" s="2610"/>
      <c r="W225" s="2610"/>
      <c r="X225" s="2610"/>
      <c r="Y225" s="2610"/>
      <c r="Z225" s="851"/>
      <c r="AA225" s="851"/>
      <c r="AB225" s="2459">
        <f t="shared" si="0"/>
        <v>168264</v>
      </c>
      <c r="AC225" s="2459"/>
      <c r="AD225" s="2459"/>
      <c r="AE225" s="2459"/>
      <c r="AF225" s="2459"/>
      <c r="AG225" s="2459"/>
      <c r="AH225" s="827"/>
      <c r="AI225" s="827"/>
      <c r="AJ225" s="827"/>
      <c r="AK225" s="610"/>
    </row>
    <row r="226" spans="1:37">
      <c r="A226" s="605"/>
      <c r="B226" s="2458" t="s">
        <v>2730</v>
      </c>
      <c r="C226" s="2458"/>
      <c r="D226" s="2458"/>
      <c r="E226" s="2458"/>
      <c r="F226" s="2458"/>
      <c r="G226" s="2458"/>
      <c r="I226" s="2457">
        <v>27</v>
      </c>
      <c r="J226" s="2457"/>
      <c r="K226" s="2457"/>
      <c r="L226" s="1008"/>
      <c r="N226" s="2462">
        <f>SUM(1158-Application!U832)</f>
        <v>1070</v>
      </c>
      <c r="O226" s="2462"/>
      <c r="P226" s="2462"/>
      <c r="Q226" s="2462"/>
      <c r="R226" s="2462"/>
      <c r="T226" s="2610">
        <v>2015</v>
      </c>
      <c r="U226" s="2610"/>
      <c r="V226" s="2610"/>
      <c r="W226" s="2610"/>
      <c r="X226" s="2610"/>
      <c r="Y226" s="2610"/>
      <c r="Z226" s="851"/>
      <c r="AA226" s="851"/>
      <c r="AB226" s="2459">
        <f t="shared" si="0"/>
        <v>306180</v>
      </c>
      <c r="AC226" s="2459"/>
      <c r="AD226" s="2459"/>
      <c r="AE226" s="2459"/>
      <c r="AF226" s="2459"/>
      <c r="AG226" s="2459"/>
      <c r="AH226" s="827"/>
      <c r="AI226" s="827"/>
      <c r="AJ226" s="827"/>
      <c r="AK226" s="610"/>
    </row>
    <row r="227" spans="1:37">
      <c r="A227" s="605"/>
      <c r="B227" s="2458" t="s">
        <v>2731</v>
      </c>
      <c r="C227" s="2458"/>
      <c r="D227" s="2458"/>
      <c r="E227" s="2458"/>
      <c r="F227" s="2458"/>
      <c r="G227" s="2458"/>
      <c r="I227" s="2457">
        <v>42</v>
      </c>
      <c r="J227" s="2457"/>
      <c r="K227" s="2457"/>
      <c r="L227" s="1008"/>
      <c r="N227" s="2462">
        <f>SUM(1337-Application!Y832)</f>
        <v>1207</v>
      </c>
      <c r="O227" s="2462"/>
      <c r="P227" s="2462"/>
      <c r="Q227" s="2462"/>
      <c r="R227" s="2462"/>
      <c r="T227" s="2610">
        <v>2410</v>
      </c>
      <c r="U227" s="2610"/>
      <c r="V227" s="2610"/>
      <c r="W227" s="2610"/>
      <c r="X227" s="2610"/>
      <c r="Y227" s="2610"/>
      <c r="Z227" s="851"/>
      <c r="AA227" s="851"/>
      <c r="AB227" s="2459">
        <f t="shared" si="0"/>
        <v>606312</v>
      </c>
      <c r="AC227" s="2459"/>
      <c r="AD227" s="2459"/>
      <c r="AE227" s="2459"/>
      <c r="AF227" s="2459"/>
      <c r="AG227" s="2459"/>
      <c r="AH227" s="827"/>
      <c r="AI227" s="827"/>
      <c r="AJ227" s="827"/>
      <c r="AK227" s="610"/>
    </row>
    <row r="228" spans="1:37">
      <c r="A228" s="605"/>
      <c r="B228" s="2458" t="s">
        <v>2732</v>
      </c>
      <c r="C228" s="2458"/>
      <c r="D228" s="2458"/>
      <c r="E228" s="2458"/>
      <c r="F228" s="2458"/>
      <c r="G228" s="2458"/>
      <c r="I228" s="2457">
        <v>8</v>
      </c>
      <c r="J228" s="2457"/>
      <c r="K228" s="2457"/>
      <c r="L228" s="1015"/>
      <c r="N228" s="2462">
        <f>SUM(1492-Application!AC832)</f>
        <v>1286</v>
      </c>
      <c r="O228" s="2462"/>
      <c r="P228" s="2462"/>
      <c r="Q228" s="2462"/>
      <c r="R228" s="2462"/>
      <c r="T228" s="2610">
        <v>2615</v>
      </c>
      <c r="U228" s="2610"/>
      <c r="V228" s="2610"/>
      <c r="W228" s="2610"/>
      <c r="X228" s="2610"/>
      <c r="Y228" s="2610"/>
      <c r="Z228" s="851"/>
      <c r="AA228" s="851"/>
      <c r="AB228" s="2459">
        <f t="shared" si="0"/>
        <v>127584</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1282260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1282260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1218147</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1059258.2608695652</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11933616.689284768</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14053616.689284768</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40818144</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0.34</v>
      </c>
      <c r="AH270" s="2479"/>
      <c r="AI270" s="2479"/>
      <c r="AJ270" s="2479"/>
      <c r="AK270" s="247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68" t="s">
        <v>592</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72" t="s">
        <v>592</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72" t="s">
        <v>592</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0</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5</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1879</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5</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240</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592</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546</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592</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546</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546</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592</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53213240</v>
      </c>
      <c r="AQ550" s="2621"/>
      <c r="AR550" s="26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37253712</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95783832</v>
      </c>
      <c r="AG552" s="2626"/>
      <c r="AH552" s="2626"/>
      <c r="AI552" s="2626"/>
      <c r="AJ552" s="2626"/>
      <c r="AK552" s="595"/>
      <c r="AL552" s="595"/>
      <c r="AM552" s="595"/>
      <c r="AN552" s="597"/>
      <c r="AP552" s="2621">
        <f>Application!AJ1045</f>
        <v>0</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0.61</v>
      </c>
      <c r="AG553" s="2627"/>
      <c r="AH553" s="2627"/>
      <c r="AI553" s="2627"/>
      <c r="AJ553" s="2627"/>
      <c r="AK553" s="595"/>
      <c r="AL553" s="595"/>
      <c r="AM553" s="595"/>
      <c r="AN553" s="597"/>
      <c r="AP553" s="2624">
        <f>Application!AJ1049</f>
        <v>53213240</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0.8</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53213240</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106426480</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95783832</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510</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6</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510</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2</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510</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105</v>
      </c>
    </row>
    <row r="691" spans="1:51" s="550" customFormat="1" ht="12.75" customHeight="1">
      <c r="A691" s="679"/>
      <c r="B691" s="536"/>
      <c r="C691" s="948"/>
      <c r="D691" s="663" t="s">
        <v>688</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2185</v>
      </c>
      <c r="AX691" s="550">
        <f>Application!DE753</f>
        <v>42</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8</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2188</v>
      </c>
      <c r="AX694" s="550">
        <f>AX691+AX692+AX693</f>
        <v>50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2189</v>
      </c>
      <c r="AX695" s="550">
        <f>IFERROR(AX694/AX690,0)</f>
        <v>0.47619047619047616</v>
      </c>
      <c r="AY695" s="550">
        <f>IFERROR(AX694/(AX690-AX689),0)</f>
        <v>0.47619047619047616</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510</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510</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2</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510</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1</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592</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0</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20</v>
      </c>
      <c r="U804" s="2554"/>
      <c r="V804" s="2554"/>
      <c r="W804" s="2554"/>
      <c r="X804" s="2554"/>
      <c r="Y804" s="2555"/>
      <c r="Z804" s="2556">
        <v>20</v>
      </c>
      <c r="AA804" s="2554"/>
      <c r="AB804" s="2554"/>
      <c r="AC804" s="2554"/>
      <c r="AD804" s="2554"/>
      <c r="AE804" s="2555"/>
      <c r="AF804" s="2537">
        <f>IF(T804&gt;Z804,Z804,T804)</f>
        <v>20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0</v>
      </c>
      <c r="U805" s="2554"/>
      <c r="V805" s="2554"/>
      <c r="W805" s="2554"/>
      <c r="X805" s="2554"/>
      <c r="Y805" s="2555"/>
      <c r="Z805" s="2556">
        <v>10</v>
      </c>
      <c r="AA805" s="2554"/>
      <c r="AB805" s="2554"/>
      <c r="AC805" s="2554"/>
      <c r="AD805" s="2554"/>
      <c r="AE805" s="2555"/>
      <c r="AF805" s="2537">
        <f>IF(T805&gt;Z805,Z805,T805)</f>
        <v>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0</v>
      </c>
      <c r="U811" s="2577"/>
      <c r="V811" s="2577"/>
      <c r="W811" s="2577"/>
      <c r="X811" s="2577"/>
      <c r="Y811" s="2577"/>
      <c r="Z811" s="2537">
        <v>10</v>
      </c>
      <c r="AA811" s="2537"/>
      <c r="AB811" s="2537"/>
      <c r="AC811" s="2537"/>
      <c r="AD811" s="2537"/>
      <c r="AE811" s="2537"/>
      <c r="AF811" s="2537">
        <f>IF(T811&gt;Z811,Z811,T811)</f>
        <v>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0</v>
      </c>
      <c r="U815" s="2577"/>
      <c r="V815" s="2577"/>
      <c r="W815" s="2577"/>
      <c r="X815" s="2577"/>
      <c r="Y815" s="2577"/>
      <c r="Z815" s="2583">
        <v>10</v>
      </c>
      <c r="AA815" s="2584"/>
      <c r="AB815" s="2584"/>
      <c r="AC815" s="2584"/>
      <c r="AD815" s="2584"/>
      <c r="AE815" s="2585"/>
      <c r="AF815" s="2583">
        <f>IF(T815&gt;Z815,Z815,T815)</f>
        <v>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110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2025-08-29T20:51:16Z</cp:lastPrinted>
  <dcterms:created xsi:type="dcterms:W3CDTF">2007-12-27T18:26:28Z</dcterms:created>
  <dcterms:modified xsi:type="dcterms:W3CDTF">2025-09-05T20:25:48Z</dcterms:modified>
</cp:coreProperties>
</file>